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drawingml.chart+xml" PartName="/xl/charts/chart1.xml"/>
  <Override ContentType="application/vnd.openxmlformats-officedocument.drawingml.chart+xml" PartName="/xl/charts/chart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hallenge Codes-R1" sheetId="1" r:id="rId4"/>
    <sheet state="visible" name="Challenge Codes-R2" sheetId="2" r:id="rId5"/>
    <sheet state="visible" name="Challenge Codes-R3" sheetId="3" r:id="rId6"/>
    <sheet state="visible" name="Challenge Codes-Check" sheetId="4" r:id="rId7"/>
    <sheet state="visible" name="Challenge Codes-Final" sheetId="5" r:id="rId8"/>
    <sheet state="visible" name="Recommendation Codes-R1" sheetId="6" r:id="rId9"/>
    <sheet state="visible" name="Recommendation Codes-R2" sheetId="7" r:id="rId10"/>
    <sheet state="visible" name="Recommendation Codes-R3" sheetId="8" r:id="rId11"/>
    <sheet state="visible" name="Recommendation Codes-Check" sheetId="9" r:id="rId12"/>
    <sheet state="visible" name="Recommendation Codes-Final" sheetId="10" r:id="rId13"/>
    <sheet state="visible" name="Theme Analysis" sheetId="11" r:id="rId14"/>
    <sheet state="visible" name="Imported Challenges" sheetId="12" r:id="rId15"/>
    <sheet state="visible" name="Imported Recommendations" sheetId="13" r:id="rId16"/>
  </sheets>
  <definedNames>
    <definedName name="codigoDDivergenteCodigo2">'Challenge Codes-Check'!$J:$J</definedName>
    <definedName name="codigoDDivergenteTema1">'Challenge Codes-Check'!$H:$H</definedName>
    <definedName name="codigoDDivergenteCodigo1">'Challenge Codes-Check'!$G:$G</definedName>
    <definedName name="codigoRDivergenteObservacao1">'Recommendation Codes-Check'!$I:$I</definedName>
    <definedName name="codigoRDivergenteJuiz">'Recommendation Codes-Check'!$O:$O</definedName>
    <definedName name="codigoRDivergenteTema1">'Recommendation Codes-Check'!$H:$H</definedName>
    <definedName name="codigoRDivergenteObservacao2">'Recommendation Codes-Check'!$L:$L</definedName>
    <definedName name="codigoRDivergenteCodigo1">'Recommendation Codes-Check'!$G:$G</definedName>
    <definedName name="codigoDDivergenteObservacao2">'Challenge Codes-Check'!$L:$L</definedName>
    <definedName name="codigoDDivergenteTema2">'Challenge Codes-Check'!$K:$K</definedName>
    <definedName name="codigoDDivergenteObservacao1">'Challenge Codes-Check'!$I:$I</definedName>
    <definedName name="codigoRDivergenteCodigo2">'Recommendation Codes-Check'!$J:$J</definedName>
    <definedName name="codigoRDivergenteTema2">'Recommendation Codes-Check'!$K:$K</definedName>
    <definedName name="codigoDDivergenteJuiz">'Challenge Codes-Check'!$O:$O</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D37">
      <text>
        <t xml:space="preserve">NÃO FALAMOS DO KAISEN E LEAN NA ABSTRAÇÃO!!!</t>
      </text>
    </comment>
  </commentList>
</comments>
</file>

<file path=xl/sharedStrings.xml><?xml version="1.0" encoding="utf-8"?>
<sst xmlns="http://schemas.openxmlformats.org/spreadsheetml/2006/main" count="4162" uniqueCount="1212">
  <si>
    <t>Id</t>
  </si>
  <si>
    <t>Challenge / Recommendation</t>
  </si>
  <si>
    <t>Interview Quotes</t>
  </si>
  <si>
    <t>Abstracts</t>
  </si>
  <si>
    <t>Main Idea</t>
  </si>
  <si>
    <t>Code</t>
  </si>
  <si>
    <t>Theme</t>
  </si>
  <si>
    <t>Comment</t>
  </si>
  <si>
    <t>challenge</t>
  </si>
  <si>
    <t>insufficient knowledge of students</t>
  </si>
  <si>
    <t>curriculum</t>
  </si>
  <si>
    <t>Difficulty in setting up the environment</t>
  </si>
  <si>
    <t>environment setup</t>
  </si>
  <si>
    <t>lack of computing resources</t>
  </si>
  <si>
    <t>Difficulty in using internet Cloud services</t>
  </si>
  <si>
    <t>Lack of taxonomy of DevOps concepts</t>
  </si>
  <si>
    <t>devops concepts</t>
  </si>
  <si>
    <t>Lack of specific tool for DevOps teaching</t>
  </si>
  <si>
    <t>tool / technology</t>
  </si>
  <si>
    <t>Limited time on teaching DevOps</t>
  </si>
  <si>
    <t>Difficulty during institution's resources authorization.</t>
  </si>
  <si>
    <t>No automated environment configuration tool.</t>
  </si>
  <si>
    <t>Lack of tools installation script.</t>
  </si>
  <si>
    <t>Insufficient literature.</t>
  </si>
  <si>
    <t>class preparation</t>
  </si>
  <si>
    <t>Exercises with professional scenarios</t>
  </si>
  <si>
    <t>Difficulty in teaching about operationalization and addition of new system features</t>
  </si>
  <si>
    <t>pedagogy</t>
  </si>
  <si>
    <t>Difficulty in evaluating the understanding of Continuous Delivery</t>
  </si>
  <si>
    <t>assessment</t>
  </si>
  <si>
    <t>Difficulty in tool change</t>
  </si>
  <si>
    <t>Difficulty with Docker</t>
  </si>
  <si>
    <t>Difficulty in understanding the importance of setting the environment</t>
  </si>
  <si>
    <t>Abundance of tools for DevOps practices</t>
  </si>
  <si>
    <t>tool</t>
  </si>
  <si>
    <t>Lack of step-by-step instructions about cultural part teaching</t>
  </si>
  <si>
    <t>Difficulty in privacy, availability, concern with infrastructure in remote learning</t>
  </si>
  <si>
    <t>Difficulty in using assessments with traditional tests</t>
  </si>
  <si>
    <t>Greater difficulty in understanding by students with little experience in Dev and Ops</t>
  </si>
  <si>
    <t>Teacher background necessary in DevSecOps teaching: security and development</t>
  </si>
  <si>
    <t>difficult tools configuration on remote teaching</t>
  </si>
  <si>
    <t>small examples not satisfactory.</t>
  </si>
  <si>
    <t xml:space="preserve">students' difficulty in remote learning: in monitoring and keeping in contact </t>
  </si>
  <si>
    <t>pedagogical practices in the classroom</t>
  </si>
  <si>
    <t>Difficulty in an understanding environment, tools and network configuration.</t>
  </si>
  <si>
    <t>Difficulty at select of a realistic example system for students</t>
  </si>
  <si>
    <t xml:space="preserve">Little time during preparation of a well-designed example system by the teacher with little time </t>
  </si>
  <si>
    <t>Difficulty supporting multiple tools and environments</t>
  </si>
  <si>
    <t>No time for initial setup of student environment</t>
  </si>
  <si>
    <t>Difficulty in condensing suitable material for classes</t>
  </si>
  <si>
    <t>Strong reliance on student-limited support material</t>
  </si>
  <si>
    <t>Difficulty in structuring the learning journey</t>
  </si>
  <si>
    <t>Requirement of great effort during assessment of large classes</t>
  </si>
  <si>
    <t xml:space="preserve">Challenge during the creation of the teaching plan related to rapid and constant changes in DevOps  </t>
  </si>
  <si>
    <t>Difficulty related to linking DevOps with other disciplines</t>
  </si>
  <si>
    <t>Environment set up in a cloud service cost money.</t>
  </si>
  <si>
    <t>limitation of VirtualBox</t>
  </si>
  <si>
    <t>difficulty in agile techniques</t>
  </si>
  <si>
    <t>difficulty in the evaluation of students learn level</t>
  </si>
  <si>
    <t>operational activities ignored</t>
  </si>
  <si>
    <t>many devops concepts</t>
  </si>
  <si>
    <t>DevOps students without sufficient level at their companies</t>
  </si>
  <si>
    <t xml:space="preserve">industry </t>
  </si>
  <si>
    <t>few industry strategies unless papers</t>
  </si>
  <si>
    <t>difficulty for understand the importance of a correct software over just compiling</t>
  </si>
  <si>
    <t>students without motivation in DevOps course</t>
  </si>
  <si>
    <t>motivation</t>
  </si>
  <si>
    <t>difficulty in the supervision of students work with a lot of virtual machines</t>
  </si>
  <si>
    <t>difficulty in students understanding about deployment side without the knowledge of operational activities</t>
  </si>
  <si>
    <t>laborious exercise preparation</t>
  </si>
  <si>
    <t>requirement of teaching a lot of DevOps knowledge from the professor perspective</t>
  </si>
  <si>
    <t>without time to practice Kubernetes</t>
  </si>
  <si>
    <t>limitation of about professor´s asks due many activities</t>
  </si>
  <si>
    <t>strategies in course execution</t>
  </si>
  <si>
    <t>without a convention of DevOps concepts addressed during teaching</t>
  </si>
  <si>
    <t>Students' understanding of the importance of DevOps concepts over the tools</t>
  </si>
  <si>
    <t>difficulty students in relationship with an environment point of view</t>
  </si>
  <si>
    <t>difference between industry desire about student knowledge of DevOps and DevOps academic teaching</t>
  </si>
  <si>
    <t>challenging evaluation with the same criteria a classroom with different technologies</t>
  </si>
  <si>
    <t>student scores based on Github commit approval</t>
  </si>
  <si>
    <t>difficulty in debugging of lab sessions</t>
  </si>
  <si>
    <t>problems with a lot of pipelines in Bambo</t>
  </si>
  <si>
    <t>no consensual about DevOps discipline mandatory</t>
  </si>
  <si>
    <t>Student resistance to tool changes.</t>
  </si>
  <si>
    <t>Resistance of students to the importance of setting the environment.</t>
  </si>
  <si>
    <t>Large number of DevOps tools.</t>
  </si>
  <si>
    <t>DevOps means adoption of tools</t>
  </si>
  <si>
    <t>Difficulty in remote work with students: privacy, availability, infrastructure difference, environment configuration.</t>
  </si>
  <si>
    <t>Multidisciplinary DevOps teaching: development, security, and operation.</t>
  </si>
  <si>
    <t>Difficulty in understanding DevOps by inexperienced students in development or in operation.</t>
  </si>
  <si>
    <t>Difficulty in dealing with groups with different backgrounds.</t>
  </si>
  <si>
    <t>Difficulty balancing theory and practice.</t>
  </si>
  <si>
    <t xml:space="preserve">Conceitos DevOps </t>
  </si>
  <si>
    <t>Communication between teacher and student impaired in remote teaching.</t>
  </si>
  <si>
    <t>Difficulty in automating the construction of systems.</t>
  </si>
  <si>
    <t>Lack of access to a realistic system for exemplification.</t>
  </si>
  <si>
    <t>Difficulty for teachers in monitoring the state of the art in the industry.</t>
  </si>
  <si>
    <t>Unknown unified material for DevOps teaching.</t>
  </si>
  <si>
    <t>Difficult in condensing material for classes</t>
  </si>
  <si>
    <t xml:space="preserve">Difficulty in modeling an assessment with collaboration, communication, and organization as concepts </t>
  </si>
  <si>
    <t>Difficulty in structuring a learning journey with connection between subjects.</t>
  </si>
  <si>
    <t>Difficulty during the creation of the classes</t>
  </si>
  <si>
    <t xml:space="preserve">Difficulty during the development of a teaching plan related to Constant changes in the DevOps </t>
  </si>
  <si>
    <t>Environment set up in a cloud service cost money</t>
  </si>
  <si>
    <t>DevOps tools together</t>
  </si>
  <si>
    <t>Tools/technologies</t>
  </si>
  <si>
    <t>Difficult in Agile teaching</t>
  </si>
  <si>
    <t>physical hands-on with many students</t>
  </si>
  <si>
    <t>Operational activities are hard and eventually ignored</t>
  </si>
  <si>
    <t>many tools stimulating DevOps technology centric approach</t>
  </si>
  <si>
    <t>Students without influence in their companies</t>
  </si>
  <si>
    <t xml:space="preserve">task done not equal to completed learning </t>
  </si>
  <si>
    <t>Teach the importance of the correct software is hard</t>
  </si>
  <si>
    <t>lot of interconnected machines with different services</t>
  </si>
  <si>
    <t>Enrivonment Setup</t>
  </si>
  <si>
    <t>When a lot of virtual machines are used it's hard to supervise sudents' work.</t>
  </si>
  <si>
    <t>preparation of robust and simple technology stack</t>
  </si>
  <si>
    <t>demanding preparation of exercises</t>
  </si>
  <si>
    <t>arduous code analysis and scripts execution</t>
  </si>
  <si>
    <t>Kubernets demands a lot of work and time</t>
  </si>
  <si>
    <t>elaboration of attractive DevOps course</t>
  </si>
  <si>
    <t>no convention about DevOps course curriculum</t>
  </si>
  <si>
    <t>difficult with jira</t>
  </si>
  <si>
    <t>without identification of environments from students</t>
  </si>
  <si>
    <t>katacode limitations.</t>
  </si>
  <si>
    <t>same criteria and metric scorid different sudents free to use any technology</t>
  </si>
  <si>
    <t>understanding of deployment pipeline</t>
  </si>
  <si>
    <t xml:space="preserve">arduous debugging labs </t>
  </si>
  <si>
    <t>quantitative grade scale of case studies</t>
  </si>
  <si>
    <t>teaching strategies in classes</t>
  </si>
  <si>
    <t>Difficulty using the Docker tool</t>
  </si>
  <si>
    <t>Difficulty in teaching DevOps culture</t>
  </si>
  <si>
    <t>Difficulty in assessment with tests</t>
  </si>
  <si>
    <t>Good technical knowledge in security and development in  DevSecOps teaching.</t>
  </si>
  <si>
    <t>Difficulty in understanding the environment configuration.</t>
  </si>
  <si>
    <t>Teachers' lack of time for the development of a ready-made example of a system</t>
  </si>
  <si>
    <t>Time difficulty for initial setup of students' environment.</t>
  </si>
  <si>
    <t>Use of only teacher slides by students</t>
  </si>
  <si>
    <t>Great effort during assessment of large classes.</t>
  </si>
  <si>
    <t>Difficulty during fixing DevOps with other disciplines.</t>
  </si>
  <si>
    <t>VirtualBox limitation</t>
  </si>
  <si>
    <t>Verify students learning devops working process</t>
  </si>
  <si>
    <t>devops not relevant in the beginning of classes</t>
  </si>
  <si>
    <t>difficult with the values of deployment side</t>
  </si>
  <si>
    <t>much knowledge requirements from the professor</t>
  </si>
  <si>
    <t>students with others activities</t>
  </si>
  <si>
    <t>understanding of technology and fundamentals evolution</t>
  </si>
  <si>
    <t>difference between industry needs and university curriculum</t>
  </si>
  <si>
    <t>contribution not merged on github</t>
  </si>
  <si>
    <t>bamboo limitations</t>
  </si>
  <si>
    <t>devops course mandatory or optional</t>
  </si>
  <si>
    <t>Pair</t>
  </si>
  <si>
    <t>Code 1</t>
  </si>
  <si>
    <t>Theme 1</t>
  </si>
  <si>
    <t>Comment 1</t>
  </si>
  <si>
    <t>Code 2</t>
  </si>
  <si>
    <t>Theme 2</t>
  </si>
  <si>
    <t>Comment 2</t>
  </si>
  <si>
    <t>Divergence</t>
  </si>
  <si>
    <t>Divergence handled by the pair</t>
  </si>
  <si>
    <t>Judge</t>
  </si>
  <si>
    <t>Judge Comments</t>
  </si>
  <si>
    <t>R1 / R3</t>
  </si>
  <si>
    <t>x</t>
  </si>
  <si>
    <t>R2 / R3</t>
  </si>
  <si>
    <t>R1 / R2</t>
  </si>
  <si>
    <t>Student disinterest in cultural aspects of DevOps.</t>
  </si>
  <si>
    <t>Wide coverage of diverse areas by DevOps teaching.</t>
  </si>
  <si>
    <t>Difficulty in collaboration with groups of students who have very different experiences</t>
  </si>
  <si>
    <t>second</t>
  </si>
  <si>
    <t>desafio</t>
  </si>
  <si>
    <t>It's challeging to balance DevOps theory and practice.</t>
  </si>
  <si>
    <t>Students with difficulty in automating systems.</t>
  </si>
  <si>
    <t>teacher constantly updated with the industry</t>
  </si>
  <si>
    <t>There is no unified material for DevOps teaching.</t>
  </si>
  <si>
    <t>Difficulty in subjective DevOps concepts during assessment.</t>
  </si>
  <si>
    <t>Difficult during the creation of the classes without reference to a previous discipline.</t>
  </si>
  <si>
    <t xml:space="preserve">Challenge of integration of all DevOps tools together </t>
  </si>
  <si>
    <t>Difficulty in hands-on classes with 45 or more students</t>
  </si>
  <si>
    <t>first</t>
  </si>
  <si>
    <t>R3</t>
  </si>
  <si>
    <t>Dangerous of teaching too many tools</t>
  </si>
  <si>
    <t>Without correlation between task done and learned correctly</t>
  </si>
  <si>
    <t>Continous deployment require a lot of interconnected machines running different services with visibility to each other</t>
  </si>
  <si>
    <t>Hard preparation of simple and robust technologies</t>
  </si>
  <si>
    <t>arduous analysis for each project</t>
  </si>
  <si>
    <t>Challenge of creation of an attractive DevOps course</t>
  </si>
  <si>
    <t>arduous manage of Jira lifecycles licence</t>
  </si>
  <si>
    <t>spacific tools do not woth with katacoda</t>
  </si>
  <si>
    <t>how pipeline deployment works</t>
  </si>
  <si>
    <t>quantitative grade scale on description and case study</t>
  </si>
  <si>
    <t>recommendation</t>
  </si>
  <si>
    <t>agreement between educational institution and internet cloud services</t>
  </si>
  <si>
    <t>setting up scenarios on the student's computer</t>
  </si>
  <si>
    <t>No definition of DevOps concepts</t>
  </si>
  <si>
    <t>Assessment of learning with practical projects and activities.</t>
  </si>
  <si>
    <t>GNS3 as a DevOps Teaching Support Tool</t>
  </si>
  <si>
    <t>Use of Ansible, Terraform as a tool during DevOps teaching</t>
  </si>
  <si>
    <t>Incremental teaching based on projects and practical activities.</t>
  </si>
  <si>
    <t>estratégicas pedagócias em aula</t>
  </si>
  <si>
    <t>Non-deep theory class.</t>
  </si>
  <si>
    <t>Division between Dev and Ops disciplines.</t>
  </si>
  <si>
    <t>resources from the student's side instead of academy</t>
  </si>
  <si>
    <t>Use of a textbook.</t>
  </si>
  <si>
    <t>Perfecting of skills with non-functional requirements</t>
  </si>
  <si>
    <t>Use of a learning tool</t>
  </si>
  <si>
    <t>Necessity of a DevOps discipline</t>
  </si>
  <si>
    <t>Evaluation of participation in teamwork</t>
  </si>
  <si>
    <t>Adoption of tools from instructors   by students</t>
  </si>
  <si>
    <t>ferramentas / tecnologias</t>
  </si>
  <si>
    <t>DevOps discipline with the considerable workload.</t>
  </si>
  <si>
    <t>Teachers as clients</t>
  </si>
  <si>
    <t>Continuous Integration and industrial tools at the curriculum</t>
  </si>
  <si>
    <t>Union of various materials and publications available</t>
  </si>
  <si>
    <t>good mastery of the tools with the necessary permissions</t>
  </si>
  <si>
    <t>Identical DevOps discipline for  operation and development classes</t>
  </si>
  <si>
    <t>DevOps scope more compatible with each class</t>
  </si>
  <si>
    <t>Teaching of well-established concepts like the DevOps pipeline process</t>
  </si>
  <si>
    <t>teaching from culture, tools next</t>
  </si>
  <si>
    <t>Creation of teaching scenario based on specific set of tools</t>
  </si>
  <si>
    <t>References from practical context lived by students</t>
  </si>
  <si>
    <t>menu varying percentage of development, operation and security</t>
  </si>
  <si>
    <t>Teaching through known direct analogies to project management classes</t>
  </si>
  <si>
    <t>Teaching of Culture DevOps</t>
  </si>
  <si>
    <t>Culture of communication between student and teacher</t>
  </si>
  <si>
    <t>estratégicas pedagógicas</t>
  </si>
  <si>
    <t xml:space="preserve">Necessary great resource using virtual machines </t>
  </si>
  <si>
    <t>Iteration with students through practical examples</t>
  </si>
  <si>
    <t>knowledge of the needs and limitations of the class</t>
  </si>
  <si>
    <t>Separation in parts of support document for infrastructure configuration</t>
  </si>
  <si>
    <t>real problems common in the industry</t>
  </si>
  <si>
    <t>Customization of Specific Problem Discussions Faced by Students</t>
  </si>
  <si>
    <t>Task Tracking Tools</t>
  </si>
  <si>
    <t>Exportation to Markdown and Version from the Notion</t>
  </si>
  <si>
    <t>Use of code versioning tools</t>
  </si>
  <si>
    <t>Notion and Trello allow two-way iteration but Gist only one</t>
  </si>
  <si>
    <t>Mitigation of excessive resource consumption by limiting the fps zoom rate</t>
  </si>
  <si>
    <t>NPS as a form of course evaluation with students</t>
  </si>
  <si>
    <t>Theoretical and practical education mix</t>
  </si>
  <si>
    <t>teaching from Lean, Kaisen and Agile on the theoretical part</t>
  </si>
  <si>
    <t>Continuous delivery through virtual machine or docker</t>
  </si>
  <si>
    <t>Grafana and Prometheus as monitoring tools</t>
  </si>
  <si>
    <t>Practical activities in the course: bank decoupling, versioning, integration and continuous delivery</t>
  </si>
  <si>
    <t>Comfortable student learning environment in remote</t>
  </si>
  <si>
    <t xml:space="preserve">Development of systems during discipline by students </t>
  </si>
  <si>
    <t>estratégicas pedagógias</t>
  </si>
  <si>
    <t>Practice of large amount of tools</t>
  </si>
  <si>
    <t>provision of a finalized system for students</t>
  </si>
  <si>
    <t>Initial Environment Configuration for Students</t>
  </si>
  <si>
    <t>Registration of reference material documentation</t>
  </si>
  <si>
    <t>Jenkins Tools, Travis Ci, Circle Ci and Github Action in Continuous Integration Teaching</t>
  </si>
  <si>
    <t>Relevant tools and their costs Benefits</t>
  </si>
  <si>
    <t>Written evaluation of the Basic and Culture DevOps concept</t>
  </si>
  <si>
    <t>Build, test, deployment, and monitoring on a course DevOps</t>
  </si>
  <si>
    <t>uniformity of the didactic material of the classes</t>
  </si>
  <si>
    <t>industry relevant tools</t>
  </si>
  <si>
    <t>class sequence</t>
  </si>
  <si>
    <t>simplest devops tools</t>
  </si>
  <si>
    <t>Monitoring rather than traditional evaluation</t>
  </si>
  <si>
    <t xml:space="preserve"> Comparison between DevOps and software development models</t>
  </si>
  <si>
    <t>Infrastructure previously organized</t>
  </si>
  <si>
    <t>Historical importance of DevOps and their relationship with SRE</t>
  </si>
  <si>
    <t>Education Methodology Comprehensive Distance Learning</t>
  </si>
  <si>
    <t>practice for fixing the concepts</t>
  </si>
  <si>
    <t>dynamics for inspiration to class</t>
  </si>
  <si>
    <t>Monitor staff helping evaluation</t>
  </si>
  <si>
    <t>Incentive of critical thinking of students and self-taught search for more information</t>
  </si>
  <si>
    <t xml:space="preserve">estratégicas pedagócias </t>
  </si>
  <si>
    <t>Problem-Based Learning (PBL) is great for teaching DevOps.</t>
  </si>
  <si>
    <t>Merges of teaching methodologies Problem-based learning and inverted class with Agile</t>
  </si>
  <si>
    <t>team-based student organization</t>
  </si>
  <si>
    <t>organization of the course in sprints</t>
  </si>
  <si>
    <t>fast feedback to the student questions</t>
  </si>
  <si>
    <t>incrementally DevOps content teaching</t>
  </si>
  <si>
    <t>students' motivation for themselves</t>
  </si>
  <si>
    <t>preparation of the students based on previous courses</t>
  </si>
  <si>
    <t>vagrant and VirtualBox as a free tool</t>
  </si>
  <si>
    <t>Docker choice as DevOps tool</t>
  </si>
  <si>
    <t>No technology stack in students systems</t>
  </si>
  <si>
    <t>Argo CD instead of Jenkins in continuous delivery teaching</t>
  </si>
  <si>
    <t>Labs accuracy validation  frequently before the classes</t>
  </si>
  <si>
    <t>managing of the student questions by teacher assistants</t>
  </si>
  <si>
    <t>students engage through fun</t>
  </si>
  <si>
    <t>quiz as a student assessment tool</t>
  </si>
  <si>
    <t>virtual machine setup facilitated by cloud computing</t>
  </si>
  <si>
    <t>virtual machine images with everything needed</t>
  </si>
  <si>
    <t>GitHub classroom available on Github academic use</t>
  </si>
  <si>
    <t>environment setup easier by a cloud provider</t>
  </si>
  <si>
    <t>students understanding evolution of the tools</t>
  </si>
  <si>
    <t>bussinessman understanding devops benefities from the students</t>
  </si>
  <si>
    <t>bussiness</t>
  </si>
  <si>
    <t>skeleton class without replacement because it focuses on concepts and goals</t>
  </si>
  <si>
    <t>jump-starting example of commonly used commands of tools</t>
  </si>
  <si>
    <t>understanding of the student difficulties in new technologies</t>
  </si>
  <si>
    <t>evaluation of student projects from architecture and from continuous integration</t>
  </si>
  <si>
    <t>software architecture and DevOps courses together in the curriculum</t>
  </si>
  <si>
    <t>focus more on concepts than tools</t>
  </si>
  <si>
    <t>project execution composed of several pieces in various student environments</t>
  </si>
  <si>
    <t>free sessions about student problems</t>
  </si>
  <si>
    <t>presentation of some DevOps topics classes by students</t>
  </si>
  <si>
    <t>evaluation of project students along  the discipline with color flags</t>
  </si>
  <si>
    <t>without assumption about the level of the students</t>
  </si>
  <si>
    <t>incremental teaching from DevOps concepts</t>
  </si>
  <si>
    <t>introduction of theory and realization of labs</t>
  </si>
  <si>
    <t>class project not too small but challenging</t>
  </si>
  <si>
    <t>realization of exam with open source application</t>
  </si>
  <si>
    <t>jmeter as a perfomance testing tool</t>
  </si>
  <si>
    <t>owasp zap as a security platform</t>
  </si>
  <si>
    <t>teacher staff responsible for the implementation of the sample application</t>
  </si>
  <si>
    <t>teaching centers more on concepts than application</t>
  </si>
  <si>
    <t>labs execution with teacher assistant support</t>
  </si>
  <si>
    <t>teaching of operating activities through phoenix book</t>
  </si>
  <si>
    <t>qualified teacher assistants</t>
  </si>
  <si>
    <t>environment setup minimal</t>
  </si>
  <si>
    <t>environment as industrial as lightweight as possible in all of the student's laptops through Github and AWS account</t>
  </si>
  <si>
    <t>understanding of course objectives clear by students</t>
  </si>
  <si>
    <t>student exams by case studies</t>
  </si>
  <si>
    <t>improvement of the quality of the course constantly</t>
  </si>
  <si>
    <t>careful selection of industrial guests for the course</t>
  </si>
  <si>
    <t>participation of the students in GitHub open source projects</t>
  </si>
  <si>
    <t>dangers of a not predefined project for the organization of the course</t>
  </si>
  <si>
    <t>students collaboration between different teams</t>
  </si>
  <si>
    <t>improvement of knowledge of students in DevOps concepts and tools by a teacher assistant</t>
  </si>
  <si>
    <t>inclusion of DevOps discipline on curriculum</t>
  </si>
  <si>
    <t>discussion and share of DevOps teaching in an open way</t>
  </si>
  <si>
    <t>collaboration</t>
  </si>
  <si>
    <t>Bluemix platform as a DevOps tool</t>
  </si>
  <si>
    <t>student interest in an elective DevOps course</t>
  </si>
  <si>
    <t>Necessity of a DevOps discipline at the curricula</t>
  </si>
  <si>
    <t>Auxiliary learning environment for student monitoring.</t>
  </si>
  <si>
    <t>Agreement between educational institution and internet cloud services.</t>
  </si>
  <si>
    <t>Sharing of acquired knowledge.</t>
  </si>
  <si>
    <t>Estratégias pedagógicas em aula</t>
  </si>
  <si>
    <t>More professional approach.</t>
  </si>
  <si>
    <t>Teaching of vulnerability management, architecture and cloud networking for security classes on DevOps.</t>
  </si>
  <si>
    <t>Example of a practical context from the beginning to the end.</t>
  </si>
  <si>
    <t>Preparação de aula</t>
  </si>
  <si>
    <t>Presentation of DevOps use case.</t>
  </si>
  <si>
    <t>Beginning of teaching DevOps from the culture and then the tooling demonstration.</t>
  </si>
  <si>
    <t>cloud provider services</t>
  </si>
  <si>
    <t>Contextualized class through real practical situations, possible difficulties with infrastructure and assimilation with popular tools.</t>
  </si>
  <si>
    <t>Curriculum division with half of it with concepts and half with tools.</t>
  </si>
  <si>
    <t>Contextualization through direct analogies and known scenarios.</t>
  </si>
  <si>
    <t xml:space="preserve">Consideration of student view </t>
  </si>
  <si>
    <t>Terraform as IAC Tool</t>
  </si>
  <si>
    <t>Use of practical examples regularly for the student to interact.</t>
  </si>
  <si>
    <t>Examples in Lean teaching.</t>
  </si>
  <si>
    <t>Elaboration of the schedule from the needs and limitations of the class.</t>
  </si>
  <si>
    <t>Prior sharing of course prerequisites.</t>
  </si>
  <si>
    <t>Student support document based on steps.</t>
  </si>
  <si>
    <t>Specific support team to ask student doubts.</t>
  </si>
  <si>
    <t>No deepening in very specific problems.</t>
  </si>
  <si>
    <t>Zoom, Google Meet or WebEx as stream tool.</t>
  </si>
  <si>
    <t>Use of the notion tool.</t>
  </si>
  <si>
    <t>Jenkins as a continuous integration tool</t>
  </si>
  <si>
    <t>Use of Notion and Trello instead of Gist.</t>
  </si>
  <si>
    <t>Individual evaluation of student evolution</t>
  </si>
  <si>
    <t>Evaluation of the course by NPS (Net Promoter Score).</t>
  </si>
  <si>
    <t>Evaluation through a recording of a teacher training.</t>
  </si>
  <si>
    <t>Merge between theory and practice.</t>
  </si>
  <si>
    <t>Development of complete software.</t>
  </si>
  <si>
    <t>Continuous delivery through virtual or docker machines.</t>
  </si>
  <si>
    <t>Use of a sample project.</t>
  </si>
  <si>
    <t>Practical Activities: Disconnecting the system code database connection, continuous integration with Jenkins and continuous delivery in public or ansible numbers.</t>
  </si>
  <si>
    <t>Various shapes and tools for a task.</t>
  </si>
  <si>
    <t>Construction by the students of their own systems during discipline.</t>
  </si>
  <si>
    <t>Use of various sources of materials.</t>
  </si>
  <si>
    <t>Preparaçã de aula</t>
  </si>
  <si>
    <t>Availability of an Example Ready, well-elaborated, Open Source system.</t>
  </si>
  <si>
    <t>Teaching of version control, build, ci, gitflow and software testing.</t>
  </si>
  <si>
    <t>Documentation of the reference material.</t>
  </si>
  <si>
    <t>Difficulty in the configuration of Jenkins</t>
  </si>
  <si>
    <t>Presentation to the students of the relevant tools and their cost-benefit.</t>
  </si>
  <si>
    <t>Breaking DevOps teaching in various disciplines in a specialization.</t>
  </si>
  <si>
    <t>Limited time in choosing themes and tools.</t>
  </si>
  <si>
    <t>Use of simpler and relevant tools.</t>
  </si>
  <si>
    <t>Use of a family programming language.</t>
  </si>
  <si>
    <t>Contextualization of historical aspects with concepts of CI, CD.</t>
  </si>
  <si>
    <t>clear relationship between DevOps and Software development models.</t>
  </si>
  <si>
    <t>Presentation of the historical importance of DevOps concepts and the relationship with SRE (Site Realibility Rengineering) from the main players in the industry.</t>
  </si>
  <si>
    <t xml:space="preserve">Use of Comprehensive Distance Learning Teaching Methodology (CDL).
 </t>
  </si>
  <si>
    <t>Study of the subject before the preparation of classes.</t>
  </si>
  <si>
    <t>Use of dynamics to inspire the class.</t>
  </si>
  <si>
    <t>Tools Mesos, Marathon and Swarm Docker before Kubernetes.</t>
  </si>
  <si>
    <t>Teams of monitors for assessment help.</t>
  </si>
  <si>
    <t>Creation of exemplar syllabus of the discipline.</t>
  </si>
  <si>
    <t>Use of Problem-based Learning (PBL) for the teaching of DevOps.</t>
  </si>
  <si>
    <t>students into teams</t>
  </si>
  <si>
    <t>teaching just enough</t>
  </si>
  <si>
    <t>fast feedback</t>
  </si>
  <si>
    <t>manual test, pull request, automatic test, code coverage, CD pipeline, deployment in the cloud.</t>
  </si>
  <si>
    <t>group motivation responsability of themselves</t>
  </si>
  <si>
    <t>linux</t>
  </si>
  <si>
    <t>vagrant and VirtualBox tools free and useful consistent deployment enviromnment</t>
  </si>
  <si>
    <t>selenium</t>
  </si>
  <si>
    <t>kanban board</t>
  </si>
  <si>
    <t>labs functionality before class</t>
  </si>
  <si>
    <t>team 40%, exams 60 %</t>
  </si>
  <si>
    <t xml:space="preserve">Avaliação </t>
  </si>
  <si>
    <t>keep students engaged</t>
  </si>
  <si>
    <t>open book exams in remote class</t>
  </si>
  <si>
    <t>continuous improvement concept</t>
  </si>
  <si>
    <t>images with everything to clone with virutal machines</t>
  </si>
  <si>
    <t>comparation of tools</t>
  </si>
  <si>
    <t>cloud SAS providers avoid time installations ans configurations</t>
  </si>
  <si>
    <t>different dev and ops courses</t>
  </si>
  <si>
    <t>DevOps benefits to the business area.</t>
  </si>
  <si>
    <t>small projects</t>
  </si>
  <si>
    <t>jump-starting exemples of commonly used commands of tools</t>
  </si>
  <si>
    <t>freedom curriculum</t>
  </si>
  <si>
    <t>Evaluate single project on the standpoint of architecture an continuous integration</t>
  </si>
  <si>
    <t>limitations on production environment</t>
  </si>
  <si>
    <t>tools when get into concept. docker with containers.</t>
  </si>
  <si>
    <t>fixed technology stack</t>
  </si>
  <si>
    <t>whiteboard free session for students that failed</t>
  </si>
  <si>
    <t>mvp components evaluation</t>
  </si>
  <si>
    <t>many evaluations along discipline. green, yellow or rad flags to evaluate</t>
  </si>
  <si>
    <t>kubernetes</t>
  </si>
  <si>
    <t>generic DevOps perspective, basic concepts and after specialized issues</t>
  </si>
  <si>
    <t>environment setup by students</t>
  </si>
  <si>
    <t>small and challeging project</t>
  </si>
  <si>
    <t>sonarqube</t>
  </si>
  <si>
    <t>JMeter for testing</t>
  </si>
  <si>
    <t>many free devops tools</t>
  </si>
  <si>
    <t>Implements the sample application</t>
  </si>
  <si>
    <t>lab project with five deliverables. weeks interations</t>
  </si>
  <si>
    <t>unicorn project book</t>
  </si>
  <si>
    <t>The Phoenix book novel for Ops side</t>
  </si>
  <si>
    <t>Tuleap</t>
  </si>
  <si>
    <t>clear course objective</t>
  </si>
  <si>
    <t>devops process modelled by value stream mapping technique</t>
  </si>
  <si>
    <t>improviment of the course quality</t>
  </si>
  <si>
    <t>serious about DevOps</t>
  </si>
  <si>
    <t>research on devops, write essay, contribution to tools and fix issues. open source project should be popular on github</t>
  </si>
  <si>
    <t>tutorials with katacoda</t>
  </si>
  <si>
    <t>teams engagement</t>
  </si>
  <si>
    <t>two months with four hours in each week</t>
  </si>
  <si>
    <t>devops replace a dying course in the curriculum</t>
  </si>
  <si>
    <t>teachers half time industrial and half time faculty</t>
  </si>
  <si>
    <t>Pedagogia(?)</t>
  </si>
  <si>
    <t>DevOPs tools well integrated in Bluemix platform from IBM</t>
  </si>
  <si>
    <t>continous evaluation of the projects</t>
  </si>
  <si>
    <t>estratégias pedagógicas em aula</t>
  </si>
  <si>
    <t>use of tool in teaching Continuous Integration</t>
  </si>
  <si>
    <t>Assessment of students' level of participation and difficulty in teamwork</t>
  </si>
  <si>
    <t>Discipline with a considerable workload of development and operation</t>
  </si>
  <si>
    <t>Adoption in the curriculum of continuous integration approach and tools common in everyday life</t>
  </si>
  <si>
    <t>Union of different materials</t>
  </si>
  <si>
    <t>Mastery of teaching support tool</t>
  </si>
  <si>
    <t>Reuse of the same discipline in an operation and development class.</t>
  </si>
  <si>
    <t>Teaching of the pipeline concept.</t>
  </si>
  <si>
    <t>Use of a specific set of tools.</t>
  </si>
  <si>
    <t>Mutation on the menu because of the amplitude DevOps.</t>
  </si>
  <si>
    <t>Excessive consumption of hardware by virtual machines.</t>
  </si>
  <si>
    <t>Simulation of real problems.</t>
  </si>
  <si>
    <t>Trello or Notion as Tracking Tool</t>
  </si>
  <si>
    <t>GitLab or GitHub as a source code repository tool.</t>
  </si>
  <si>
    <t>Limitation of the Zoom fps rate for 10.</t>
  </si>
  <si>
    <t>Lean, Kaizen and Agile Teaching</t>
  </si>
  <si>
    <t>Grafana and Prometheus as a monitoring tool</t>
  </si>
  <si>
    <t>Comfortable learning environment.</t>
  </si>
  <si>
    <t>Utilização de muitas ferramentas.</t>
  </si>
  <si>
    <t>Functional initial environment configuration.</t>
  </si>
  <si>
    <t>Jenkins, Travis Ci, Circle Ci and GitHub Actions as CI tools.</t>
  </si>
  <si>
    <t>Written evaluation of DevOps concepts.</t>
  </si>
  <si>
    <t>Uniformity of didactic material.</t>
  </si>
  <si>
    <t>Assembling classes with history, motivation, problems, solutions.</t>
  </si>
  <si>
    <t>Student Advancement Monitoring</t>
  </si>
  <si>
    <t>Prior organization of infra structure.</t>
  </si>
  <si>
    <t>Practice of DevOps Concepts</t>
  </si>
  <si>
    <t>Critical thinking and self-duty.</t>
  </si>
  <si>
    <t>Merge of PBL, inverted class and agile.</t>
  </si>
  <si>
    <t>agile planning with springs</t>
  </si>
  <si>
    <t>solution not given</t>
  </si>
  <si>
    <t>students with previous courses</t>
  </si>
  <si>
    <t>docker</t>
  </si>
  <si>
    <t>argo cd</t>
  </si>
  <si>
    <t>managed students questions by TA</t>
  </si>
  <si>
    <t>quiz with multiple choices</t>
  </si>
  <si>
    <t>virtual machines provisioning by cloud computing</t>
  </si>
  <si>
    <t>github classrooms</t>
  </si>
  <si>
    <t>evolution of tools</t>
  </si>
  <si>
    <t>basic skeleton of the classes based on concepts and on goals</t>
  </si>
  <si>
    <t>forgivable and less stressful with students</t>
  </si>
  <si>
    <t>courses of software architecture and devops together</t>
  </si>
  <si>
    <t>software portable and modular</t>
  </si>
  <si>
    <t>presentation about devops topics</t>
  </si>
  <si>
    <t>no assumption about learning level of the students</t>
  </si>
  <si>
    <t>labs of pipeline, A/B tests, and automated tests</t>
  </si>
  <si>
    <t>exam with an open source application</t>
  </si>
  <si>
    <t>owasp zap</t>
  </si>
  <si>
    <t>course with 80% concepts and 20% applications</t>
  </si>
  <si>
    <t>labs with teaching assistants</t>
  </si>
  <si>
    <t>environment on Github and AWS accounts</t>
  </si>
  <si>
    <t>case studies in the exams</t>
  </si>
  <si>
    <t>industrial speakers sharing their experience</t>
  </si>
  <si>
    <t>not predefined projects dangerous for the organization of the course</t>
  </si>
  <si>
    <t>basic devops concepts and tools with teacher assistants</t>
  </si>
  <si>
    <t>constantly discussion about devops teaching in an open way</t>
  </si>
  <si>
    <t>devops course as elective one</t>
  </si>
  <si>
    <t>Não vejo como sendo pedagogia, o mais proxímo que eu pensei foi currículo mesmo</t>
  </si>
  <si>
    <t>Monitoring by a supportive learning environment.</t>
  </si>
  <si>
    <t>Socialization of knowledge of practical activities</t>
  </si>
  <si>
    <t>Vulnerability management teaching to DevOps security classes.</t>
  </si>
  <si>
    <t>Practice with well-defined example steps and contexts.</t>
  </si>
  <si>
    <t>Use case sampling, eliminating silos between development and operations teams.</t>
  </si>
  <si>
    <t>Dedication on 50% for DevOps culture and 50% for tools on the curriculum</t>
  </si>
  <si>
    <t>Use the Terraform tool.</t>
  </si>
  <si>
    <t>Use of blocks or trello for Lean teaching.</t>
  </si>
  <si>
    <t>Prerequisites available beforehand.</t>
  </si>
  <si>
    <t>Specific support team for infrastructure doubts.</t>
  </si>
  <si>
    <t>Use a Stream Tool as Zoom, Google Meet or WebEx</t>
  </si>
  <si>
    <t>Use of Jenkins.</t>
  </si>
  <si>
    <t>Individual assessment of students.</t>
  </si>
  <si>
    <t>Class evaluation through training recording.</t>
  </si>
  <si>
    <t>Development of software across all steps from DevOps.</t>
  </si>
  <si>
    <t>Exemplification from forum projects.</t>
  </si>
  <si>
    <t>clear diversity of possible tools to perform a task.</t>
  </si>
  <si>
    <t>Use of miscellaneous DevOps study materials.</t>
  </si>
  <si>
    <t>CI tools, like Jenkins, during the transition to cloud CI tools.</t>
  </si>
  <si>
    <t>Division of the course of DevOps in various disciplines.</t>
  </si>
  <si>
    <t>Prioritization of teaching more essential tools.</t>
  </si>
  <si>
    <t>Use of a comfortable programming language for the teacher</t>
  </si>
  <si>
    <t>Contextualization of historical aspects and definition of concepts Continuous integration, continuous delivery, continuous deployment and automation.</t>
  </si>
  <si>
    <t>Study of many subjects before preparing classes.</t>
  </si>
  <si>
    <t>Use of Mesos, Marathon and Docker Swarm, before Kubernetes.</t>
  </si>
  <si>
    <t>Use of discipline elaborated by the interviewee P7 as a reference for other DevOps disciplines.</t>
  </si>
  <si>
    <t>teach just enough so learn in the right context</t>
  </si>
  <si>
    <t>test cases manually, pull requests, test automation CI, test cases, code coverage. Setup CD pipeline deploy application in cloud.</t>
  </si>
  <si>
    <t>Linux operational system</t>
  </si>
  <si>
    <t>Selenium UI test automation</t>
  </si>
  <si>
    <t>Kanban board</t>
  </si>
  <si>
    <t>team 40% of grade. Exam 60%.</t>
  </si>
  <si>
    <t>exams with open book</t>
  </si>
  <si>
    <t>continuous improvements key DevOps concept</t>
  </si>
  <si>
    <t>contrast tools before choose</t>
  </si>
  <si>
    <t>dev and ops in different courses</t>
  </si>
  <si>
    <t>curriculum allows degree freedom</t>
  </si>
  <si>
    <t>show operational contrains like coder not get access production environment</t>
  </si>
  <si>
    <t>forced technology stack</t>
  </si>
  <si>
    <t>MVP evaluation</t>
  </si>
  <si>
    <t>Kubernetes ad DevOps tool</t>
  </si>
  <si>
    <t>students set up their DevOps environment</t>
  </si>
  <si>
    <t>SonarQube on automation</t>
  </si>
  <si>
    <t>Free DevOps tools avaliable</t>
  </si>
  <si>
    <t>Lab projects with deliverables</t>
  </si>
  <si>
    <t>Unicorn Project book for Dev side issues</t>
  </si>
  <si>
    <t xml:space="preserve"> </t>
  </si>
  <si>
    <t>Tuleap for lifecycle</t>
  </si>
  <si>
    <t>capture DevOps process of modeling, flow activities with value stram mappin technique</t>
  </si>
  <si>
    <t>serious communication with the student about DevOps</t>
  </si>
  <si>
    <t>Katacoda website to tutorials about tools.</t>
  </si>
  <si>
    <t>backgroun about software engenieeting</t>
  </si>
  <si>
    <t>half time industrial nd half time faculty</t>
  </si>
  <si>
    <t>Continuous evaluation of projects</t>
  </si>
  <si>
    <t>Challenges</t>
  </si>
  <si>
    <t>% Challenges</t>
  </si>
  <si>
    <t>Recommendations</t>
  </si>
  <si>
    <t>% Recommendations</t>
  </si>
  <si>
    <t>C + R</t>
  </si>
  <si>
    <t>% C+R</t>
  </si>
  <si>
    <t>total</t>
  </si>
  <si>
    <t>Unique ID</t>
  </si>
  <si>
    <t>A recurrent problem is the level of students knowledge that they come when they start the discipline.
The lack of proficiency of some students in some criteria of this ends up making this practice difficult.
For those who are from infrastructure and are only used to accessing the server, building it with a tool like Maven, for example, can be a challenge for them.
Some people take a network course they know when IP addresses. Some people don't know what an IP address is.
Many students, even master's students who are going through this kind of a program are probably, are we missing one or two frames of reference? A lot of students come through approaching this from the software engineering side of the house. They're learning how to build applications and that sort of thing. They have no real experience on operations and simply standing up infrastructure in the cloud is not operations, right? It's an aspect of operations. It's important piece of operations, but it's not everything you don't necessarily have people with the expertise in network design capacity plan, security, identity management</t>
  </si>
  <si>
    <t>Insufficient knowledge level of students to start the course.
Students' previous lack of knowledge makes learning difficult.
It is challenging for students with an operating background to carry out software development activities, such as generating a build with the maven tool.
Students who came from the area of ​​software engineering lack experience in operational activities.
Some students don't know network concepts.</t>
  </si>
  <si>
    <t>Insufficient knowledge level of students to start the course.</t>
  </si>
  <si>
    <t>To configure a environment needed to start.
I had difficulty setting up the infrastructure.
If you want a kind of hybrid discipline, in which you have the theory and applied practice, then the challenge will be different, then it ranges from having an environment for it to structuring the environment, or thinking about something like that, to making a virtual machine available.
We've tried to let the students, uh, deal with the setup and, uh, install everything on their computer with Dockerizing stuff and scan things. And that was yet another disaster because then it's not reproducible and it works on their computer, but then it's really complicated to make it work on the TA.</t>
  </si>
  <si>
    <t>Difficulty configuring and setting up the infrastructure needed to run DevOps experiments.
Difficulty in setting up the infrastructure.
Be concerned about the infrastructure used in the student's environment.
If you let the students deal with the environment setup on their computers, it will become not reproducible and complicated to make it work even with the teacher assistant.</t>
  </si>
  <si>
    <t>Setting up the infrastructure is difficulty.</t>
  </si>
  <si>
    <t xml:space="preserve">In many times, a professor would need computational resources to teach specific concepts [...] to configure real scenarios as much as possible.
Many times, you do not have access to computer resources to set up scenarios that you can actually teach labs or do, there, labs for students to learn.
Student machine capacity restriction.
We depend on the internet, I will give you a straightforward example, you will use the virtual machine, no matter how much you use Vagrant, for example, it needs to download a base image. And depending on the student's location, it takes two minutes and up to two hours.
If you're the things and they've launch, you know, Docker and Jenkins, that's it or JDK, that's it. There's no memory left. Um, so is the environment set up is hard. </t>
  </si>
  <si>
    <t>Few computational resources for setting up scenarios close to real ones.
Lack of computer resources for teaching the class.
Students may have learning difficulties due to their machine's capacity constraints.
Students may have limited internet access. It difficults activities such as downloading OS images to virtual machines.
Local environment set up is hard because it needs lots of hardware.</t>
  </si>
  <si>
    <t>Limited computional resources.</t>
  </si>
  <si>
    <t>Some datasets as Azure from Microsoft, which the federal institute has a partnership has limited trial time to test, and it is necessary to have a credit card and other related things which sometimes the students do not have.
There is no account, like, the teacher that he can make available, and there are resources for what students learn to set up these scenarios, right? Neither a local datacenter nor one of these commercials, many times it is not, it does not have all the possibilities you could use, at least not, without being linked to an agreement or something like that.
If you are going to make this CI in the cloud commercially, you will have to pay. It is not free. Free here just for us to play, right? However, if you want to put your company's system to do, I don't know how many integrations per week, you will have to pay for it.
Mean, captive of their platform and you also have to sign with your blood and agreements that you're doing it for academic purposes and those kind of things, because IBM can be quite aggressive with their partnership, um, policies. So except that I had to sign something that was a little bit too much from my perspective, this kind of tooling was good.</t>
  </si>
  <si>
    <t>Even through educational partnerships, using private cloud providers by students could be limited.
In public clouds, teacher use of student resource management is not widely available.
Using cloud services more professionally requires payment at a commercial level.
Cloud providers can have aggressive policies in the agreements for academic purposes.</t>
  </si>
  <si>
    <t>Cloud providers usage has limits.</t>
  </si>
  <si>
    <t>There is no accepted taxonomy of what the concepts of DevOps are.
There's a lack of frame of reference on even what operations is. Most people get into operations, at least in my experience sort of accidentally.
 How to express concept, formalize them. But at the same time also focus on those issues that are getting in the way, the non-industrial way of, you know, writing scripts that if you want to industrialize them and they become Bulletproof, it's a mess, right? It's difficult.</t>
  </si>
  <si>
    <t>There is no taxonomy about what are the main DevOps concepts.
There's a lack of reference on operations concepts.
It is difficult to express and formalize DevOps concepts. There is not bulletproof in devops.</t>
  </si>
  <si>
    <t>There is no convention about DevOps concepts.</t>
  </si>
  <si>
    <t>I don't know any specific teaching devops tool.</t>
  </si>
  <si>
    <t>Unknown specific devops educational supportive environment.</t>
  </si>
  <si>
    <t>We sometimes want to teach everything and we don't have infinite time[...] to fit the knowledge of DevOps, which is very broad knowledge and involves at least two distinct areas[...]
Making it fit was more difficult because sometimes the content is too long and time is limited.
The challenge in this aspect refers to [..] the issue of laboratories [...], but you always end up as a matter of time versus class development.
When I taught the DevOps course in my master's, it was DevOps from beginning to end, right? So I had to decide everything that was going to go into the content. There is a lot that was left out.
This area of ​​DevOps is gigantic too. So training is limited there. It is a forty-hour training, right?
My biggest challenge is that my course should be two semesters because it's just too much stuff to fit in one semester. [...] the challenge there is I had to put together a curriculum that had, um, a little bit about everything. [...] So it's challenging fitting all that stuff into one semester.
   There's lots and lots of information, which is why I give them lots of support during the week on slack. Um, but there's lots of information to cover. And because it's so challenging, I don't get to cover a lot of once you deploy it, how do you monitor it? Uh, right. And, and, and how do you, how do you, you know, go through the logs? And I mean, we do a little bit of looking at the logs when we deploy it to figure out if it's working, but I don't do a lot of the ops side of DevOps.
And in terms of operation, a lot of the stuff that we tend to do at university tends to be fairly small because there's just realistic time constraints for how much people can get done in a week or two, or even in a term or a semester. ...  that I've found is a little bit of misconception or at least prejudice around what devops actually is.
Because in though in the ops part, and this is the stuff I typically don't have as much time for simply because I know most of the students are coming from the software development side of the house.
That's exactly. That's a lot for one semester.
I introduced the concept of them speaking about continuous integration, continuous, and delivery and continuous deployment. But, uh, in, in practice doing the remaining stage in the lab is very challenging because we don't have enough time because it's three months.</t>
  </si>
  <si>
    <t>Insufficient time to address extensive DevOps knowledge in a limited-hour curriculum.
Insufficient time to address extensive DevOps knowledge in a limited-hour curriculum.
Limitation of the development of laboratory practices in class due to the short time.
There is a limited amount of time to teach the devops content.
Lots of DevOps content to teach with little time available (40 hours).
DevOps has too much contents and it's hard to fit it in a semester.
No time to teach operations side.
Realistic time constraints prejudice around what devops actually is.
In devops course with dev and ops together, ops part are not touched because dev parts take a lot of time.
One semester is insufficient time to teach DevOps.
Labs of continuous integration and continous delivery are challeging because there is not enough time in three months.</t>
  </si>
  <si>
    <t>Insufficient time in the course to teach DevOps.</t>
  </si>
  <si>
    <t xml:space="preserve">[...] I couldn't set up a DevOps environment due to restrictions even with administrative authorization.
 That simply wasn't a possibility and computer labs are not equipped for that sort of a thing because of necessity. Universities have to lock down their software and hardware to keep really bad things from happening.
You have the machines where you deploy to. Um, and quite often the students are in the same classroom on the wifi of the universities or the under the sub network, but the ports are not open [...] you need a lot of machines interconnected, um, with visibility on each other that they can get to. And that's hard in a, in a, in a classroom environment this year I had 78 students.
All of those challenges are basically how do you rebuild an enterprise environment into a university environment that is much more restrictive and doesn't have enough machines for them. Usually that's a real challenge.
</t>
  </si>
  <si>
    <t>Difficulty in getting authorization and lab resources from the institution to install tools in order to setup a DevOps environment.
University labs have restrictions on installing tools.
The academy has network limitations to create near-real infrastructure.
It is difficult to build an enterprise environment into a university environment that is much more restrictive and doesn't have enough machines for them.</t>
  </si>
  <si>
    <t>Institutions' resources have limits.</t>
  </si>
  <si>
    <t xml:space="preserve">
There wasn't a tool to configure the environment [...] or to automate these environments then [..] since it became manual.</t>
  </si>
  <si>
    <t>There was no automated environment setup tool to support the student.</t>
  </si>
  <si>
    <t>There wasn't a set of [...] scripts that the student should configure this environment himself, install the tool himself [...] whatever the servers he needed.</t>
  </si>
  <si>
    <t>There was no script for the student on how to install the tools used during the course.</t>
  </si>
  <si>
    <t>There is no such literature in the area of ​​enterprise systems.
A partner editor, including the board, who brought a catalog of books for us to take a look at, and I went after it, including a book on the subject, right? From corporate systems, right, from this part of DevOps, and simply, I didn't find it in the catalog.
The even greater difficulty, which I can point out, is precisely the structuring, really, perhaps of the sequence of classes, because we do not have this material that guides.
It is a discipline with no definition, so there is no introductory textbook. There is not something totally agreed upon between the community of what it is, when it is applied, and such.
The course preparation is very difficult [...] there will not be that much paper, article because it is very new.
 And then the books are more industry oriented. Like, uh, we don't look at the, uh, uh, more with teaching parts, like, um, so there is no textbook, actually it is more industry document, eh, discussion about DevOps.
 what we sit and do, but, uh, so from the lab perspective, that's interesting, but on the teaching side, as I said, like, uh, having limited material, make the teaching a little bit more difficult.
your books are written mostly with the different projects in mind. Like they are thinking about people working in the company, but not thinking about students who are learning. And this makes it very difficult to design a DevOps curriculum where you cover a hundred percent DevOps in one course.</t>
  </si>
  <si>
    <t>Difficulty finding book on corporate systems related to DevOps.
Literature in the area of ​​enterprise systems related to DevOps is insufficient.
Difficulty in structuring classes due to lack of reference material.
There is no fully agreed community base text.
There are not so many scientific articles on which to base course preparation.
The books are more industry oriented. There is no textbook about with discussion about DevOps concepts.
There's limited material to teach.
Books are designed to company professionals and not about to students who are learning.</t>
  </si>
  <si>
    <t>Insufficient literature related to teach DevOps.</t>
  </si>
  <si>
    <t>Once it's deployed, how do you manage to monitor and give and maybe get feedback from the customer, maybe things to improve, the monitoring of the system itself, this part is a challenge, really, to be able to show it to the student and maybe , make him face it from a more professional perspective, because already imagining that he is going to the market and will come across these many situations there.
When they arrive, many use another environment[...] they put the system there and they don't have to worry too much about other details[...] We really ask them to make this migration for them to have this other view, this aspect of setting up the environment. Putting it into production and keeping this system working.[...] I think this can be seen as a challenge, which is to convince students to give importance to this, the importance of them knowing these aspects too, not leaving it so transparent to them too.</t>
  </si>
  <si>
    <t>It is difficult to make the student face teaching scenarios with a more professional perspective, with production-level monitoring.
Difficulty in making clear to students the importance of having a more realistic perspective of production, using other environments and leaving aside the comfort zone in which they may be inserted.</t>
  </si>
  <si>
    <t>Difficulty in making clear to students the importance of having a more realistic perspective of production.</t>
  </si>
  <si>
    <t>The challenge of making students see this approach to operationalization, putting the system on the air, maintaining this system, adding new features and not breaking the system.
The concept of continuous delivery [...] The difficult thing is to put it into practice [...] when they, as a team, need to release a certain functionality and ensure that it doesn't break the system.</t>
  </si>
  <si>
    <t>Difficulty in teaching the student how to operate the system, allowing the addition of new features without breaking the system.
Difficulty for students to practice the concept of Continuous Delivery when it is necessary to add new features to the system without the build breaking.</t>
  </si>
  <si>
    <t>Difficulty in teaching the student how to operate the system, allowing the addition of new features without breaking the system.</t>
  </si>
  <si>
    <t>How can we see if the student is aware of the concept of continuous delivery, which is one of the concepts we address?</t>
  </si>
  <si>
    <t>Difficulty in assessing students' understanding of Continuous Delivery.</t>
  </si>
  <si>
    <t>It's more this initial contact that seems to scare them a little more, it makes them go to others, when they arrive.
The part of actually putting an initial part has this shock of this reality there for the students in which they have to leave a tool that they are already there with the system running and bring it to our tool.</t>
  </si>
  <si>
    <t>The environment adopted by instructors can frighten students by making them migrate to other tools.
Students' initial difficult at having to switch from tools in which their applications were already working to the one adopted by the instructor.</t>
  </si>
  <si>
    <t>The process of making students migrate to other tools it's hard.</t>
  </si>
  <si>
    <t>the docker, [...] to use, they usually have a greater difficulty in this theme, in the beginning.</t>
  </si>
  <si>
    <t>Initial difficulty using the Docker container tool.</t>
  </si>
  <si>
    <t>A challenge that is to convince students to give importance to this... they have this other view, this aspect of the configuration of the environment.</t>
  </si>
  <si>
    <t>The student has difficulty realizing the importance of setting the environment.</t>
  </si>
  <si>
    <t>The challenges I can mention is precisely this part of you being able to demonstrate, right, to demonstrate to them all this tooling of ours.
The main challenge is that, in general, DevOps related tools are cloud-based systems.
In general, you have a wide range of solutions. You have a very large ecosystem of possibilities on how to test or demonstrate a concept.
A difficulty of technologies is about recognizing what is relevant to be addressed in the classroom, is not it? So, for example, there is much technology on the market.
Because the DevOps universe has millions of tools, technologies, and [...] It has an infinity of tools, they all meet the objectives. They are good and such.
This is a problem because of what happens: there are several tools, and we always have to close on some for the didactic nature of experimentation.
The other big challenge is: technology. People come with Macs, people come with windows, people come with Linux. [...] So that's the other challenge is people coming in with different technology and then how do you teach them the same thing without saying: "oh, the command in windows is this and the command on a Mac is that."
It can be also challenging for the, if you have the lab instructor with handling all tools.</t>
  </si>
  <si>
    <t>There are a large number of DevOps tools available.
Many DevOps tools are cloud based.
Many DevOps tools and usability available.
Difficulty in deciding which technologies to teach, given the wide variety available on the market.
There are many DevOps tools.
There are many DevOps tools to choose from.
It's hard to deal with many options of tools.
The lab instructor should handle many tools.</t>
  </si>
  <si>
    <t>There is a large number of DevOps tools.</t>
  </si>
  <si>
    <t>The main challenge is to correctly convey to students the idea that DevOps is about a culture.
It is the cultural challenge of I am not going to deliver a ready-made recipe.
How to apply these things from Devops in companies [...] there is a great difficulty that is cultural. Companies have always organized themselves in this way, separating movement from infrastructure, not having collaboration, not having communication, and this ends up generating friction, especially when problems arise [...] go on changing a little the company's culture, the process, the way people organize themselves, meet, and such, trying to remove the barriers there until it is natural and both teams work together [...] with a single goal, which is to develop, deliver software that works and solve problems as quickly as possible.
Trying to contextualize this too is very difficult.
Culture is difficult to teach.</t>
  </si>
  <si>
    <t>Difficulty to teach the DevOps culture.
There is no ready-made recipe to teach the DevOps mindset (culture).
Difficulty breaking through resistance to the DevOps culture and its principles.
Difficulty contextualizing the DevOps culture.
Culture is difficult to teach.</t>
  </si>
  <si>
    <t xml:space="preserve">DevOps culture is hard to teach. </t>
  </si>
  <si>
    <t>The student hopes to [...] learn that killer tool, which will help in the practical context of his life, whether in the process of development, security or operations. [...] wants to know the tools much more than understand the DevOps culture.
The first challenge is to decouple the idea that about DevOps [...] to deliver a formula.
The students arrive with the idea that they have a set of X tools to deliver in their daily lives and tools only a piece and a small piece within the delivery process, which is more cultural and more personal than tooling, huh? Organizational even, I would say.
It is to set expectations when he signs up that the entire course is not tooling and that no, we will not use the best stacks in the market.
Give this view that DevOps is not just a tool [...] It is very much in line with agile movement.
Trying to show that DevOps is not just tools, trying to make people understand this and trying to change it during the class, so trying as best as possible to make people understand, right? That they will end up having to change the culture of the environment, right? The processes, the way they organize themselves.
 People coming through the programs want to play with technology. ... But what that tends to foster is a technology centric attitude about what devops is all about. ... That's half the reason we got into this field in the first place, and it's a really fun thing to be able to do, but it's not sufficient.
There's a big focus on tools.
DevOps doesn't equal CI/CD and DevOps doesn't equal automate the testing.
Let's say political challenge that you have to convince in a way that DevOps is not purely technical and that it's must be part of an academy curriculum.</t>
  </si>
  <si>
    <t>Students have a prior concept that DevOps is restricted to the use of tools, not being interested in the cultural part of DevOps.
Difficulty explaining to students that DevOps is not just about tools.
Difficulty in explaining to students that DevOps is not just tooling, it encompasses the cultural part.
Difficulty adjusting students' expectations, as most of them just want to use new tools.
Difficulty in being able to explain to the student that DevOps does not involve only the tooling part.
Difficulty breaking the student perspective that DevOps is just tools and automation.
Students came to course focused in the tools.
So many people only focus on the tools side from DevOps.
DevOps is not only CI/CD and automation.
Convince people that DevOps is not purely technical and it must be part of an academy curriculum.</t>
  </si>
  <si>
    <t>It's hard to show to students that DevOps is not all about tooling.</t>
  </si>
  <si>
    <t xml:space="preserve">As people are remote, basically for training, there are several factors that influence the didactics. The home environment, even, that the person, sometimes, does not live alone, or has sons, daughters. This is not a problem for people, for me, a teacher, as a teacher, but for a person, sometimes, you can't open a camera. You can't do one, so dealing with these differences within the pandemic is important. It's not a problem, but it's a point of e also the differences from the infrastructure that the person has to take the course. A machine a little newer, older, pre-configured for work, there are companies that already have the machine ready for day to day and the course uses other configurations which are challenges that we have with the students to talk, look, I need version X, and the person does not have the installation permission.
</t>
  </si>
  <si>
    <t>Difficulties in remote work with students: privacy, availability, infrastructure differences, environment configuration.</t>
  </si>
  <si>
    <t>[...] in many cases the assessment is still based on the traditional test model or on some fixed assessment process, with an X list of questions or something similar.</t>
  </si>
  <si>
    <t>Difficulty dealing with assessments based on a traditional test model.</t>
  </si>
  <si>
    <t>The DevOps concept, it's very open, right, it encompasses different areas between development, security and operations.
You cannot teach DevOps without experiencing DevOps, right? You cannot read in a book and want to teach DevOps because DevOps is a very practical discipline. There is a lot that happens in practice. So, there is a lot of doubt, from concepts, about Kubernetes configuration error, for example. So, these are things that we have to deal with [...] So, venturing out to teach DevOps, parachuting, that is a big challenge because the level of knowledge you will have to collect for this is quite diverse and multidisciplinary.</t>
  </si>
  <si>
    <t>The teaching of devops is multidisciplinary, covering different areas such as development, safety and operation.
There is a very diverse and multidisciplinary knowledge in teaching DevOps.</t>
  </si>
  <si>
    <t>The multidiscuplinary of DevOps is hard to deal with.</t>
  </si>
  <si>
    <t>If the student is in a context where he has always been in the academic area or he has never had practical contact with any of these features of software development, it is likely that it will be much more challenging for him.
If the student is in a context where he has always been in the academic area, or he has never had practical contact with any of these features of software development, [...] for the teacher, it becomes much more challenging to teach the DevOps concept this student profile.
The main challenge remain the able to, to, to teach the fundamentals. I think that this type, of course almost requires some type of industrial experience, because if you've not been in contact with the industry, there are so many things that are, um, more difficult to, to, to eally understand.
Teaching this course, it's possible to teach it with students with no experience, but it makes the thing like this. I've been trying to have interactions with the students about, I know certain topics become quite difficult because they cannot relate it to anything concrete.
It didn't work for some specific tools that they wanted to present using this a katacoda, uh, website.
I mean, there are students, so they are, they are not in the industry yet. And so that's, that would be the main part to make the student understand that it's, it's not about configuring Jenkins or having Docker running on their computer.
When you're talking to freshmen and they have no idea what's happening. Like they have a superficial idea of what's happening. Then it's like finding a way to explain them why the mindset is important.</t>
  </si>
  <si>
    <t>There is a greater difficulty in understanding devops by students whose background is more academic, who have no experience in software development or direct operation.
It is difficult to teach students with more academic training that have no experience in software development or operation directly.
It is difficult to teach DevOps concepts without industry experience.
It is difficult to teach students with no industrial experience.
The students don't have the proper background to listen the lecture of people from the industry.
The students without industry experience can have difficulty to understand that DevOps is much more than using tools.
It is difficult to explain the importance of DevOps mindset to students that have a superficial idea of what is happening to industry.</t>
  </si>
  <si>
    <t>Teach DevOps concepts to students no industrial experience is hard.</t>
  </si>
  <si>
    <t>DevSecOps [...] is the type of discipline that requires strong knowledge in two areas, both distinct, in the security area, but at the same time in the development area to be able to find the link between the two and then yes, get to what the student.
The second point that the second challenge would be [...] skills.  I'm working on software engineering and I'm working on how to build software since the gate.</t>
  </si>
  <si>
    <t>The teacher needs good technical knowledge in the areas of security (especially vulnerability management) and systems development to teach DevSecOps.
Skills to teach DevOps are challeging.</t>
  </si>
  <si>
    <t>Skills to teach DevOps are challeging.</t>
  </si>
  <si>
    <t>The second challenge is people with different experiences [...] you have mixed classes, so at a point in the course where you talk about a specific programming language to give an example. Some are more familiar than others. [...] So, knowing how to deal with these differences to make the course pleasant for everyone and comfortable for everyone, this is a great challenge.
We have a standard agreement, not an agreement. It is a convention that we have which is the following, people are different, see? [...] they have different backgrounds, they have different life stories, experiences that marked them in different ways.
In both classes that I taught [...], there was a challenge of class heterogeneity. You have very proficient people in the development and have no idea about the server, Linux and environment configuration, tools, the other spectrum. People who came from operational, System admin itself is not so proficient in the programming part, in code.
Each student in the class brings a different experience, different challenges, and trying to generalize this is more complicated.
One of the challenges is how do you teach people from these different backgrounds [...]  there is so much technology that comes together in DevOps, that the challenge is how do you get everyone up to speed on an even right? So that we can all move forward together and learn together. So, so that's a big challenge.
Some of them do have a lot of programming and are fairly mature, but because when we recruit, they be coming from different schools.</t>
  </si>
  <si>
    <t>Difficulty in knowing how to deal with groups of students who have very different experiences.
Students in a class have different backgrounds, life stories and experiences.
Difficulty in preparing classes with students at different levels of proficiency in development and operation.
Dealing with the different experiences and perspectives of each student.
It's hard to teach people with different backgrounds.
Students have different backgrouds.</t>
  </si>
  <si>
    <t>It's challeging to deal with students having different backgrounds.</t>
  </si>
  <si>
    <t>Another challenge too, that [...] we changed our model from in-person to online, live. And then, we had this problem, right, that in the course there is a project, with certain technologies, but, in our case, we already have a laboratory that has everything installed and configured. So, in this case, man, now, it's the student who's going to do his homework, right, how is he going to configure the infrastructure with that specific project and without having a headache, it won't interfere in class.</t>
  </si>
  <si>
    <t>Students find it difficult to configure the tools on their own machines in remote teaching mode.</t>
  </si>
  <si>
    <t>Doing infrastructure as code or forms of configuration management or containerization, or even the simpler things like treating build scripts as first-class citizens alongside your code, start to not be meaningful until you have code at some minimum scale where there's a certain minimum complexity, both in terms of construction.
If you give artificial example or small toy example, then it's just going about configuring small things. So naturally naturally what DevOps is, uh, it's really complicated to make the students experience a cultural change and those kinds of things, because there's, well, there's no culture of, uh, industrial project in a school because it's academic project or it's teaching how to behave in a industrial project.
So it was lectures and labs and like a small project, but it was wasn't really satisfactory.</t>
  </si>
  <si>
    <t>Devops concepts like configuration management and contaizerization need examples with mininum scale and complexity.
The students can have difficulty understanding the DevOps culture working on a small example.
Small project wasn't really satisfactory.</t>
  </si>
  <si>
    <t>Small examples weren't really satisfactory.</t>
  </si>
  <si>
    <t>The DevOps concept, it's very open, right, it encompasses different areas between development, security and operations.
The expectation of students to deliver something, by hand, because they are technical people, is to be able to balance what is concept and what is practical and show the importance, the value of what you are explaining.
This part of culture and such, which is, let us say, more boring, right? That people go there wanting to see tools, right? So, how to balance, right? Talk a little non-technical things with technical things.
The challenge is this: having the non-technical part with the technical part, pondering both, and addressing these main topics, right?
The point is how do we adapt DevOps in concept in a way where we, we are still take keeping in mind the theoretical foundation, but where make it making it interesting from an industry or practical perspective.
The challenge is, in my opinion, is, is to, to strike this balance between, between, um, concreteness, like work with technologies, because essentially, uh, DevOps is yes, a philosophy. 
To strike a balance. The students are of course, very keen about the products and telemetry about the product and, and, and, and building Docker containers. And, but what I want them to reflect, I mean, the whole goal of DevOps is to make the process effective, very, very efficient.
There's a gap between what we can experiment during the course, what can be presented during the invited lecture from the industry, for example, those kinds of things and how, how whole, the things are connected together.</t>
  </si>
  <si>
    <t>Difficulty in making the association between theory and practice.
Difficulty balancing theory foundations and make them interesting in the practice.
Difficulty in balancing the teaching of theory (culture) and practice (tools).
Challenge to balance theory and practice.
It's challenging to teach DevOps concepts that have theoretical foundations and make them interesting from the industry perspective.
It is difficult to balance the concreteness (technologies) and the philosophy (concepts) of DevOps.
It is difficult to balance the usage of tools and making the DevOps process effective and efficient.
There is a gap about how to connect the lectures with the labs.</t>
  </si>
  <si>
    <t>For you to be able to look at all the students is very difficult, I understand why some cannot open the camera. It does not have the capacity or technology or structure to open, talk to you. Communication is broken, no matter how much we open it all the time, even if Zoom allows it. It is different from everyday life in the classroom because you cannot look at the student and see how he is reacting to that content. Not that you only adapt to one student, but you do not have the personal perception of doubt. Sometimes you can look at the student and say, oh, I think that was not clear to him. It is a challenge.
Because of the remote learning [...] I've been teaching my classes on zoom. And so, uh, that makes it very hard to do hands-on because I can't see the students right. While I'm doing the hands-on. So I can't see the puzzled look on their face and say, okay, I just lost them.
To make the lecture attractive students have to willing to interact. Right. Which is very difficult to do. And of course, uh, zoom teaching, uh, makes it a challenge.</t>
  </si>
  <si>
    <t>Difficulty in monitoring and keeping in touch with all students effectively during remote learning classes.
It's hard to do hands-on on remote learning because the teacher can't see the students face.
It is very difficult to interact with students in lecture remote teaching.</t>
  </si>
  <si>
    <t>Comunications with students is hard when classes are remote.</t>
  </si>
  <si>
    <t xml:space="preserve">There's still this challenge of understanding these tools, environment, network, configuration, you know? So, I think one challenge brings the other, right? I would say this is a challenge, too.
</t>
  </si>
  <si>
    <t>Difficulty in understanding environment, tools and network configuration.</t>
  </si>
  <si>
    <t>When you go to configure the tools and such, as you were the one who developed the system, it becomes easier, I believe you understand all the automations and such, but at the same time I see that the guys have a lot of difficulty in doing it.</t>
  </si>
  <si>
    <t>There is difficulty for students to carry out the automation of the construction of systems used during the course.</t>
  </si>
  <si>
    <t>This part of the system, which I ask them to do to monitor the discipline, [...] ok, I'll give you a system, will it be an open source system? Me too, you know? Since I can give you a system, let's use a real system that isn't a joke. So, like, I think of a great open souce system there, that has testing, has a shitload of stuff, has continuous integration and has I don't know what, and you can select the test battery that will be used in each corner, You know?
You have to make a business case. It's a lot harder to do.
The challenge sometimes is finding a good open source application, which is not too big also because you don't want the project to be too big. You don't want it to be too small, but you don't want too big. So, so finding something in between, which can be used. And, and, uh, so.
The challenge for us is getting an application, which is interesting [...] you know, like they can use.
The fact that DevOps is not just purely technical, it would be related to the fact that it's really complicated teach on a given semester because you have, let's say 13 to 15 weeks, three hours a week, and then you have to go through you can't address like large, large project because it doesn't fit in the semester.</t>
  </si>
  <si>
    <t>Difficulty selecting an example system realistic enough for students to use during the course.
It is hard to do a business case to demonstrate the importance of running devops.
It is difficult to find the right sized open source project to use. It is should be not too small and not too bit.
It is difficult to find an interesting sample application that students use.
Students can't work on large projects in 13 to 15 weeks three hours a week course.</t>
  </si>
  <si>
    <t>It's challeging to find the right sized examples to teach DevOps.</t>
  </si>
  <si>
    <t>So, because then, if I make this system, I can pass it on to people in a much simpler way, right? How do they do things and such, but then we also know that there are challenges, right? Wow, this is not that simple, will I have time to do it, right?
There is no time for, for example, structuring complex environments [...] I know it is not the reality in the market, very few companies I had contact that set up their environment from scratch on the nail, in a set of internal servers.</t>
  </si>
  <si>
    <t>Lack of time for teachers to develop a ready-made and well-crafted example system.
Lack of time to structure more complex environments with students.</t>
  </si>
  <si>
    <t>Lack of time to prepare classes to teach DevOps.</t>
  </si>
  <si>
    <t>If I make this system [...] We, professors, sometimes are not the most proficient programmers there are, so maybe what we write is not in accordance with what is happening in the market today.
So it is in line with what is happening in the community as a whole, right? Always trying to bring it, because this area, specifically, it runs very fast. So, every semester I run this discipline once a year, there are very strong updates on what is happening.
You have to change the tools almost every semester or every two years. You've got to look at what are the popular tools right now.
So the challenge for me is that the cloud is constantly evolving. And so every semester what I try to do in my class, in my labs, I have snapshots of screenshots and circles and arrows and, you know, click on this and move there. Um, and that changes constantly.
So there's a lot of preparation in making sure that the tools still work the way they should, that the cloud still works the way they should, um, that the code doesn't have vulnerabilities in it. And that you've got all the right versions of stuff. So that's a lot of, uh, preparation then of course, as I said, you know, new technologies, like when Kubernetes came around, you know, you have to add Kubernetes to the class, constantly adding new technologies to the class move.
The big challenge for me right, is, uh, is keeping up with the technology [...] so it's just challenging to keep up with all the new technology that's out there in DevOps.
And so every so often I'll get folks who have taken one class and then they start using the wrong version of the tool for the second class, because they have an upgraded or something along those lines. 
We move through some technology on the application side, we'll move through a little bit of technology on the operation side. What does change is trying to keep up to speed and keep the class adjusted for, uh, what the current state of the art and the current understanding of best practices.
There's always double checking the technology, making sure that if you've got any automation in your class, it still works after all of the API changes may have gone into effect on say your cloud provider or, or whatever, making sure you're on the latest and greatest versions of whatever tooling that you're going to use and make sure that the hat that hasn't broken things and always missing something and suddenly be scrambling before class going, oh no, no, no. They've changed something. I need to figure this out.
Um, we got bit by that quite a few times where we built the stack plus G unit plus, uh, we use, um, uh, some additional libraries for front-end, uh, some scripts for building Docker images, some version of Maven, and you need an Artifactory, et cetera. You can get everything set up, everything works fine up to June. Then you go on summer break and then the next session comes up in September and you use what you've built well, too bad. In the middle of the summer, Jay, you need to release a new version that requires where some acts of Maven that requires this version of the stack of the student install from scratch on their machine.
The main, uh, challenge that we had was that DevOps is, there are many too many tools and, uh, many of these tools are not solid and are not commonly used yet.
 I mean devops is always evolving and we are not what we consider DevOps here is different for, from what was considered DevOps, let's say five years ago.
The lab session, they have to be like really precise. You have to, it would work one day. And then the second day it doesn't work because there's an upgrade in the Docker API that makes things totally different. Or you you're, you're using it in the Dockerfile, you're using keywords. And then suddenly the new version of Docker decide that those keywords are deprecated and that you should not, uh, declared the authors this way.
So keeping things up to date and making things work like really working in, in, in being able to run the labs, not in panic mode, that everything was fragile and everything was able to collapse at any point was really stressful. And of course, a lot of things, I think it costs me like twice or three times the cost of preparing a regular course.</t>
  </si>
  <si>
    <t>Difficulty for teachers to keep up with the state of the art in the industry.
It is important to be up-to-date on industry tools every six months.
Every semester is necessary to update tools used on course.
The cloud are constantly evolving and it breaks labs every semester.
Lots of preparation to keep tools and environment working, secure and updated.
Keep up with new technologies is challenging.
Tool versions upgrades require updating the labs during the classes.
It is difficult to keep up the current state of art of devops industry practices.
Devops tools and APIs change fast and it may break your labs.
Exercises can be outdated in few months.
Many tools and some are not mature and not commonly used yet.
DevOps is always evolving fast in the last five years.
Lab session works one day and then doesn't work because there are changes like update in Docker API.
Keeping things up to date and making things working the labs is really stressful and time costing.</t>
  </si>
  <si>
    <t>It's challeging to be up-to-date with industrial DevOps tools.</t>
  </si>
  <si>
    <t xml:space="preserve">[...] it turned out that a lot of people did it in [...] different environments [...] for us, teacher, often we are not proficient in all of these.
Yeah, so challenges, um, differences in people's environments, their hardware, for example, every term, you know, if I want people to do something locally with, let's say, setting up virtual machines or containers or, or whatever, there's always some buddy who has some strange hardware configuration that causes problems.
We have some students on Mac, some on Linux, some on windows, some have, um, computers that are led by the university. They came up to class with computers, with family version of windows that cannot run Docker because there is no hypervisor in it.
</t>
  </si>
  <si>
    <t>Difficulty supporting the use of several different tools and environments at the same time.
Differences in people's environments and their hardware configuration cause problems.
Different types of OSs can difficult the flow of environment setup.</t>
  </si>
  <si>
    <t>It's difficult to deal with different hardware and software.</t>
  </si>
  <si>
    <t>Then the boy will go in a week, he will only have his entire environment set up, right? But, this creates challenges too, right? That it will be difficult to do this and such.
We had to work to do on the labs. ...  the assistant I had two for the labs was too busy with too many things.
That's really complicated as, um, like as a teacher, uh, then we decided to move for on premises, uh, version with our own, uh, systems for deployment building and everything, uh, another disaster, because then it requires a lot of maintenance and a lot of them, of course, or the students are going to work like in the two days before the room, the, um, the delivery of the project.</t>
  </si>
  <si>
    <t>A lot of time preparing the initial environment setup of students.
Lots of work to setup the labs even if you have teacher assistants.
On premises systems for deployment everything is complicated because it requires a lot of maintenance and time.</t>
  </si>
  <si>
    <t>Prepare the labs environment requires a lot of time.</t>
  </si>
  <si>
    <t>Material heterogeneity is the biggest challenge. You have to set up a class sewing the fonts, right?
When I started preparing, there was not a buy the book, a "kit" a suggestion for a course, there for you to start, it is a good start, right?</t>
  </si>
  <si>
    <t>There is no unified material for teaching DevOps.
There is no complete material to teach DevOps.</t>
  </si>
  <si>
    <t>Unknown unified material for teaching DevOps.</t>
  </si>
  <si>
    <t>Because you take so many different things that I feel a bit sorry, in quotes, to pass everything on to the students. ... So, I think it's a difficulty, from the point of view, like, the pedagogical type of setting up the classes and such. It would be that, the condensation of everything, let's say, the centralization of the material in what you produced, right?
I use a couple of books, um, and, uh, as I said, to to be able to own, um, they cover many different topics. And so I tried to use one over, two picks in it. [...] I still think that, uh, the idea scenario would have been able, will have been, to be able to do a situation where I can take several topics in the book and then cover them from the beginning to them. But, uh, I haven't been able to find that possible yet.</t>
  </si>
  <si>
    <t>Difficulty in resuming sufficient and suitable material for class lessons.
It is necessary to use multiple books because they do not cover all concepts.</t>
  </si>
  <si>
    <t>Difficulty in using multiple materials to create the classes.</t>
  </si>
  <si>
    <t>And sometimes you took a little bit of such a thing, right? Not all that text was relevant, you know? So, your material ends up becoming the only source, let's put it that way. For students, I've already figured that out, like, you know? People studied and such, they went a lot for the material I prepared. When the material I was preparing was, let's say, it was a set of slides, right? Which doesn't serve that much, from the point of view, right, from having a more in-depth reading and such. So, I think it's a difficulty, from the point of view, like, the pedagogical type of setting up the classes and such.
There are concepts of collaboration, communication, organization that are a little subjective, right? So, it's a little harder for you to evaluate.
So, all this traceability of what was done to what they are going to do, was the very difficult part [...] So, you can't think about doing a theoretical thing, you have to have practice, you can't just to be just practical exercises, it has to have a whole journey, a well-established train of thought. It was quite tricky to get to that topic.
 So part one is the three ways, just give you an overview of the, each of the three way. And then you have one part essentially for each of the three ways. And I think that the first two parts of the book you can find online, but, but not, not as a, someone who puts it in PDF, but from the publisher, from, from revolution, publisher and official version. So you can read it from the way.</t>
  </si>
  <si>
    <t>Students rely heavily on the teacher's slide material, which is often limited.
The students don't read the suggested book even if you strongly encourage them.
Students tend to get short free versions and not full versions of books.</t>
  </si>
  <si>
    <t>Students rely on limited material instead of reading books.</t>
  </si>
  <si>
    <t>There are concepts of collaboration, communication, organization that are a little subjective, right? So, it's a little harder for you to evaluate.</t>
  </si>
  <si>
    <t>The DevOps concepts collaboration, communication and organization are difficult to assess due to the high degree of subjectivity.</t>
  </si>
  <si>
    <t>There are concepts of collaboration, communication, organization that are a little subjective, right? So, it's a little harder for you to evaluate.
The teaching plan, where I am going to start, where I am going to go, what is next. So, structuring this sequence of subjects to be covered, of how you are going to connect the subjects, which is the hardest part.</t>
  </si>
  <si>
    <t>Difficulty in structuring the learning journey.
Difficulty to create a teaching plan, especially connecting the covered subjects.</t>
  </si>
  <si>
    <t>Difficulty in structuring the learning journey.</t>
  </si>
  <si>
    <t>team of monitors [...] If you don't have it, it gets heavier, it's more difficult, you alone evaluate. Take a class with forty students, even if you divide it into teams, it's a lot for you to evaluate.</t>
  </si>
  <si>
    <t>Large class assessment requires great effort.</t>
  </si>
  <si>
    <t>the real challenge was when I started doing it, which I didn't have any. Then, building from scratch is more difficult, there is no baseline. [...] [...] these types of challenges, they are more related to the nature of the subject, not the object, that is: what type of content, how will you conduct this course, how will you want to conduct the discipline.
I didn't find any course, really I was looking for courses in devops, like yes, there were courses that talk about kubernetes that these, yes. There are courses that talk about, uh, integrated testing. Yes. There are courses. We talk about AWS and cloud, but I didn't find any course on devops that I can two years ago that I'm almost like three years ago now when I started to work on it, um, use as a basis. Right. So the first semester was a nightmare. 
In 2018, 2019, and yet no universities have a program in DevOps, no universities, essentially very few universities have a course in DevOps.
If you want to teach devops, it's really difficult to find, uh, supports, like finding a way to understand how it's towards elsewhere. It's really complicated because there's not a lot, of course that grant themselves as DevOps, basically because it's often hidden because it's something technical you're not supposed to teach.</t>
  </si>
  <si>
    <t>Difficulty in setting up classes without a prior reference ones.
It isn't easy to create a DevOps course without having another course as a reference.
Few universities have a DevOps course.
It's really difficult to find supports if you want to teach DevOps.</t>
  </si>
  <si>
    <t>It is difficult to create a DevOps course without a previous reference ones.</t>
  </si>
  <si>
    <t>This teaching plan is not and should not be completed, right? He doesn't have it, he's never ready. ... Things change too fast, the focus changes too fast.</t>
  </si>
  <si>
    <t>Rapid and constant changes in DevOps make it difficult to create a teaching plan.</t>
  </si>
  <si>
    <t>"DevOps ends up forcing you to tap into a lot of other universes, right? Especially if you go into project as an evaluation method. So, that's another big challenge, you keep an eye out for what's going on, which can be correlated and which you can bring as an open scope to be worked also in the discipline, with this type of direction. Which in my case, comes AI student, Bank student, Software Engineering student, pay for the post, and that then you can't just stay in the context of developing software, delivering software on DevOps, right? There's a whole other context of things related, for example, to operation, infrastructure analysis, learning, prediction, and so on.</t>
  </si>
  <si>
    <t>Difficulty in linking DevOps classes with other subjects of interest to students.</t>
  </si>
  <si>
    <t>There are several environments in the cloud, but they all cost money.</t>
  </si>
  <si>
    <t xml:space="preserve"> However, last semester eight of my students showed up with apple, M one Silicon Macs and they don't run VirtualBox because VirtualBox only runs on Intel. It's not an emulator. It is a virtualizing layer, right? It needs an Intel CPU in order to virtualize. Um, and so I had to change the class for them to use Docker and VirtualBox. </t>
  </si>
  <si>
    <t>VirtualBox has limitation in MacOS.</t>
  </si>
  <si>
    <t>You have to find a set of tools that work together.
 For many people, getting them all to work together can be particularly challenging.</t>
  </si>
  <si>
    <t>You have to find a set of tools that work together.
For many people, getting all technologies to work together can be particularly challenging.</t>
  </si>
  <si>
    <t>Getting all DevOps tools to work together is challenging.</t>
  </si>
  <si>
    <t xml:space="preserve">A big challenge is students learning to be, um, to be agile working as a team pair programming. 
Lot of those concepts are hard to teach in a classroom setting.
That's kind of challenging getting them to be agile, getting them to think agile, get into think minimum viable product, right.
How do you work in sprints? </t>
  </si>
  <si>
    <t>It is difficult to students learning agile techniques like pair programming.
A lot of agile concepts are hard to teach in a classroom setting.
It's challenging the students to be and to think agile into mininum viable product.
It is difficult how to organize each sprint.</t>
  </si>
  <si>
    <t>It is difficult to teach agile techniques.</t>
  </si>
  <si>
    <t>Are they following the process? Not, did they get the work done in the end? That's not the important part is did they learn the process and follow it? And did they learn from it? So that's, it's kind of challenging.</t>
  </si>
  <si>
    <t>It is challeging to verify if the students learn the devops process of working.</t>
  </si>
  <si>
    <t>Doing a hands-on class with that many (45) students is just physically challenging.</t>
  </si>
  <si>
    <t>You have a clean compile, you've tested your code and it meets the functional requirements. And that's the end of the story. But as we know, you know, even from software development,[...] it doesn't end once the software is built and once it's passed testing, then it goes into this entire operational stage. We tend to ignore it. And I don't think we ignore it deliberately. We ignore it because it's hard</t>
  </si>
  <si>
    <t>Teach operational activities is ignored because it is hard.</t>
  </si>
  <si>
    <t xml:space="preserve">That is a lot of the devops principles that come into play. </t>
  </si>
  <si>
    <t>Many devops concepts need to be taught.</t>
  </si>
  <si>
    <t>It is very dangerous to teach too many tools because it's simply conveys that it is a very technology centric approach.</t>
  </si>
  <si>
    <t>It is very dangerous to teach too many tools because it conveys that DevOps is a very technology centric approach.</t>
  </si>
  <si>
    <t>A lot of the folks who are attending the course are not at a level in the organization where they can actually affect culture [...] they are usually technologists and so they can very easily understand how they can affect things like technology decisions and the application of technology. But many of them are not, let's say at manager or director or senior director VP levels or things like that will, they can actually affect more senior levels of challenge there.</t>
  </si>
  <si>
    <t>Students are not at a level in the their companies where they can introduce DevOps mindset.</t>
  </si>
  <si>
    <t>It can be a little harder garner garnering some of that same thing from, from industry, you know, unless you happen to find reasonably wit reasonably written, uh, white papers or, or things along those lines.</t>
  </si>
  <si>
    <t>It is hard to find strategies from industry unless if it written in a paper.</t>
  </si>
  <si>
    <t>I have tended to get much more forgiving on how I, for example, grade this particular course, I used to be one of those folks. You know, you, you do the assignment and then you get a grade for the assignment. And at the end of the day, and this is not just devops it's it's for other courses as well. At the end of the day, I'm way more concerned. They're able to get stuff working and that you understand why we're doing it.</t>
  </si>
  <si>
    <t>Task done by students do not means that students learned correctly.</t>
  </si>
  <si>
    <t>The challenge of course, is newer students obviously have more than enough to worry about just getting code wrong and compile. Uh, but that's, that's the reality, unfortunately, is the code just doesn't run a compile on a laptop, right? It runs out in production and it's serving real people. And in this day and age, there is, there is stuff that goes with that. And the more folks understand, at least some of the sooner, the better I hope the software will be.</t>
  </si>
  <si>
    <t>It is difficult for students to understand the importance the software running in production, not just compiling.</t>
  </si>
  <si>
    <t>Human challenges are when you start teaching DevOps, it doesn't look serious.
So one of the challenges regarding the culture, if you want, is that when you tell them that initially they don't believe it. And only when they start doing it, they do believe it. 
Whatever they found it valuable usually, um, after the class is done at the end of the year, they don't always see the value. It's the kind of class where you want them to know this stuff, because once they will be in the industry, they'll need it every day. Um, but they don't know they need it every day. 
An undergrad program, it's also something complicated because it's teaching at the undergrad program might make sense, but then it's other kinds of challenges like younger students who might not be interested in this.</t>
  </si>
  <si>
    <t>When you start teaching DevOps, it doesn't look relevant.
Students only believe the importance of DevOps mindset when they experiment in the practice.
Students do not know that they will need DevOps concepts at industry every day.
Young undergraduate students can have no interest in DevOps course.</t>
  </si>
  <si>
    <t>DevOps course doesn't look relevant for undergratuate students when you start teaching.</t>
  </si>
  <si>
    <t>When you do continuous integration, you need to have a logical base. You need to have a lot of people committing in the code changes often. Um, you need to have a lot of machines. You have the machines where people are coding. You have the machines that are building, you have the machines that are the way you run your database. You have the machines where you deploy to. ... you need a lot of machines interconnected, um, with visibility on each other that they can get to.</t>
  </si>
  <si>
    <t>You need a lot of interconnected machines running different services with visibility on each other to do continous deployment.</t>
  </si>
  <si>
    <t>Uh, so that's a practical challenge that when you want to put it in place, and as a teacher, you want to be able to log into all of those machines to see what they're doing.</t>
  </si>
  <si>
    <t>It's hard to supervise students' work when you use a lot of virtual machines.</t>
  </si>
  <si>
    <t>It's hard for them to see all the values, layers of source side, real shoes, deployment side. They have a tendency because the students write code clicky works done, right? And it's hard to teach them that no wanting code somewhere.</t>
  </si>
  <si>
    <t>It's hard for students to see the values of deployment side and they don't want to do operational activities.</t>
  </si>
  <si>
    <t>What is hard is to be prepared with, um, a technology stack that is robust and simple or very simple so that you know exactly what you look when you help them debug.</t>
  </si>
  <si>
    <t>It is hard to prepare a robust and simple technology stack.</t>
  </si>
  <si>
    <t>It's mostly the preparation of the exercise that is demanding.
That's one of the challenge that I find in preparing proper courses, finding and implementing an application, creating some issues in it, some bugs in it.</t>
  </si>
  <si>
    <t>The preparation of the exercise is demanding.
It is laborious to prepare the exercise that the students will work.</t>
  </si>
  <si>
    <t>The preparation of the exercise is demanding.</t>
  </si>
  <si>
    <t>Um, but then the preparation for the class itself was a concept class. That's, I've done that. Um, and then adjust, but it's no more difficult than any other class. It depends what you know, and what you do as a job. Right? And that's part of my job to do it. So I feel comfortable</t>
  </si>
  <si>
    <t>Teach DevOps requires much knowledge from the professor who could not be familiar with it.</t>
  </si>
  <si>
    <t>I check out the code of every group. And I look at the commits who has done what I look at. How has it been coded, easy to blatant copy paste of somebody else's code? Is it innovative? I run all the scripts. I ask them to provide me with scripts that are portable, that will run on my computer. Um, and there has to be a bill script or run script, uh, scenario, script, et cetera. And I run them on my computer. It takes four it's very long. Uh, but it's an effective way of checking what they've done.</t>
  </si>
  <si>
    <t>It is arduous to analyse the code and run scripts for each project.</t>
  </si>
  <si>
    <t>We show them Kubernetes, um, but they don't really have time to practice on Kubernetes.</t>
  </si>
  <si>
    <t>They don't have time to practice on Kubernetes because it is lot of work.</t>
  </si>
  <si>
    <t>And as I said, we, students are doing other things. So this means we are limited in what we can ask them.</t>
  </si>
  <si>
    <t>There is a limitation of what is appropriate to ask the students because they are doing a lot of other activities.</t>
  </si>
  <si>
    <t>For us as educators, we need to find a way where we can make it interesting.
You can make the lectures more interactive, but to make the lecture attractive students have to willing to interact. Right. Which is very difficult to do.</t>
  </si>
  <si>
    <t>Make a DevOps course attractive to the students is challenging.
Make the lectures attractive is difficult.</t>
  </si>
  <si>
    <t>Make a DevOps course attractive to the students is challenging.</t>
  </si>
  <si>
    <t>The biggest challenge is this, like, what goes in, you know? People do lots of things in the DevOps Pipeline these days, which doesn't necessarily go into a DevOps course, right?
I would say at the end of the fall, or maybe at the beginning of 2019, we started to plan this course. And for the longest time I was really questioning myself. Like, what do you teach in a DevOps course?
Now we're questioning ourselves. What else did we bring in? We may add some things about a bit of telemetry. So they have a bit of telemetry because they have lives, but we put some emphasis on it.</t>
  </si>
  <si>
    <t>There is no convention as to what are the main DevOps concepts that should be taught.
It's difficult to decide what will be taught in a DevOps course.
Hard to decide whether to teach telemetry or not.</t>
  </si>
  <si>
    <t>There is no convention as to what are the main DevOps concepts that should be taught.</t>
  </si>
  <si>
    <t>The, the overall context will change the process they use will have to change, to adapt, to become better, to, to stay at the top too, you know, they have to, so they have to recognize first that technologies will change, but the foundation, the fundamentals will remain,</t>
  </si>
  <si>
    <t>It's hard to make clear to students and make them understand the fact that technologies will change with time, but the fundamentals will remain.</t>
  </si>
  <si>
    <t>JIRA is quite difficult to use in industry context, um, just because of the license model then. So it's, it's too complex.</t>
  </si>
  <si>
    <t>It's difficult to use Jira lifecycle management tool because of its licence model.</t>
  </si>
  <si>
    <t>So one of the challenge from an environment point of view is to get something that students can relate to.</t>
  </si>
  <si>
    <t>It's hard to find something students can relate to, from a environment point of view.</t>
  </si>
  <si>
    <t>We hear from our industrial partners and from industry in general is there's this HUGE gap right? Between what the industry needs and what university provides.</t>
  </si>
  <si>
    <t>There is a lack between what the industry wants from students about DevOps and what the university teaches.</t>
  </si>
  <si>
    <t>It didn't work for some specific tools that they wanted to present using this a katacoda, uh, website.</t>
  </si>
  <si>
    <t>Katacoda does not work for some specific tools.</t>
  </si>
  <si>
    <t>Since the students were free to use any technology and present it ...  it was hard to stay as objective as possible and to have, uh, have the same criteria and metric for, uh, scoring different students, because someone was working on this project, someone was working on that project.</t>
  </si>
  <si>
    <t>It was hard to have the same criteria and metric for scoring different students because they were free to use any technology and present it.</t>
  </si>
  <si>
    <t>It was a bit risk because if they had contributed to something that, uh, that the developers didn't merge they wouldn't get, uh, get the score.</t>
  </si>
  <si>
    <t>The students wouldn't get the score if they had contributed to some open source project that the developers didn't merge on github.</t>
  </si>
  <si>
    <t>How this practitioner really works, because if you're not doing this, then you will stay at a very technical level. Like you deploy a pipeline and you're doing DevOps, which is absolutely not the case. And that's absolutely not the, uh, understanding of what DevOps is.</t>
  </si>
  <si>
    <t>It is difficult to students understand how the pipeline deployment works and not just running it.</t>
  </si>
  <si>
    <t xml:space="preserve">We try to use, um, like remote services to relieve the burden of setup saying that, okay, you're going to use Jenkins on the cloud. Then you're going to use, we have this partnership with IBM. So we're using to use the bluemix platform from, uh, IBM that was supporting this kind of thing, um, disaster, because in the end it was really complicated to debug what was happening because you don't have the access go on the what's happening.
I think that that's one of the course that costed me the most in terms of, uh, frustrating time I've spent, uh, debugging lab sessions, </t>
  </si>
  <si>
    <t>Using remote services is really complicated to debug because you don't have the access on the what's happening.
Debugging lab sessions are frustating.</t>
  </si>
  <si>
    <t>Debugging lab sessions are very difficult.</t>
  </si>
  <si>
    <t>Your Bamboo continuous to, uh, integration will just collapse because there's way too much students. My cohorts were 120 students a year. So when you have 120 students who all try to start their pipeline at the very same time, uh, in the last two days, and it's just a catastrophe and I mean, this thing will always happen.</t>
  </si>
  <si>
    <t>Bamboo continuous integration does not work with 120 students running pipeline at the same time.</t>
  </si>
  <si>
    <t>He grade scale was half description, half justification, and that's helped a lot, but it's always, um, qualitative in this way. It's, it's, it's really difficult to be quantitative and to have this, uh, uh, grade scale that is by the, uh, by the point.</t>
  </si>
  <si>
    <t>It is really difficult to quantitative grade scale on the description and the justification of case studies.</t>
  </si>
  <si>
    <t>Like, do you have to go through this course to if you're doing a master or a bachelor in software engineering, is it mandatory to go through DevOps or is it like an option that an optional path that you're following is this kind of, uh, there is no consensus on, on those kinds of, um, uh, things.</t>
  </si>
  <si>
    <t>There is no consensus if DevOps course should be mandatory or optional.</t>
  </si>
  <si>
    <t xml:space="preserve">Amazon sometimes has some agreements, which I think now that the Federal Institute is doing, that it makes this student accounts available that they could test it for a period.
Most of these tools have free layers, in the case of Cloud providers. All three of the main ones have an education-oriented version, and that is very good. This for the teacher is a very great facilitator.
I recommend [...] Moving all teaching to a cloud. [...] contact AWS. They have a student program, or Google, with Ali Baba, Azure, and IBM Cloud.
There were times when I combined a set of free services to be used, Heroku. I combined some free services to run these things. I already had a partnership to use closed [...] there is Red Hat Academy, right, where you can use OpenShift and everything else in the context of the effort you want to make. So, this kind of thing helps a lot.
They have a real experience with respect to Amazon, it's pretty simple, and you can get a free Amazon, you just have to register. </t>
  </si>
  <si>
    <t>Cloud service companies such as AWS, through a contract with an educational institution, can provide the computing resource for the student's use.
All three main cloud providers have an education-oriented version.
Use student program cloud services like AWS, Google, Azure or IBM Cloud to eliminate hardware and network limitation for students.
Use private cloud services through academia-industry partnerships such as Red Hat Academy.
Amazon cloud provider has a free plan helpful to students.</t>
  </si>
  <si>
    <t>Use cloud provider services with students plans.</t>
  </si>
  <si>
    <t>Set up scenarios that they can run on their computer.
Sometimes give up certain things you would like to teach [...] to the detriment of the student not having the ability to perform.
Solutions that the student can run on his computer. [...] adapt to something perhaps with less computational demand.</t>
  </si>
  <si>
    <t>Build scenarios that students can run on their own computer.
Give up teaching content that the student cannot run on their machine.
Take advantage of the student's own computational resource and adapt to something that requires less computational demand.</t>
  </si>
  <si>
    <t>Build scenarios that students can run on their own computer.</t>
  </si>
  <si>
    <t>This was somehow harmonized.</t>
  </si>
  <si>
    <t>Define what are the devops concepts.</t>
  </si>
  <si>
    <t>You can't evaluate with proof; you have to assess with projects with some activity.
With some practical activity.
Taking a test, simply evaluating him, is even a way of doing this, but in this more practical approach, I believe that the student is better prepared and we are able to evaluate, in fact, the most important aspects of his education [.. .] If he is really acquiring that knowledge, what we really wanted to convey in that particular topic, in that particular subject.
We have adopted project-based assessment a lot [...] the assessment of this project puts a student in his context to test in practice or simulate, in practice, a little of what he saw during classes.
From a practical point of view, I simply pass on the exercise.
I think that proof would not be a nice deal, but it would be more or less certification from AWS, for example, from Azure, Google, and that is not the purpose. [...] Taking the test, written, open, I do not like it, I do not like the test model as an assessment, I do not think it is cool, I prefer to work with more practical things.
You propose a practical challenge to solve a problem. I think the students end up learning more.</t>
  </si>
  <si>
    <t>You can't assess students' DevOps learning with a test, it's necessary to assess with projects, with some kind of hands-on activity.
DevOps teaching with practical activities.
Prefer practical assessments to written tests in order to verify student learning on the subject.
Prefer assessment based on practical projects.
Evaluate through practical exercises.
The assessment must be practical.
Evaluate through practical challenges.</t>
  </si>
  <si>
    <t>The assess should be with hands-on activity.</t>
  </si>
  <si>
    <t>I think a potential candidate is GNS3.</t>
  </si>
  <si>
    <t>The GNS3 tool is a potential candidate as a tool for teaching DevOps.</t>
  </si>
  <si>
    <t>All the DevOps tooling behind it like [...] the ansible or terraform here, or any of those other flavors of automation and deployment and stuff like that you can use.</t>
  </si>
  <si>
    <t>Ansible as deployment automation tools can be used in teaching DevOps.</t>
  </si>
  <si>
    <t>For me, the approach, from the point of view of the teaching method, would be based on projects and practical activities throughout the course.
It will always be project-based.
Being able to evaluate the actions has to be a script of practical actions that the student has to carry out, and you will evaluate while that student is doing that there.
So, I think it's more fruitful, didactically, pedagogically, teaching in this way, with the most practical approach.
Development classes [...] want to understand better the issue of DevOps related to continuous delivery processes or how it translates into practice and into delivery tools and models that streamline application building.
Teach DevOps [...] how it applies in practice.
I cannot see a discipline, a DevOps teaching that is not hands-on [...] That is not getting hands-on and making people at least exercise the tools.
There is much technology on the market [...] you cannot cover everything, right? However, at the same time, just giving the concept, I do not think it is enough. So you have to make a choice. I will teach this here.
It needed to be some practical project [...] Not to be just in the theory part.
You cannot teach DevOps only in theory. You have to experience it. You have to have practical experimentation for that.
Build this entire journey based on practical, incremental activities or missions that are all correlated so that the lessons learned during these practical activities and revisiting the theory of knowledge can flow into a project that involves a set of decision-making, which also in addition to the subjects theoretically covered in the room.
I've tried to be very incremental. Um, first teach the value of tests, then write the script to build everything on your desk. You don't need any you're alone. ... Then break it down into several components and build them one by one, then put an Artifactory in the middle. So you have the dependency. ... So you can imagine that each people in the group is like a different team in the world.</t>
  </si>
  <si>
    <t>Incremental teaching method based on projects and practical activities.
DevOps teaching should be project-based.
Create script for practical devops activities.
Use a practical approach.
Teach continuous delivery in a more practical context for development classes, using tools and delivery models.
Teach devops in a practical way by applying it.
DevOps disciplines should use hands-on activities.
Teaching must be practical, not just theoretical.
Teaching needs a practical project, not just theoretical teaching.
Teaching devops should be practical, not just theoretical.
Build an incremental teaching journey based on activities and missions, always combining practical activities with theoretical knowledge.
Try to be very incremental. Everything on your desk first. Splits into several components. Build them one by one. Start working in group.</t>
  </si>
  <si>
    <t>Teaching method based on practical activities.</t>
  </si>
  <si>
    <t>The practice that should occupy eighty percent of the class there, at least.
The practical discipline has a balance between concept and practice, with the practice being the most important.
The concepts need to be objectively presented, but there is not much discussion about.
My classes are about an hour lecture. And then the other hour and a half is lab it's hands-on, you know, I give them a concept, let's go do it. And by doing it, that's where it really sticks.
First year I did a lot of concept on the whiteboard, um, and then went to exercise for the students to practice. It's not efficient.
That's why we build a class where we have a ratio of about one hour of classroom concept teaching on the whiteboard or something at three hours where they actually type on the keyboard of practical session. I think that's important. Otherwise they don't see it. 
So all of us, we covered a bit in really in the course, but also the, I mean, the lectures, but also they practice that in the lab.</t>
  </si>
  <si>
    <t>The practical part must occupy at least 80% of the class.
Balance the presentation of the concepts and the practicals.
Do not delve so deeply into discussions about the theoretical part of devops.
Teach each DevOps concept using one hour lecture followed by one hour and a half lab hands-on.
Is not efficient to have more theoretical part than practice part during the course.
One hour of classrom concept teaching and three hours of practical session.
Make use of labs and lectures.</t>
  </si>
  <si>
    <t>Focus more on the practical part compared to the theoretical part of DevOps.</t>
  </si>
  <si>
    <t>The strategy we used was to divide the workload in half, divide the workload in half [...] and occupy half of this workload with content that is more suited to the area of networks [...] And half of this with the one with content that has more aptitude for the programming area.
I believe that for DevOps, you have this balance [...] if you go to a course, that the focus is more development [...] Taking students there to see the other side [...] See Ops and the guys over there from Ops when you can have the opportunity to see more of the Dev too.</t>
  </si>
  <si>
    <t>Divide the workload of subjects that are related to networking and programming.
Seeking balance in teaching development and operation.</t>
  </si>
  <si>
    <t>Divide the workload of subjects that are related to networking and programming.</t>
  </si>
  <si>
    <t>I had to delegate this responsibility to the student.
When you do not have resources in the structure you are linked to, as an institution, you have to delegate that the student really finds his ways.</t>
  </si>
  <si>
    <t>Delegating the responsibility for finding adequate infrastructure for the student when it is not possible to obtain the necessary resources from the institution.
Delegate responsibility to the student.</t>
  </si>
  <si>
    <t>Delegate the responsibility for finding adequate infrastructure for the student.</t>
  </si>
  <si>
    <t>I like to base it on a textbook because I think a sequence is evident for the students, right? We can even choose some chapters, even making an essential part of this material [...] we research several things to set up our class. Still, having a backbone formed by literature I think it's always important.
 I was looking for books to use. And, um, you know, I started to look at the books from Jane Kim. Um, and essentially I found this DevOps handbook, which has really not written as a textbook, but it's, it covers it's, it's built around the three ways of DevOps. So the first way is the notion of flow. The second way is the notion of, um, feedback. And the third way is continual learning and experimentation.
So this book [DevOps Handbook] is very well done in this sense [...] it goes to the foundations of devops and gets to the different key ideas, right?
The lectures, um, for the first part it's okay. I think for, until the midterm to have just get essentially through the book.
The book has a lot of case study and examples like Facebook, Google, LinkedIn, uh, Netflix.</t>
  </si>
  <si>
    <t>Using a textbook as a basis and to give students a better idea of the sequence of the course contents.
Take Gene Kim's book DevOps Handbook as a reference to prepare a DevOps class.
Devops Handbook goes to the foundations of DevOps and gets to the different key ideas.
Use DevOps Handbook to create the lectures.
Find books like DevOps Handbook that have industrial case studies about Facebook, Google, etc.</t>
  </si>
  <si>
    <t>Use a textbook as a basis to guide the course classes.</t>
  </si>
  <si>
    <t>There are a [...] series of features to be developed, and [...] the student has been trained for this. But other aspects related more to putting the system into production, to be careful [...] after the procedure is operational, not focusing on factors related to the system's functionalities anymore, but directing to non-functional aspects, then the students they need to have a better sense of it.</t>
  </si>
  <si>
    <t>Work on improving students' skills related to non-functional requirements.</t>
  </si>
  <si>
    <t>The microservices tool is one of the tools I have been using with them. A device, an environment in which we put the students' solutions there and they can see more of the Continuous Integration part there.
These systems being made available and then with the creation of the DevOps tool from the IFRN cloud, the microservices system there, it was then possible for us to have this more practical view of the process as a whole. So, I have adopted it in all semesters, including, I have always asked students to work with this tool.
Having this system already in the air, I also believe that it is another gain, why? Because as you advance in the themes, you can already put "look, this aspect here that we are working on, you will have already contemplated in the system through this, this and this".
When it comes to teaching devops concepts, like, continuous integration, there will be a tool.</t>
  </si>
  <si>
    <t>Use of a learning tool to facilitate understanding of the concept of Continuous Integration.
Using a learning tool helps in DevOps teaching.
Using a learning tool helps in DevOps teaching.
Use tools while explaining the continuous integration concept.</t>
  </si>
  <si>
    <t>Use a learning tool to easy the DevOps teaching.</t>
  </si>
  <si>
    <t xml:space="preserve">The importance of actually having a discipline like this in the curriculum talking about these themes.
We are going through a matrix reformulation process,[...] this part of the workload and this discipline, really, the usefulness and one of the defenses that were made, was precisely that the discipline existed in the course, precisely because at another time, these topics would not be considered. So that's why it's important to have a discipline like that in the curriculum talking about these themes.
In a course like ours, in development, having a discipline like this, I think it is important indeed.
</t>
  </si>
  <si>
    <t>DevOps deserves a discipline in the curriculum.
Be concerned with the course's curriculum, maintaining and creating DevOps disciplines.
DevOps deserves a discipline in the curriculum of courses focused on software development.</t>
  </si>
  <si>
    <t>DevOps deserves a discipline in the curriculum.</t>
  </si>
  <si>
    <t>We can assess teamwork in students, like those who are collaborating, those who are more overloaded, those who are perhaps less overloaded, those who develop and deliver more features, those who do not cooperate with teamwork.
The evaluation part [...] the recommendation would be to try to come up [...] some project or some challenge in the project itself that involves collaboration between people. Be able to divide the class there, the students into groups and each one will attack a problem and then everything has to come together, right? So, watch them.</t>
  </si>
  <si>
    <t>Evaluate level of participation and difficulty of students in teamwork.
Assess students through project and group exercises, more specifically the collaboration of each one within the group.</t>
  </si>
  <si>
    <t>Evaluate level of participation and difficulty of students in teamwork.</t>
  </si>
  <si>
    <t>We can monitor this part of the evaluation a lot due to their activity. So part of it is the cloud system tool that allows us to do this monitoring.</t>
  </si>
  <si>
    <t>Monitoring of students through activities in a learning support environment.</t>
  </si>
  <si>
    <t>Usually, they already arrive with the system, sometimes deployed in another environment, which is quite common for them to use this environment. Then we have to bring them in, asking them to use ours.</t>
  </si>
  <si>
    <t>Ask students to adopt the tools used by instructors.</t>
  </si>
  <si>
    <t>Suppose the course is a development course or one that involves the operation part. In that case, it is essential to have a discipline that centralizes this information, a domain, perhaps, later on, that gathers these concepts, already preparing the student more for the market.[...] a rather considerable workload to have this dynamic with the students.</t>
  </si>
  <si>
    <t>A discipline must have a considerable workload to centralize and harmonize development and operation information.</t>
  </si>
  <si>
    <t xml:space="preserve">They use the system, and I always ask them to socialize. Now, of more remote education, we're doing that they associate what they did.  And when we are at this moment of socialization, the students can take advantage of the gain and knowledge that another team had in an aspect that, at times, they had not noticed.
 I teach them about social coding.
It's tough to get the students to be more social if you will, in their coding practices and do pair programming, uh, and follow the, get feature branch workflow. </t>
  </si>
  <si>
    <t xml:space="preserve">Socializing knowledge acquired in practical activities is essential for learning.
Teach social coding.
Get the students to be more social in their coding practices and do pair programming </t>
  </si>
  <si>
    <t>Teach social coding.</t>
  </si>
  <si>
    <t>They choose to [...] put this system on the air for a customer to see, right? In this aspect, the client is the teachers themselves who are evaluating.</t>
  </si>
  <si>
    <t>Adopt a more professional approach in which teachers act as clients.</t>
  </si>
  <si>
    <t>The aspects that we address about continuous integration, [...] use of the tools we use in the environment, on a day-to-day basis, facilitate development that speeds up delivery; this is one of the topics we have. In the discipline, I believe that these themes should be part of their curriculum; they should contact this theme there.</t>
  </si>
  <si>
    <t>The Continuous Integration and industry tools must be in the curricula.</t>
  </si>
  <si>
    <t>But as there isn't, we find different materials; we have several publications.</t>
  </si>
  <si>
    <t>Combine the various materials and publications available to make up for the lack of a unified, complete, and high-level material.</t>
  </si>
  <si>
    <t>[...] With the addition of our Project of Software Development team of professor Sales, he has access, so, more within the tool, he already knows the most diverse aspects. It was already possible for us to solve several difficulties.[...]</t>
  </si>
  <si>
    <t>When using a tool to help teach, you must have a good command of it and the necessary permissions/accompaniment of someone with such permissions to deal well with the possible difficulties during its use in the discipline.</t>
  </si>
  <si>
    <t>The same DevOps discipline now applies at the institution where I teach concerning classes focused on security and vulnerability management and courses focused on application development and construction.</t>
  </si>
  <si>
    <t>You can use the same discipline of DevOps for operation groups focused on safety and development groups.</t>
  </si>
  <si>
    <t>In DevOps [...], the security teams are much more in understanding what it represents from the point of view of vulnerability management and architecture, from the network concerning the cloud.</t>
  </si>
  <si>
    <t>Teach the part of cloud vulnerability, architecture, and network management to the security classes in DevOps.</t>
  </si>
  <si>
    <t>The recommendation is to understand the learning context of the class.
Adapt the menu according to the student profile you have.</t>
  </si>
  <si>
    <t>Identify the most compatible DevOps scope for each class.
Adapt the course according to the profile of students.</t>
  </si>
  <si>
    <t>Identify the most compatible DevOps scope for each class.</t>
  </si>
  <si>
    <t>Having a unique mechanism and an initial step, the final step you want to reach within this test, makes it much easier when you teach, when you do, especially for examples.
Explain how the methodology can be applied, with examples and even tools.
I am not going to deliver a ready-made recipe. I am going to use different tools. diverse methodologies that are also tools for them to try to apply within their process.
The lab is like in the lab, because it's a very practical ...   we've implemented an application, uh, a web application, which, uh, in, currently we are using the application we use is a banking application. It is the online banking where people can go in and create an account or transfer between accounts and do all those kind of thing.
In some topics, maybe it's introducing a bit more. So say that you're getting in the topic in the, in the lecture where, um, containers are, are relevant and then deployment is relevant. Then maybe the way is to discuss a bit more maybe than use Kubernetes and Docker, give concrete examples and stuff like that that supports the reading that they have done.</t>
  </si>
  <si>
    <t>Make an example to the student in a practical context from the initial stage to the final step.
During the explanation of how to apply devops methodology, make use of example including tools.
Use different tools and methodologies.
Provide sample application in the labs.
Show concrete examples when you are presenting some tool like Kubernetes and Docker.</t>
  </si>
  <si>
    <t>Teach using examples.</t>
  </si>
  <si>
    <t>Present concepts that are well established in the community, such as axes, [...] in the DevOps process.
I simply want them to be able to set up some kind of a pipeline and understand how it works.</t>
  </si>
  <si>
    <t>Introduce well-established concepts by the DevOps community, such as the DevOps pipeline process.
Teach how to set up a pipeline and explain how it works.</t>
  </si>
  <si>
    <t>Introduce well-established concepts by the DevOps community, such as the DevOps pipeline process.</t>
  </si>
  <si>
    <t>Present [...] cases on how this translates, [...] eliminating the silos between operations and development.</t>
  </si>
  <si>
    <t>Present the use case of devops, for example, the elimination of silos among the development team.
Identify the market use cases of devops such as the Google case and the relationship between DevOps and the SRE professional to illustrate the importance of DevOps concepts.
Try to use case study together labs.
Use lectures to show case studies and emphasize in some of the DevOps concepts.</t>
  </si>
  <si>
    <t>Show use cases of DevOps.</t>
  </si>
  <si>
    <t>Always start with culture before moving on to teaching or tool-based demonstration.</t>
  </si>
  <si>
    <t>Start teaching DevOps from the culture. Only then demonstrate with tools.</t>
  </si>
  <si>
    <t>Build a cohesive [...] laboratory in a specific setting that can better demonstrate the concept being taught there.
So, the recommendation is to abuse the use of online solutions, which facilitate this process, but at the same time, stop the journey [...] So, the recommendation is to abuse the use of online solutions, which facilitate this process, but at the same time, stop the journey.</t>
  </si>
  <si>
    <t>Delimit a specific set of tools to build a scenario in order to demonstrate a concept to be taught.
Standardize the use of tools in a well-defined setting.</t>
  </si>
  <si>
    <t>Delimit a specific set of tools to build a scenario.</t>
  </si>
  <si>
    <t>If it's a case where I don't have access to almost anything, I need to go to a cloud to take a class with the student, even if it doesn't involve the course itself. I need to do everything remote.
Everyone is already using Google or Amazon, with their Kubernetes environments available for you to use.
The environment setup is key. What I would love to do is have an environment in the cloud. That's always consistent. That would kind of be the best.
The recommendation is we just get them off their local machines and get them working off cloud servers or something like that. So that at least a, you can kind of script the stuff be if it gets messed up, there's no risk. You just tear it down and build a new one.
The third lab, that's what we do since last winter. We didn't do it last summer, did deploy on, on, on AWS. So we have, we have built accounts on Amazon, so they can go all the way.
I think maybe the, um, the using external cloud services would give you the better in terms of DevOps philosophy, let's say, because then you're really pushing and you bring stuff outside of the academy ecosystem.</t>
  </si>
  <si>
    <t>For a scenario with limited resources, it is recommended to make use of public cloud services.
Use available cloud services (AWS, Google) with Kubernetes.
Do environment setup in the cloud is the best option because they are always consistent.
Get students off their local machines and get them working off cloud servers.
Make the students experiment how to use a cloud provider like AWS.
Using external cloud services would give you the better in terms of DevOps philosophy, because then you're really pushing and you bring stuff outside of the academy ecosystem.</t>
  </si>
  <si>
    <t>Use cloud provider services.</t>
  </si>
  <si>
    <t>Put the student in an efficient context; he can see in class a tool that he has probably seen someone using in the company or has heard of. This makes for much better immersion in class.
So, suppose someone had a more traumatic experience at such a stage of the delivery process. In that case, you know how to use it at the right time with them and impersonate with them, talk, look, as you told me in that part, a solution that might work for you, again, because there is no ready-made solution, it would be to apply this technology to try to mitigate or resolve it.
I prefer to take it out during class to show the day-to-day blocks delivered in the end. However, the recommendation is to use the infrastructure blocks to feed your course, as didactics. Do you speak, look, remember the block we had? The dependency, the software is made in Java 8, and we tried to compile a machine that had Java 15. Do you see this problem? How do we solve it? We analyze, run some process analysis frameworks because we can use any language as a tool, but use it as an experience.
  I spent a couple of discussing about the concepts discussing about the issues.</t>
  </si>
  <si>
    <t>Search for references from practical contexts experienced by students to easy the understanding, using popular tools.
During the explanations, make use of the difficulties, opinions and experiences faced by the students, pointing out solutions using Devops.
Use the difficulties with infrastructure in favor of learning, conducting discussions among students.
Promotes discussions about DevOps concepts and related issues.</t>
  </si>
  <si>
    <t>Promotes discussions about DevOps concepts and related issues.</t>
  </si>
  <si>
    <t>This menu will have some possibilities to create mutations in this menu because the DevOps concept is very open; right, it encompasses different areas between development, security, and operations.</t>
  </si>
  <si>
    <t>Create mutations in the menu due to the breadth of DevOps encompassing the development, operation, and security part.</t>
  </si>
  <si>
    <t>This curriculum, a part of it, do you understand? With about forty percent, about sixty percent fixed, which is culture, main historical characteristics of how it came about, what does culture represent, what it changes about development processes, security operations. The changeable part is the tools, where you will apply them or what matches you to the students within the classroom in the course syllabus.</t>
  </si>
  <si>
    <t>Half of the curriculum with DevOps concepts/culture. Half the curriculum with tools.</t>
  </si>
  <si>
    <t>For a project management class [...], I often had to introduce [...] based on direct analogies or analogies with other scenarios he has already encountered in the product management part to understand what I was speaking.</t>
  </si>
  <si>
    <t>For project management class, it is necessary to introduce DevOps through direct analogies or using scenarios known to them during teaching.</t>
  </si>
  <si>
    <t xml:space="preserve">Always focus on culture, the tools are excellent, they attract a student, they create a practical scenario, but oh, DevOps implementation errors in practice are mainly caused by companies and professionals who do not interpret this as a culture.
More important [...] is to understand that concepts such as observability, development culture, communication, sharing are core. They are the core of what is proposed in relation to DevOps.
Teach the DevOps culture: respect the individualities of your team, not looking to blame anyone but for solutions.
The only way to teach culture, the only way to experience culture is to immerse the students in the culture. [...] one of the examples I give to my students is I say, you know, I took three years of Spanish in high school and I don't speak a word of Spanish, but I bet if I spent a summer in Spain, I would come back speaking, fluent Spanish. So I tell them: "this class is your summer in Spain", right? We are going to live DevOps. We're going to experience DevOps. And that's the only way you can properly teach it.
Working as an agile team and using the DevOps tools, but most importantly, living the DevOps culture.
Like, what do you teach in a DevOps course? Like, do you teach just technologies like Kubernetes and Docker? And, and I kept saying, no, this is not why I went back to university. I don't want to be just teaching techniques and tools because these will change over time.
</t>
  </si>
  <si>
    <t>Emphasize the importance of the DevOps culture and propagate it.
It is important to teach concepts such as observability and other cultural aspects such as sharing and communication.
Teach the DevOps culture: respect the individualities of your team, not looking for blame, but for solutions.
Live DevOps and its culture is the best way to learn it.
Living DevOps culture is more important than just learning DevOps tools.
Don't teach a DevOps course only focusing on tools and technologies because it changes over time.</t>
  </si>
  <si>
    <t>Teach the DevOps mindset.</t>
  </si>
  <si>
    <t>And DevOps a lot in seeing this; they have different backgrounds, have other life stories, experiences that marked them in different ways and knowing when to present a new tool, listen to what these people have.
So I let them know that if you asked me the same question a second time, I promise I won't answer it the same way. I'll try to find some different way to make that connection with you. Right? So that you understand it, given the background that you have. Given the skills that you have. Uh, so again, I try to immerse them in this culture.</t>
  </si>
  <si>
    <t>We seek a communication between students and teachers, where attention is paid to the students' opinions.
Teaching customized based on students background.</t>
  </si>
  <si>
    <t>Customize the teaching based on students background.</t>
  </si>
  <si>
    <t>Nor use VM virtual machines because the virtual machine demands hardware resources. And it's not always that you have availability to upload two virtual machines on the student's device.</t>
  </si>
  <si>
    <t>Avoid using virtual machines because they demand hardware resources, which are not always available on the students' devices.</t>
  </si>
  <si>
    <t>All the devops tooling behind it like [...] the ansible or terraform here, or any of those other flavors of automaters and deployment and stuff like that you can use.
I am going to upload the environment here on AWS using Terraform. So, provision the students' machines with TerraForm, explain to the students what you are doing, at the right time, on schedule, but decouple the need for the infrastructure.</t>
  </si>
  <si>
    <t>Terraform as a deployment automation tool can be used in teaching devops.
Use Terraform as a provisioning tool (Infrastructure as Code).</t>
  </si>
  <si>
    <t>Terraform as a deployment provisioning tool can be used in teaching devops.</t>
  </si>
  <si>
    <t>To put your hand on something, at least once every, depends a lot [...] on the schedule, but every, I'll put it every eight hours is a very subjective metric, but if you give something practical every eight hours with examples for the student to interact, so you don't stay in a lecture for hours on end talking, it's essential to know how to divide and balance.
He has up to twenty, twenty-five minutes, he has your attention. So, if you cannot break that, alternate the tone of voice you speak, interact with him. If you just talk, you quickly lose the student after twenty minutes.
We need to adapt to the environment and try, every twenty to thirty minutes, to interact with the student so that he does something to keep his attention [...] Always propose challenges.</t>
  </si>
  <si>
    <t>Use practical examples regularly for the student to interact.
Interact with the student and break the tone of voice every 20 minutes, inhibiting their loss of attention.
Interact with the student to keep him alert, proposing challenges, for example.</t>
  </si>
  <si>
    <t>Interact with the students.</t>
  </si>
  <si>
    <t>So, I think it's essential for you to break both the tone of voice, the didactics you're using, put examples, you'll explain something theoretical, like Lean, for example, does an exercise that simulates the Lean process, not in software, it can even be with software, it can be with blocks, use Trello, interact with the student because if you spend more than twenty minutes talking, anyway, any situation, even in a typical lecture, you lose the student, you lose the audience.</t>
  </si>
  <si>
    <t>Use examples with students to teach theory. For instance, we are using blocks or Trello to teach Lean.</t>
  </si>
  <si>
    <t>Suppose it's a class that, specifically, we were given the needs and characteristics before, such as access limitations, limited software installation on the machine. In that case, I prepare the class, and we have the schedule as a whole, which is ready; it has a beginning, middle, and an end.
If you are going to teach a software build class, for example, or unit testing, you need to assume that your class is in a certain place, let us say. You need to assume that your class is made up of developers, has a bit of knowledge and such, or you need to assume that your class does not have that much experience.</t>
  </si>
  <si>
    <t>Seek to know in advance the needs and limitations of the class, such as installing software, for example, to create a more efficient schedule.
Identify the students' initial level of knowledge to do the course. For example, check if students can run unit tests that will be used in the software build class.</t>
  </si>
  <si>
    <t>Seek to know in advance the needs and limitations of the class.</t>
  </si>
  <si>
    <t>If it's a mixed class, we send students a document that shows them beforehand, right? What are the prerequisites for him to take the course, software, software versions, how to install, well documented.</t>
  </si>
  <si>
    <t>Share course prerequisites with students in advance.</t>
  </si>
  <si>
    <t>These are documents that we send in separate stages of the course [...]. We break the infrastructure documents to do the Kaisen process within Lean-to unify the documentation so that the student understands the difficulty he faced and the problem he faces daily.
But it's been billed according to the right guidelines that we want them to use. So they can borrow heavily from the sample. They can see sample testifies, sample integration test, sample Docker files, componentization, et cetera.
We're building a couple of tutorials so that, you know, the ones that have less experience with certainly the testing can look at it.</t>
  </si>
  <si>
    <t>Create student support examples and guidelines, breaks into parts to go through the steps gradually.
Create examples and guidelines to help students develop their solution based on it.
We're building a couple of tutorials so that the ones that have less experience can look at it.</t>
  </si>
  <si>
    <t>Create tutorials to help students.</t>
  </si>
  <si>
    <t>So we break the infrastructure documents to do the Kaisen process within Lean-to unify the documentation so that the student understands the difficulty he faced and the difficulty he will meet daily.
So we employ someone in our team, a couple of people who work on implementing that, and we created some issues in the application, like some bugs.</t>
  </si>
  <si>
    <t>Simulate real problems that the student will likely face in their daily lives.
Try to simulate a real scenario employing someone in the group to insert issues and bugs in students project.</t>
  </si>
  <si>
    <t>Simulate real problems with the students.</t>
  </si>
  <si>
    <t>From a didactic point of view, we leave one or two hours before each day; there is a specific infra team to answer any student's doubts.</t>
  </si>
  <si>
    <t>There is a specific support team to answer students' questions about the related infrastructure part.</t>
  </si>
  <si>
    <t>Realize how much you deviate because the student has a particular problem and loses his didactics a little. So, knowing how to limit it too, then work with the student, talk, look, and talk more calmly, because this situation is particular. There has to be a breakpoint because otherwise, you'll lose the other students.</t>
  </si>
  <si>
    <t>Avoid messing around with specific problems faced by students, dealing in a personalized way at the right time.</t>
  </si>
  <si>
    <t>A task tracking tool. Then it can be Notion or Trello; I think it's essential.</t>
  </si>
  <si>
    <t>Use a task tracking tool like Trello or Notion.</t>
  </si>
  <si>
    <t>There must always be two tools, the stream that would be the zoom, Google Meet, any device that does that, Webex I don't know, it depends on the company.
Because of the remote learning  [...] I've been teaching my classes on zoom.</t>
  </si>
  <si>
    <t>Use a streaming tool like Zoom, Google Meet, or Webex in remote learning scenario.
Use Zoom in remote learning scenario.</t>
  </si>
  <si>
    <t>Use streaming tool like Zoom in remote learning scenario.</t>
  </si>
  <si>
    <t>I prefer Notion even though I work for Trello's company; I prefer Notion for a reason. I can export it in Markdown and directly version all documentation. So, for each day of the course, all the commands that we run or the additional content, I list them, interact with them, and interact together.</t>
  </si>
  <si>
    <t>The Notion tool allows exporting to Markdown, enabling the versioning of documentation for each day of the course: all executed commands and additional content.</t>
  </si>
  <si>
    <t>And a code repository, you can GitLab, Github, which you can share with students, this situation.
They use GitHub. .. The only thing we really need is that the students give us, uh, access to their accounts.
This course has a very specific structure, which is not usual. Uh, the structure is that, uh, everything. Um, I think you have access to our GitHub repository and everything is, uh, available.
Everything in this course was, uh, was, uh, done through the GitHub repository, there are many issues, there are many pull requests and the discussions between TAs and the students and grading everything is there.
The student had to have the code that goes so git as a version control system, uh, GitHub GitLab, the, we had a Bitbucket on-premise also, uh, deployed inside the school.</t>
  </si>
  <si>
    <t>Use a code repository tool like Gitlab or Github.
Use Github with access to students accounts repositories.
Make public access the content of the course using the GitHub.
Use Github to record grading, pull requests and discussions between teacher assistants and the students.
Use github, gitlab or bitbucket as version control system tools adopted by the course.</t>
  </si>
  <si>
    <t>Use a code repository tool like Github.</t>
  </si>
  <si>
    <t>We usually use Jenkins as an integration tool because it's open-source, it's everywhere, despite having other devices that do the job even better, but it's spread out, it's ancient.
The software [...] built with Jenkins.
Jenkins, you do not pay anything, you install it on your server, and it has gone.
They need Jenkins. So either you tell them to go install Jenkins, or what I've done is I say, Hey, here's a Docker image for Jenkins.
Now I realize every day that I need testing and continuous, I mean, Jenkins is my friend.
And, and, uh, so in terms of the continuous integration server, and there are many different services available, but can we use Jenkins because it is a, it is free and, and a lot of companies are using, but there are some other options that can be used.
Let's go for something that we have more control on, uh, using for tools like Jenkins and and a stuff like Docker or Kubernetes was kind of good in a way to, uh, support the deployment and the, uh, like the building plus deployment stuff.</t>
  </si>
  <si>
    <t>Use a Continuous Integration tool. in particular, Jenkins is open source and very widespread. 
Use Jenkins to do continuous integration.
Use Jenkins.
Uses Jenkins through a Docker image.
Jenkins can be chosen as DevOps tool.
Jenkins can be use as continuous integration tool because it is free and lot of companies use it.
Use tools like Jenkins to have more control on support the deployment.</t>
  </si>
  <si>
    <t>Use Jenkins tool.</t>
  </si>
  <si>
    <t>Notion or Trello [...], you need to have a two-way tool where you and the student interact. Not a Gist, for example, because the Gist, although you can only release it because the student needs to put their feedback there too. [...] There are some tasks that we set up there, a post mortem of the process that fails; I need a feedback tool that the student can also interact with.</t>
  </si>
  <si>
    <t>Notion and Trello allow student and teacher interaction in two ways. Gist does not allow it.</t>
  </si>
  <si>
    <t>So, I usually recommend it to instructors; I recommend it to students when they share it with me. Decrease the FPF rate of screen sharing because that's a lock. Zoom uses what it can if you don't limit it. So, we restrict ten FPS, for example, so that I don't consume too much of my or the student's CPU because I sometimes have to correct the exercise on his side.</t>
  </si>
  <si>
    <t>Limit the zoom FPS rate to 10, avoiding excessive student and instructor resource consumption.</t>
  </si>
  <si>
    <t>It would help if you observed each student and, and then, you have to listen a lot, too, what was the difficulty he had and where he arrived. So, then, we do a final assessment per student, but our perception of it. If he did well, if he had a lot of doubt, what was the point that generated the most suspicion for him?
I tell them, I am not going to grade you on what you submit. I'm going to grade you on how you got there because getting there is not the point. It's the journey, right? That's the point. [...] I teach them that every failure is a learning opportunity. If you fail and you learn something, you get credit. It's not a failure because you've learned something, we're here to learn.
You can't just grade what they submit. You have to watch how they're working.
For the assessment, as I said, I give them a lot of leeway in the beginning. Um, they can make mistakes on their Kanban board and still get full credit if they know what the mistakes are that they made. However, in later sprints, if they make the same mistakes, then I start taking points off.  So I give them time to learn, uh, so that they feel that they can make a few mistakes, take a few risks, um, and not get penalized for it.
 If there's problems, I'll tell you where there's problems and you can go fix it, go get it, right. Go, go make it, do what it's supposed to do. You know, because in industry we're, we don't just get a one and done shot. We keep at it until it works. And so I bring that to the table and I think that provides a little less pressure on students.
I tend not to get quite as hyper-focused on right versus wrong answers. ... so treating it as, as more of an assessment of maybe architecture, if you will, or an assessment of approach, as opposed to this is right, this is wrong. Uh, I think that's been fairly well received.
So people need to feel comfortable sharing, if they've made a mistake or not thinking that they're gonna have their headquarters. Right. Um, so when talking about that, if students have never worked in the context where, you know, people are blaming each other and stuff, it's difficult to understand I, to, to be concrete. And this is so crucial.</t>
  </si>
  <si>
    <t>Individually assess the student's progress throughout the course.
Grade students based on their learning journey and mistakes, not on what they submit. What's important is how they get there, because every failure is learning opportunity.
Grade based how the students working their tasks and not only what they are submitting.
For the assessment, the students can make mistakes in the beginning without fear of being penalized.
Students can fix their code problems. In industry, we keep coding until it works. It also provides a little less pressure on students.
Do not focus your assessment on right versus wrong answers.
Create an environment that students feel comfortable with sharing about their mistakes and learn how with their teammates.</t>
  </si>
  <si>
    <t>Grade students based on their learning journey and mistakes. What's important is how they get there, because every failure is learning opportunity.</t>
  </si>
  <si>
    <t>They also assess the course at the end; we send you a link and recommend you do this, consider some topics to take the NPS; I think the NPS is the universal metric for assessment, I don't know if you put it under the puts under the radar, the Net Promoter Score, from zero to ten, where zero to zero to seven is Detractor, eight is passive, nine to ten is promoter based on a set of questions that you cannot induce the student.
When people come in to do this, this, this feedback with the students, understand, the students also talk to a person who is not me, who on the last day, I leave, it is a recommendation I give, I leave the conference to leave the students at ease, talking to this person, they make a mistake during the training and the person got annoyed, and with you inside, they will be a little, a little afraid to expose, although it is also by email.
You need to get the feedback, you don't get the feedback, right? So, and when we, when the students do the student evaluation, of course don't write much. So it's much easier if you can trigger this question.</t>
  </si>
  <si>
    <t>Evaluate the course, performing an NPS (Net Promoter Score) with students.
Teachers and monitors must not be present at the time of course evaluation by students.
Do not try to get feedback before a student assessment, as the student may feel fearful.</t>
  </si>
  <si>
    <t>Evaluate the course.</t>
  </si>
  <si>
    <t>If possible, record at least one training for an autoscopy at the end. See if you have any language addiction, if there were any process that didn't fit the way you imagined, that would work, because when you're talking and doing, sometimes, there's a detail that it shouldn't.</t>
  </si>
  <si>
    <t>Record a training for the teacher to assess language addiction and whether the class flowed as planned.</t>
  </si>
  <si>
    <t>Mixing, theoretical and practical [...] is essential.</t>
  </si>
  <si>
    <t>It is essential to mix the teaching of the theoretical part and the practical part of DevOps.</t>
  </si>
  <si>
    <t>We need to talk about the theoretical part about Lean, which is the Toyota method, Kaisen is also very important, Agile which is significantly linked to the DevOps process.</t>
  </si>
  <si>
    <t>In the theoretical part of DevOps, Lean, Kaisen, and Agile should be taught.</t>
  </si>
  <si>
    <t>What is practical, from the menu, is to make an end-to-end software, [...] But, end-to-end, and the end, which is monitoring.</t>
  </si>
  <si>
    <t>Make software from start to finish, going through the DevOps steps to the monitoring step.</t>
  </si>
  <si>
    <t>Software build [...] deliver this to a VM, somehow, in the best way you understand, which is possible in your suite [...] You can provide it with Docker.</t>
  </si>
  <si>
    <t>Perform continuous delivery through virtual machines or with Docker.</t>
  </si>
  <si>
    <t>The software [...] a monitoring tool, in the end, for you to look at. [...] Look at a Grafana, for example, with Prometheus, which is free software, like that.</t>
  </si>
  <si>
    <t>Use Grafana and Prometheus as monitoring tools.</t>
  </si>
  <si>
    <t>Of the menu is to make an end-to-end software, to understand the software in its conception. We already deliver this to the student, ready. Because we're not going to create the software from scratch, because the code is already kind of polished, it's a code from a forum in Java, where we have some features that depend on the machine to do the build, so we're going to decouple.</t>
  </si>
  <si>
    <t>Use a complete example project from places such as a java discussion forum.</t>
  </si>
  <si>
    <t>So, the first thing, uncouple the database connection that is versioned in the source code. You can still version the String os; although it's not the best practice, you don't have to comment out the code to change the environment because TomCat will read it from there. Versioning in a git, using a continuous integration like Jenkins, for example, and a constant deploy, a continuous delivery with, it can be with an Ansible, it can be with any tool you deliver or in a VM or the Cloud.</t>
  </si>
  <si>
    <t>Carry out the following practical activities during the course: the first step is to decouple the database connection from the system code, then version the code with Git, insert continuous integration with Jenkins, and finish with constant delivery using public cloud services or tools with Ansible.</t>
  </si>
  <si>
    <t>Make it very clear, pedagogically, that I think it involves an exemplary sound configuration so that the student can hear you well, always with the camera open, even if the student doesn't open it, because he can't, but let him see you, that he feels this approach as much as possible.</t>
  </si>
  <si>
    <t>Provide a comfortable learning environment for the student, such as remote teaching, which requires adequate audio and video equipment.</t>
  </si>
  <si>
    <t>Within the menu, try to avoid making the student dependent on that stack you are teaching. So, if you're going to explain Jenkins, take half an hour to explain the pipeline in another tool, so he can see that it's possible. So he doesn't come out with the recipe ready. As much as we don't deliver it, the student creates a recipe in his head, and it won't fit in all of his daily routines. Then it will generate frustration. So, make it clear, look, can you see what we're doing? We're doing it for that reason, at Jenkins. Today we are going to use Bitbucket, for example, which is how we do it. One, as an example, correct?
They said: teacher, I can do it in such language, I can do it in such a platform, can I do it like this? [...] So, I am not going to say that there were, I do not know, six, seven, different environments, right? That there was, but let us put two or three, right, different ones. So, for us, professors, we are often not proficient in all of these, right? So, then the person will have to clarify a doubt, then you say: man, I don't know. So, you decided to do it there, you kind of jump up, like, you know? The most we can do is try to convey the concepts, right? And when the person has a very big doubt like that, you say, boy, try to explain to me how this technology is there that you are using see if I can at least translate the things that I know, that is it.</t>
  </si>
  <si>
    <t>Show the student that there are several ways and tools to do the task.
Teach in a way that knowledge can be applied in different tools, but not focus on the possible specific problems of each technology.</t>
  </si>
  <si>
    <t>Show the student that there are several ways and tools to do the task.</t>
  </si>
  <si>
    <t>I ask the students to implement a straightforward system, which will serve the entire subject. In this minor system, we're going to have tested; there's going to be built, there's going to be continuous integration, there's going to be deployment, you know?
This part of the system, which I ask them to do to monitor the discipline [...] When you go to configure the tools and such, as you were the one who developed the system, it becomes easier, I believe for you to understand all the automation and such. However, at the same time, I see that the guys have much difficulty in doing it.</t>
  </si>
  <si>
    <t>Use a simple example system made by students.
Students build their own systems during the course in order to increase their understanding of automation.</t>
  </si>
  <si>
    <t>The students could build their own system during the course.</t>
  </si>
  <si>
    <t>The point is to try to exercise as many tools as possible to provide everyone [...] with a range of things to apply in your daily life when you see the need.</t>
  </si>
  <si>
    <t>Exercise as many tools as possible.</t>
  </si>
  <si>
    <t>Because you have to have the mentality that you will have to get materials from different sources, right? ... you'll have to resort to gray literature, right, which is this literature from the blog, the medium, the Nubank or Netflix blog, which are sensational articles, but that don't have that scientific rigor, peer review, and such. So, like, I think the DevOps teacher needs to understand that he's in this environment, right?
Material heterogeneity is the biggest challenge [...] you have to set up a class sewing the fonts. So, sometimes, for example, in my integration course, I have to give several concepts, right? For you to talk about continuous integration, you need to talk about version control. You need to talk about build. You need to talk about testing. There are several things that are part of continuous integration, right? So, git-flow is not in the book, you know? Branch, development models, that's not in the book.
Most of the references, the most interesting cases that I considered bringing to the room are posts on INFO2, on Metzone, Hacker News, Twitter posts, Airbnb case study, Glitch, Orbitz, and such; other cases of those that are much more interesting than necessarily, books or "scientific academic" articles.</t>
  </si>
  <si>
    <t>Use various sources of DevOps study materials, such as gray literature, blog (medium, Nubank, Netflix).
It is necessary to make use of several sources when creating the course.
Information in gray literature is more interesting to illustrate DevOps use cases: posts on INFO2, Metzone, Hacker News, Twitter, Airbnb case studies, Glitch, Orbitz.</t>
  </si>
  <si>
    <t>Use various sources of DevOps materials.</t>
  </si>
  <si>
    <t>This part of the system, which I ask them to do to follow the discipline, [...] I'm seriously thinking about the idea of ​​simply giving them a system.
If I make this system, I can pass it on to people in a much simpler way, right? How do they do things and such.</t>
  </si>
  <si>
    <t>Deliver a ready-made sample system for students to use.
Using an example system designed by the teacher will give more confidence in supporting students during the course.</t>
  </si>
  <si>
    <t>Deliver a ready-made sample system for students to use.</t>
  </si>
  <si>
    <t>Maybe it makes sense for you to provide the environment for the students, right? And this provision, you can use a docker of life, which comes already, right?
I ended up doing was to give each group a big virtual machine. And on that machine, they run three or four Docker images. Uh, one with Artifactory, one with Jenkins.</t>
  </si>
  <si>
    <t>Provide initial environment setup for students.
Give each group a big virtual machine. And on that machine, run three or four Docker images. One with Artifactory, other with Jenkins.</t>
  </si>
  <si>
    <t>Provide initial environment setup for students.</t>
  </si>
  <si>
    <t>You need to talk about version control; you need to talk about build; you need to talk about testing; several things are part of continuous integration. So, git-flow is not in the book, you know? Branch, development models, that's not in the book. Then you start going to blogs and such, you know? Then, you will talk about software testing; if you were a software engineering book, this part of testing is extremely weak, so it is highly conceptual; there is nothing. Then you can get the articles.
 I teach them about the git feature branch workflow.
Some of this even goes down to git right, because a lot of people coming in know something about git a lot don't um, in many ways, my opinion, which I realize is, is probably not widely shared is that even if we were restricted from a software engineering department perspective, almost everything we're teaching should be retooled along devops lines, uh.
We've introduced recently is a notion of digital branches and feature branches, for example, uh, linked to stories, but we try to just give them small individual tools.</t>
  </si>
  <si>
    <t>Version control with git feature branch workflow, build, continuous integration, and software testing content should be taught.
Teach git feature branch workflow.
Use git to teach how to manage the code.
Introduce the notion of digital branches and feature branches using small individual tools.</t>
  </si>
  <si>
    <t>Teach version control with git feature branch workflow.</t>
  </si>
  <si>
    <t>Something I don't do. I realize that I will need to do it, but it's precisely documenting, right? Those fonts, in case you need to revisit, eh, eh, because it's so easy, right? You open a blog and stuff, you close the tab, and it died like that. So, somehow you, you are always documenting, where you got it, where you got it from, keep these links, if you have to, if you need to revisit there in future versions of the course, I don't know.</t>
  </si>
  <si>
    <t>Document the consulted material, facilitating future access.</t>
  </si>
  <si>
    <t>For this part of continuous integration, [...] When you talk about continuous integration, there are several tools you can use. So, you can use Jenkins; you can use Travis; you can use Circle CI, now Github Actions is here, you know?
And then I teach them, CI continuous integration. I show them how to use Travis to automatically run the test cases.
From a tooling point of view, um, for the pipeline, we, we recommend Travis CI.
There are many checks in this course, we had to make sure that the students had done this and that, and that these, uh, checks could be, uh, automatized by your students. And they had, they added some GitHub actions and to the repository.
I want the code to go through a pipeline. It could be Jenkins. It could be github actions. It could be gitlab workflow. It could be GitHub action.</t>
  </si>
  <si>
    <t>Use Jenkins, Travis CI, Circle CI and Github Actions in teaching continuous integration.
Teach continuous integration using travis to automatically run the test cases.
Use Travis CI for the pipeline.
Do automation with Github actions.
Use Jenkins, GitLab, or Github Actions as pipeline orchestration tools adopted by the course.</t>
  </si>
  <si>
    <t>Teach continuous integration and pipeline automation.</t>
  </si>
  <si>
    <t>Jenkins, let's put it this way, he, even though he's challenging because he's not the easiest thing in the world to set up. These pains, I also think it's essential for the guys [...] Jenkins you don't pay anything [...] These pains, I also believe it is necessary for the guys when you get something a CI that works in the cloud and such, notice, hey, look how easy.</t>
  </si>
  <si>
    <t>The difficulties of configuring CI tools like Jenkins are essential to student learning, facilitating a future transition to cloud CI tools.</t>
  </si>
  <si>
    <t>The recommendation would be that it would be to get tools that are minimally relevant, right? And so that you can present the different cost-benefits of each one.
I try to pick a few key ones.</t>
  </si>
  <si>
    <t>Introduce students to minimal relevant tools and their tradeoffs.
Use few key tools.</t>
  </si>
  <si>
    <t>Use few key tools.</t>
  </si>
  <si>
    <t>I always pass some written evaluation of the basic concepts [...] I like the students to express in their own words what they understood [...] mainly from the cultural part.
 And the final exam, I keep, I keep the questions mostly conceptual, right. Because let's face it. If you understand the concepts, you can Google the details, right. But you don't know the concepts, you don't know what the Google, right. ... I do put some questions in that they would have only learned had they participated in the project.
The exams are really more the conceptual or philosophical elements stuff, where there is a little more of a, a cut and dry response, or at least I try to structure them that way.</t>
  </si>
  <si>
    <t>Use assessment writing of basic concepts and DevOps culture so that students can express what they understand in their own words.
Keep the exam questions mostly conceptual and about participation in the project in the final exam. 
The exams have more conceptual or philosophical elements.</t>
  </si>
  <si>
    <t>Do exams with more conceptual questions.</t>
  </si>
  <si>
    <t>DevOps [...] In the specialization course [...] you can break all this content into more extensive disciplines.</t>
  </si>
  <si>
    <t>It is possible to break the teaching of DevOps into various disciplines in a DevOps specialization course.</t>
  </si>
  <si>
    <t xml:space="preserve">So, there are some things that you cannot miss. All, if you see the cute little DevOps cycle figure there, right? All that part of compiling, testing, making, monitoring, and evaluating, I think all of this needs to be charged in some way; it has to come in somehow.
I would have some more, uh, time for, uh, for basics of, uh, basics of DevOps and the old technologies, and not only focus on the things that are, uh, that are very novel and very being developed right now. So, uh, because that would give students a better opportunity to, uh, understand the, uh, the other things as well.
</t>
  </si>
  <si>
    <t>The basics of building, testing, deploying, and monitoring should be present in a DevOps course.
Not just focus on the current, but teach the basics of DevOps and older technologies to a better understanding.</t>
  </si>
  <si>
    <t>The basics of building, testing, deploying, and monitoring should be present in a DevOps course.</t>
  </si>
  <si>
    <t>During creation [...] Everything is already prepared, and the groups are always the same [...] it is the same booklet, the same content, the same teaching didactics, so there is no preparation for each class, you know? It was just an initial preparation.</t>
  </si>
  <si>
    <t>Standardize the teaching material for all classes.</t>
  </si>
  <si>
    <t>Training is limited [...] we will have to cut it, right? Focuses on tools, but which tools. So, this was a big challenge, so to think about which themes are essential, which means to teach, within each piece, right?</t>
  </si>
  <si>
    <t>It is necessary to choose which topics and tools are essential as the course time is limited.</t>
  </si>
  <si>
    <t>the recommendation is to look at the market, search, see on Twitter, discussion groups, see what's hot on Google Trends. To know how to choose a tool that is more popular, right? That it is used more and that more people can enjoy the content there, right? Because they are tools they are already used to using.
The recommendation is to see what the market is using, right? Moreover, trying to go with what is most used, like, it was no use messing with CRIO if everyone uses Docker.
 I also try to use a set of tools that are popular in the industry.
It is very critical to teach them tools that are relevant and tools that will help them get a job.
Setting up good logging monitoring notifications, some of these other open source tools that provide that kind of those kinds of capabilities. ... So I try to pick a representative sample open source, always cause I don't want people to be buying things.
 I try to use as much as possible with tools that people use in industry and companies.
I wanted to go with open source technologies so I can explain later how we build the labs.</t>
  </si>
  <si>
    <t>Research market tools on Twitter, discussion groups, Google Trends, as they are probably the tools that students are used to using and will take advantage of in their work.
Use the most relevant tools on the market like Docker.
Use popular industry tools.
Teach tools that will help to get a job.
Use representative open source industrial tools.
Use as much as possible relevant industry tools.
Prefer to use open source technologies.</t>
  </si>
  <si>
    <t>Use relevant industry tools.</t>
  </si>
  <si>
    <t>Of first showing the history, showing the motivation, showing the problem, and making some hooks with possible solutions that Devops was bringing, suitable?</t>
  </si>
  <si>
    <t>The assembly of classes should follow the following steps to use DevOps: history, motivation, problems that can be solved, and possible solutions with DevOps.</t>
  </si>
  <si>
    <t>So, we ended up choosing Java because it is the greatest strength; ours, that was Java.</t>
  </si>
  <si>
    <t>Use a programming language that the teacher knows.</t>
  </si>
  <si>
    <t>Which tool to choose, which one had to see, which was more standard in the market, which was more straightforward, which is even easier to teach, and how to fit it in, right?
You don't know what is Docker yet, but here's a common line. Just run it. And then here's a common line to run. Artifactory you don't know what it means, just type it like this. Um, it will give you an Artifactory that's running.</t>
  </si>
  <si>
    <t>Use the simplest tools chosen by the market as a method of selecting the tools that will be adopted during the course.
Use the tools like Docker and Artifactory in simplest way.</t>
  </si>
  <si>
    <t>Use the DevOps tools in simplest way.</t>
  </si>
  <si>
    <t>We don't evaluate, [...] but we keep observing, right, the students, and such throughout the training.</t>
  </si>
  <si>
    <t>Monitor student progress throughout training by conducting a traditional assessment.</t>
  </si>
  <si>
    <t>One important thing for me, which became apparent during my studies, is that I had to show the background, the motivation somehow, so I wanted to fit it in any way in the curriculum at the beginning, showing the history of software development [...] include these topics, like, more historical, which are not good, are not technical, right? But in a way that isn't too boring, you also [...] have to fit this with the technical part [...] With concepts of continuous integration, continuous delivery, continuous deployment, tools, automation, anyway.</t>
  </si>
  <si>
    <t>Contextualize the historical aspects and definition of continuous integration, continuous delivery, continuous deployment, and automation concepts.</t>
  </si>
  <si>
    <t xml:space="preserve"> I had to show the history somehow... the history of software development, showing about the processes. Cascade, RUP, agile, talk a lot about agile, because it's related and fit these topics, so, more historical, not sound, not technical... And make a parallel, there, with the agile world with the problems that DevOps came to solve, right?
I'm trying to tie the application of the devops principles and techniques and technologies, and to, and to link that together with agile approaches, for example.
We help them manage stories, backlog. Uh, so it's more on the front of, we give you requirements.
If you want to be able to experiment and, and to, to, to do the postmortem so that you can learn and you can solve issues and stuff.
I have to do more of this, um, story telling. ... I'm trying to share my experience with the students.</t>
  </si>
  <si>
    <t>It is important to show the relationship of DevOps with software development models, notably Agile.
Tie application of DevOps principles, techniques and technologies with Agile approaches.
Help students manage stories and backlog.
Make post mortem with the students to solve problems.
Use storytelling to share experience with the students.</t>
  </si>
  <si>
    <t>Use Agile approaches in DevOps classes.</t>
  </si>
  <si>
    <t>To get Everything ready to avoid problems and lose the focus and essence of the group.</t>
  </si>
  <si>
    <t>Start a class with a pre-organized structure.</t>
  </si>
  <si>
    <t>Working so hard on the theoretical aspects needed to understand why things in DevOps are in SRE as a whole [...] you have to have that.
Thus, DevOps and SRE are concepts that were born much more strongly in practice than in state of the art, that is, much more in the industry than necessarily in the university. So for you to deal with these concepts without making a real explanation, or bringing the main players about how they did it and why they did it, it is essential.</t>
  </si>
  <si>
    <t>Relate devops to site reliability engineering (sre) for students.
Show the historical importance of DevOps and SRE concepts from the main players in the industry.</t>
  </si>
  <si>
    <t>Relate devops to site reliability engineering (sre) for students.</t>
  </si>
  <si>
    <t>To bring the concept applied, then use a CDL approach, or PBL, that helps a lot, because then you have to present the problem and then show the idea behind the resolution of that problem.</t>
  </si>
  <si>
    <t>Make use of the Comprehensive Distance Learning (CDL) teaching methodology.</t>
  </si>
  <si>
    <t>DevOps comes very close in these quirks of software architecture-like chairs. You can't just stick to the concepts. In theory, you have to show the realization of these things.
You have to learn by doing.
You can't learn the DevOps culture from a book.
Once you've been to the exercise session, you have to go back to the concept again and display them again because the, some concept only makes sense when you apply them.
I was saying at the beginning is that when you tell them that they're going to get their hands dirty and things that work one day will not work the other day, they start laughing. They don't take it seriously. Um, and then when they, when they building and they build a script to, I don't know, run some integration tests or to magically build Docker images and deploy them, it works on the machine on one guy of the group because they're working group, right? So they talk together. The one guy actually typing on the keyboard, he commits a script and they go, yes, we're done for the day. Let's go to some of the tasks, right? And then the next day somebody else was in the group wants to use it. And it doesn't work for them because they have a different environment because the script was assuming that the Docker was installed.
If we can have a students together working together and, um, working on the projects and developing projects together at the same time while the teachers are there and they, uh, we can, uh, see what they are doing, that would be better. And I think we will, uh, hopefully do this, uh, next year when grown-up situation gets better.</t>
  </si>
  <si>
    <t>It takes practice to understand DevOps concepts.
It is necessary to practice DevOps knowledge.
You can't learn the DevOps culture from a book.
DevOps concepts need to be shown in practice so that students can understand.
Students only understand problems of the environment setup when they experiment in the practice.
Promote a moment to students practice while teachers are around to help them.</t>
  </si>
  <si>
    <t>It takes practice to understand DevOps concepts.</t>
  </si>
  <si>
    <t>I usually study the subject to understand and then see the best way to explain that subject.</t>
  </si>
  <si>
    <t>Study the subject thoroughly before preparing for classes.</t>
  </si>
  <si>
    <t>You propose the dynamics and have these things move the group because otherwise, it gets so dull.</t>
  </si>
  <si>
    <t>Use dynamics to inspire the class.</t>
  </si>
  <si>
    <t>I try to bring this up: Mesos, Marathon, then Swarm, even to exercise the concepts is more accessible, lighter than Kubernetes, and then after Kubernetes, Rancher, for example.</t>
  </si>
  <si>
    <t>Initially, adopt more straightforward tools such as Mesos, Marathon, and Docker Swarm before using the Kubernetes tool.</t>
  </si>
  <si>
    <t>Some settings you can have for us to help, like, oh, you have the monitors team, for example, this allows you to go to a more excellent practical line because you'll have more arms to help you, evaluate and everything else.
We had to do as TAs and other things I think, uh, we, it's not, uh, only before the lecture, but during the whole, uh, time that this, uh, this course was, uh, going on, we had to check the, uh, check the github. And, um, students had, since they had to make some contributions, uh, we had to make sure that their contributions, uh, could pass all the checks that we had. [...] So we had to check that they were doing what they were supposed to do before the lectures, during the lectures and after it. So that was our, uh, our role in this course.
What we've done in this case was to let the TA grade the projects, um, because then it was way more simple. And as the two props, we were, uh, grading the exams and were like cross validating.</t>
  </si>
  <si>
    <t>If possible, have a team of monitors to assist in the assessment process.
Teacher assistants check if students contributions pass all the roles of the course.
Teacher assistants grade the projects and the professors grade the exams with cross validating.</t>
  </si>
  <si>
    <t>Teacher assistants help in the assessment process.</t>
  </si>
  <si>
    <t>Because it is based on the assumption in all my disciplines that, right, knowledge is an open work, right? I'm not the holder of all knowledge [...] So they learn to curate what is relevant, necessary or not, is part of my teaching and learning processes.
So, in my activities, I always try to put a decision-making Delta that belongs to the team, right? To the students and who will obviously assess their understanding in all the semester's discussions. So, all decisions are valid, obviously, right?</t>
  </si>
  <si>
    <t>Instigate students' critical thinking and encourage the self-taught search for extra-class information.
Promote and evaluate students' independent decision-making in the learning process.</t>
  </si>
  <si>
    <t>Promote students' independent decision-making in the learning process.</t>
  </si>
  <si>
    <t>I already have mine that has my discipline ready, right? So the challenge, for those who will start one, is less.
I already have mine that has my discipline ready, right? So the challenge, for those who will start one, is less.</t>
  </si>
  <si>
    <t>You can use the discipline that the interviewee professor Vinicius elaborated as a reference for the elaboration of other DevOps disciplines.
Use other DevOps courses as a reference.</t>
  </si>
  <si>
    <t xml:space="preserve">Use other DevOps courses as a reference.
</t>
  </si>
  <si>
    <t>PBL matches very well with, at least like this, how I see the DevOps signals or architecture, or MicroServices, which is another discipline I have; it's cool because you can start from the problem and show why people are using what are you using. So I think it matches perfectly.
Bringing the concept applied, then use an approach like CDL, or PBL, that helps a lot because then you have a way to present the problem and then show the concept behind the resolution of that problem.
Most of the time to give a problem solving questions where I put a problem and say, okay, and push a student to critically think. ... , I put a problem and then we'll come up with the solutions for the problem. And I haven't been able to find a good way to do that with DevOps, in, uh, in terms of assessment.
We decided to go on a problem-based approach. So having like introductory lecture, giving the context, giving the leads to follow, then getting a problem based on, on, uh, like a long-term project for the whole semester.</t>
  </si>
  <si>
    <t>Make use of Problem-Based Learning (PBL).
Problem-Based Learning (PBL) is great for teaching DevOps.
Use problem solving questions in DevOps assessment. It pushs student to critically think.
Use problem-based approach on the projects of the students.</t>
  </si>
  <si>
    <t>Today, I don't use it; I use not only PBL; there is an inverted classroom, right? I think this translation is into Portuguese; I work with missions, right? So, the execution itself is Agile; we always have a post-mortem for each task. My methodology today, at work, is a combination of a series of different good practices that come from my professional experience and part of what I learned, seeing that it worked and didn't work while teaching.</t>
  </si>
  <si>
    <t>Merge good practices of Problem-Based Learning (PBL), inverted class and Agile, through classroom experimentation.</t>
  </si>
  <si>
    <t>I break them up into nine teams of five students each.
For this course, I haven't done as much in terms of team projects, although I'm rolling that around to every, because everybody loves team projects.
 There was something like 17 groups.
I put them by a team of four, six per group, and then we work together and, and that's good also because it may be working in a team.</t>
  </si>
  <si>
    <t>Organize the students into teams of five.
Students like to work on team projects.
Students organized by groups.
Put students to work by a team of four to six per group.</t>
  </si>
  <si>
    <t>Organize the students into teams.</t>
  </si>
  <si>
    <t>And then I tell them, I am not going to grade you on what you submit. I'm going to grade you on how you got there because getting there is not the point. It's the journey, right? That's the point. It's how you got there. And so, um, I teach my class in sprints. We do five, two weeks sprints in a 15-week course. And I give them the requirements for each sprint, what I need them to build. And I teach them how to do agile planning. And then they go build an agile plan.
So I try to force them into these situations that really drive home the message of how to work as a DevOps team, how to work agile, but you've got to live it.
So we do things in sort of an iterative and incremental model where every week or every sprint, if you will build on the previous one.</t>
  </si>
  <si>
    <t>I teach my class in sprints. We do five, two weeks sprints in a 15-week course. I give them the requirements for each sprint, what I need them to build and I teach them how to do agile planning. Then they go build an agile plan.
Make students experiment situations where they can learn how to work as a DevOps team, how to work agile.
Use an incremental models with sprints.</t>
  </si>
  <si>
    <t>Do agile planning with sprints.</t>
  </si>
  <si>
    <t>Those are the ones you remember, right? Not just read, right? If you learn in the abstract, you'll soon forget it. But if you learn in context, then you'll remember it because you understood why you did it. So I try to teach them just enough to get them going.
 I used to have people stand up during Jenkins instances to do the work, but that just at the end of the day, that's a distraction. My goal is not to teach them how to administer Jenkins.
I'm having conversations with the university about trying to take the devops course and essentially converting it to a three course sequence one for agile, one for kind of the dev part of devops and one for the ops part of devops.
So second one is about establishing the pipeline and then they finish the second one by, uh, building the Docker images. But it's not in depth about containers or, or kubernetes, but that's easily touch it. Okay.
They need to do concrete things ... it's to be able to traverse the whole thing without necessarily going in depth about all of these things.
I need very solid, uh, research. It's a sorry, a lab assistance. The people responsible for the labs of course, assistants that that can actually deal with the students. So I'm lucky to have students and have good industrial experience, uh, to do that.</t>
  </si>
  <si>
    <t>Teach just enough to get them going so they can learn in the right context.
Do not focus on unnecessary features of tools like avoid administering Jenkins if you want to practice continuous integration.
You cannot possibly get through everything in details.
Teach how to use tools like Docker and Kubernetes but do not much depth.
Do concrete things without necessarily going in depth about all.
Do not teach deeply some hard technologies like Kubernetes.</t>
  </si>
  <si>
    <t xml:space="preserve">Teach just enough of DevOps tools to get the students going so they can learn in the right context. </t>
  </si>
  <si>
    <t>I teach them how to work as a DevOps team. And we create a slack channel. , and I create a channel for each one of the teams. And they're all collaborating in their channel. They have 24/7 access to me. They can ping me at any time on slack.
You have a question, ask me the question in the moment, right? Because that's when the answer is important to you.
Whenever they have a problem they can come to me. And I tell them, don't spend too much time Googling stuff. If you don't understand something, ask me if, if you don't understand what I presented, then I didn't present it in a way that you could connect with it. [...] Everybody learns differently.
I'm always asking you the last factor. I'm always taking almost an hour to, as a student. Just give me your feedback. Like, like very openly, right? That's you should all give me a feedback again.
Each week we had, uh, four hours of, uh, lectures and answering questions from students and, and, uh, making, making some points about the course more clear.</t>
  </si>
  <si>
    <t>I teach them how to work as a DevOps team. And they're all collaborating in their channel. They have 24/7 access to me. They can ping me at any time on slack.
The student's question should be answered in the moment.
Incentive professor-students interaction, easing fast solving questions.
Take time to hear student's feedbacks very openly and give them your feedback too.
Separate time to answer students questions, each week, four hours, lectures and answering questions, making some points about the course more clear.</t>
  </si>
  <si>
    <t>Provide fast feedback to the students.</t>
  </si>
  <si>
    <t>I like to make them feel a little bit of pain before I give them the solution. So I will have them to run their test cases.
The thing I've done to try to avoid a little bit of the mess is I want to go gradual. I want to be gradual in the class. So first I teach compilation and testing. Then I teach continuous integration. team A is going to build one piece team B is going to build another piece that depends upon what team is built.</t>
  </si>
  <si>
    <t>Don't give the solution right away, let them reach it first for themselves.
Teach DevOps giving the content gradually, like first teach compilation and testing, then continuous integration; do not give everything right away so easily.</t>
  </si>
  <si>
    <t>Don't give the solution right away.</t>
  </si>
  <si>
    <t>I'll have them run their test cases manually. And then when someone makes a pull request, I'm like, well, you need to clone that, run the test case. [...] And then [.. ] I show them how to [...] automatically run the test cases. [...] And so they write all the test cases. And then, and then I, I teach them about code coverage. I said, it's not about the test passing. If the code coverage go down, then somebody code it without writing a test case, don't merge that pull-request, right? So I'm teaching this whole culture, right? This way of working. [...] Then finally we push it to the cloud. We set up CD pipelines to deploy things in the cloud</t>
  </si>
  <si>
    <t>Write some tests cases manually, do pull requests, do test automation with CI, write all test cases, teach code coverage. Then finally setup CD pipeline to deploy the application in the cloud.</t>
  </si>
  <si>
    <t>So sometimes a student will say to me: "professor, what do I do if another student is like not pulling their weight on the team?", And I say: "when you go to a job interview, you're going to be asked the question, tell me about a time when a member of your team wasn't pulling their weight. And what did you do to get them excited and to contribute again, today's the day to go write that story. Today's the data to write the answer to that question".
You need to sit together and experience because if you can't work as a team, you're not gonna make it right out in industry because we want team players. I don't want heroes. I don't want people who saved the day. I want people who mentor each other.</t>
  </si>
  <si>
    <t>Make the group motivation a responsibility of themselves, students should motivate each other.
Teaching how to students mentor each other is one of the most important things and must be a priority.</t>
  </si>
  <si>
    <t>Make the group motivation a responsibility of themselves.</t>
  </si>
  <si>
    <t>Do they understand what the cloud is? It'd be great if there was a cloud course before mine, but there isn't.
It's an option that we give them the year before too preparing them.</t>
  </si>
  <si>
    <t>It'd be great if there was a Cloud course before DevOps course.
Prepare students with previous courses.</t>
  </si>
  <si>
    <t>Prepare students with previous courses that teach related DevOps concepts.</t>
  </si>
  <si>
    <t>so I don't care if you using windows or using Mac or whatever you're using. We're all going to learn a bunch of Linux and we're going to deploy all our stuff, using a bunch of it and use all the tools in a bunch of.</t>
  </si>
  <si>
    <t>Use Linux operational system.</t>
  </si>
  <si>
    <t>We use Vagrant and VirtualBox. And so I don't care if you using windows or using Mac or whatever you're using.
I selected Vagrant and virtualbox because they're both free. ... so I had to change the class for them to use Docker and VirtualBox. 
They call my repo, Vagrant up and they're up and running. And so that's how I solve that problem. Bigger. It does a very good job of solving that consistent environments for students.</t>
  </si>
  <si>
    <t>Vagrant and VirtualBox are useful to create consistent development environment.
I selected Vagrant and virtualbox because they're free.
Make environment setup consistent between students using Vagrant.</t>
  </si>
  <si>
    <t>Vagrant and VirtualBox tools are free and useful to create consistent development environment between students.</t>
  </si>
  <si>
    <t>I selected Vagrant and virtualbox because they're both free. ... so I had to change the class for them to use Docker and VirtualBox.
We build Docker images.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t>
  </si>
  <si>
    <t>I selected docker docker because it is free.
Docker can be chosen as DevOps tool.
Use tools like Docker to have more control on support the deployment.
Use Docker as container deployment tool adopted by the course.</t>
  </si>
  <si>
    <t>Docker can be chosen as DevOps tool.</t>
  </si>
  <si>
    <t>We use selenium to, to work on the, uh, on the UI, as a browser.
We use Selenium for test automation.</t>
  </si>
  <si>
    <t>Use Selenium to automate UI tests.
Use Selenium for test automation.</t>
  </si>
  <si>
    <t>Use Selenium for UI test automation.</t>
  </si>
  <si>
    <t>Students will ask me, can I use a different test suite? Can I use, you know, something different? And I'll say, well, you can, but then it's up to you to figure out how it integrates back into everything.
 So it's rather simple that we, we let them, of course use the programming language. They want to develop the application. So, you know, the department, I think traditional were quite open with respect to that in the department. Yes. Java is still used, but students, these days, don't like Java. Um, they prefer Python. They prefer different things. So for us, we don't care, right? The application we give them when we gave them the HVAC application, we give them, uh, I think they have, I should even look myself, but I think we, we created two versions, one, it says Java version.
So we support them to the Travis CI. We support them with a certain number of things, but if they want to choose something else, it's okay. I mean, but you know, they have to understand that we won't necessarily support them.
We asked them to choose a tool, uh, on internet and new tool, and then use that tool and show other students how that works. So, uh, we didn't have some predefined, uh, projects.
Just find whatever they want to find and work on whatever they want to work on and let them be free since that was our goal in this course, uh, we let them choose, um, novel technologies, the technologies and the tools that are being used, uh, today and the tools that are being developed today. 
We decided to let the student choose and said, okay, you have your option and do what you want, but you're responsible of doing it.
It was a graduate course, I started not to, uh, enforce given tools ... I want you to have a version control system that should be git, but git up, gitlab Bitbucket, Bitbucket on premises. ...  you can justify and defend each step of what's happening to your code in the context of devops.</t>
  </si>
  <si>
    <t>Students could use other tools non-taught without professor support.
Do not force students to use a single language like Java.
Give students the freedom to choose other tools they want, but make it clear that these tools will not be supported by teachers during the class
The students choose the tools and the projects freely on internet.
Let the students be free about the used tools and technologies.
Give the responsibility to the student to chose the system and also the responsibility of what they are doing.
Do not enforce given tools on a graduate course. The students should justify and defend each step of what's happening to their code in the context of devops.</t>
  </si>
  <si>
    <t>Do not force the technology stack used by students in their systems.</t>
  </si>
  <si>
    <t xml:space="preserve">   People use an Argo CD to do continuous delivery. They used to be using Jenkins. So do you still teach Jenkins? Do you teach them Argo? Um, so it's a constant, um, improvement on the tools are what tools are popular, what tools are going to get them a job in the industry, right? </t>
  </si>
  <si>
    <t>Argo CD is a more current continuous delivery tool than Jenkins.</t>
  </si>
  <si>
    <t>I'm going to watch your Kanban board every week.
 I don't give quizzes because I'm grading them every day, watching their Kanban boards, seeing how they're working, interacting with them on slack. 
 I built kind of a fictitious company [...] based on my experience [...]  the students work in groups of three [...]  in the first lab, they have to set up their environment [...] We bring them also to, to build, uh, two small applications that actually extract, um, data from the Kanban, uh, in GitHub using the GitHub APIs, because I want the students to one that very important aspect of DevOps is the continuous improvement. So if you want, you have to apply the same principles to the process that you're applying to your product.
We enforce the usage of, of the, of the Kanban, because it's an important practice in devops to make the work visible and stuff.
Make the students realize that the Kanban has certain information for a certain purpose. Um, if I want to analyze my process, I may extract information from the Kanban that will tell me about, you know, the time that I spent in the development phase or in the, in the review phase and things like that.</t>
  </si>
  <si>
    <t>Teach Kanban board.
You don't need quizzes if you grade the students continuously watching their Kanban boards.
Create a fictitious company based on experience for students to practice continuous improvement, creating applications, extracting data from Kanban.
Use Kanban to make the work visible in devops.
Make the students realize that the Kanban has certain information for analyzing the overall process.</t>
  </si>
  <si>
    <t>Teach Kanban board.</t>
  </si>
  <si>
    <t>I actually last semester I prepared something on Sunday. And when I got Wednesday, when we had the class and I went to the cloud, the cloud had changed. [...] we're pushing to the IBM cloud the other night and it said there's an, there's a new update available for the tool. Uh, you know, version two, it may have breaking changes. And I said, timeout, nobody press, yes, everybody press no, because that's not the version I used on the weekend.
I'm usually maybe a couple of weeks out verifying something for an upcoming, an upcoming session.
The second recommendation is update your exercises often. ... you can get everything set up.
So you have to have your stack ready, but you have to update it with the current version of the software that you intend the students to use fairly close to the beginning of the session, if you don't want to be surprised.</t>
  </si>
  <si>
    <t>Check if the the labs work well always before start the class.
Verify if labs exercises are working before classes.
Update your exercises often to get everything set up.
Update your exercises frequently.</t>
  </si>
  <si>
    <t xml:space="preserve">So without having, uh, physically having a technical assistance in the class and I do have TA's on with my zoom and they do help students over slack, uh, to get things going.
We had a long Google doc that the students during the lectures and after the lectures, students could add their questions there. And then we, the TAs could answer the questions, uh, in the doc. </t>
  </si>
  <si>
    <t>Teacher assistence help students over slack managing questions.
Use Google Docs during the lectures so students could add their questions. Teacher Assistants could answer the questions in the doc.</t>
  </si>
  <si>
    <t>Teacher assistence help students over managing questions.</t>
  </si>
  <si>
    <t>Then I give them two exams. So the team is 40% of their grade. The exams are 60% a midterm that's 30 and a, and a final that's 30.</t>
  </si>
  <si>
    <t>So the team is 40% of their grade. The exams are 60% a midterm that's 30 and a, and a final that's 30.</t>
  </si>
  <si>
    <t>I try to get the student more engaged.... If they're not having fun, then we're, we're doing it wrong. So, so I'm making sure they're having fun.</t>
  </si>
  <si>
    <t>Try to get the student having fun in order to keep them engaged.</t>
  </si>
  <si>
    <t>In that assessment, you know, that they're, um, there are 50 multiple choice questions in each exam, no partial credit. Um, and, and so, and I give, and it's an hour, uh, you know, to go do that exam. ...  we're remote now.
The book I have quiz, uh, again, it could be translated and adjusted, but that's the way to, to test in the exams. ...  one part is exactly quiz questions. So they have multiple choices.
If I was asking you the question and say, give me the three benefits of this thought of this, uh, concept, then it's memorization. But if I give them five, if I give you five choices and they could be between zero and five, that are true statements with respect to this concept, it's not about memorization. It's about understanding.
If the exam is in presence, then I don't care that much if, if they do the control that before, because ultimately they have to understand, I think that these quizzes to me have a specific objective.</t>
  </si>
  <si>
    <t>50 multiple choice questions in one hour each exam if you are remote.
Use quiz in the book to test in the exams with multiple choices.
Multiple-choice format questions about DevOps concepts favor the understanding instead of memorization of the students.
Quizzes forces students to understand the concepts.</t>
  </si>
  <si>
    <t>Use quiz with multiple choices to assess the students.</t>
  </si>
  <si>
    <t>the exams are open book, right? I, I, when I'm in the classroom, they're not open book, but for, for the remote learning, they have to be open book. I just can't enforce it.</t>
  </si>
  <si>
    <t>Exams in remote class format are with the open book.</t>
  </si>
  <si>
    <t>we had cloud computing, where can easily stand up virtual machines for people and things like that.</t>
  </si>
  <si>
    <t>Cloud computing make easier to stand up virtual machines.</t>
  </si>
  <si>
    <t>People coming through the programs want to play with technology. That's half the reason we got into this field in the first place, and it's a really fun thing to be able to do, but it's not sufficient. And trying to change that mindset to emphasize more the idea of devops as a means of continuous improvement, as a means of organizational change. As a, to some extent I use this phrase guardedly, but to some extent, a philosophy around how the organization is going to go from concept to implementation, that's a much harder set of skills to pick up.
The global approach made sure the students not associated with devops with a CI/CD pipeline, because in my opinion, it's all about continuous improvement.
This mindset of thinking of continuous improvement is so important, right?  ... the improvement of the daily work is more important than the work itself.
What should I improve to make my process more efficient? So to me, this is the most important thing of DevOps. And, and, and then you do it through automation, automation of, of the deployment process, automation of, of, you know, the testing process automation later of the security, uh, thing and so on.</t>
  </si>
  <si>
    <t>Make clear the importance of the DevOps mindset like continuous improvement in constrast to using the tools.
Continuous improvement is a key DevOps concept.
The mindset of thinking of continuous improvement is so important because the improvement of the daily work is more important than the work itself.
The most importart thing of DevOps is to improve my process continuously through automation of the deployment process.</t>
  </si>
  <si>
    <t>Continuous improvement is a key DevOps concept.</t>
  </si>
  <si>
    <t xml:space="preserve">I'm starting to do is to just build out images, for example, that contain everything that I want them to have. Uh, and that way I can tell them to spin up a virtual machine. </t>
  </si>
  <si>
    <t>Use imagens that contain everything that the teacher wants to teach to clone virtual machines.</t>
  </si>
  <si>
    <t>I use GitHub and they have options for professors, you know, for academic use, where you can set up these GitHub classrooms. I use those constantly, um, and they work very, very well because again, I can kind of control who gets what I can see, everything I can help individuals through things works great.</t>
  </si>
  <si>
    <t>Use Github for academic use where you can set up GitHub classrooms.</t>
  </si>
  <si>
    <t>I will pick one, usually one, although I'll usually compare and contrast against a couple of others, something in the around of automated builds.</t>
  </si>
  <si>
    <t>Compare and contrast the tools before to choice.</t>
  </si>
  <si>
    <t>I try to use cloud providers, you know, kind of cloud SAS providers for that sort of thing, because I don't want people to spend a lot of time getting the stuff stood up.</t>
  </si>
  <si>
    <t>Use cloud SAS providers to avoid spending a lot of time installations and configurations.</t>
  </si>
  <si>
    <t>I tend to focus on gradle, but I also will link that to say a comparison against Maven and ant to provide some context for how we got here, why we got here</t>
  </si>
  <si>
    <t>Show the evolution of the tools like exposing from ant and maven to gradle tool in build managment.</t>
  </si>
  <si>
    <t>I'm having conversations with the university about trying to take the devops course and essentially converting it to a three course sequence one for agile, one for kind of the dev part of devops and one for the ops part of devops.</t>
  </si>
  <si>
    <t>separate the dev and ops part into different courses.</t>
  </si>
  <si>
    <t>And that level of what you're trying to do is to build a business case for why you want that at all. And now you're starting to get a little bit around of the computer science and into around of business and being able to tie those two things together in such a way that you can sell it to an organization that would have to spend resources, people, time, energy, money, building out that kind of a technical pipeline, right? 
 ... you have to somehow sell them on why you should spend your sources doing that versus building a new feature or adding a new product or any one of a number of other competing priorities that the business has.</t>
  </si>
  <si>
    <t>Teach students to know how to sell DevOps benefits to their directors who are from the business area. For example, pipeline reduce developers work time and save money. You can also build a new feature or add a new product that the business has.</t>
  </si>
  <si>
    <t>I don't think the basic skeleton of the class has really changed significantly, maybe a few places, but over the last two or three years, the, the basic structure, the scaffolding I think has held fairly true where we focus on some devops principles. We focus on concepts. We focus on goals.</t>
  </si>
  <si>
    <t>The basic skeleton of the class does not change significantly because we focus on concepts and we focus on goals.</t>
  </si>
  <si>
    <t>So I try to give folks one or two small projects.
We will also build a sample, which is on github. I'll send you the link. If you want. We build a sample that is called a cookie factory. Um, it's, it's a system to handle a cookie factory where you can order cookie pay for them, and you get a shopping cart with cookies, et cetera, right? So it's just a small sample.
We have built a little simulator that is quite simple, but that's easy to traverse the whole, essentially the main phases of DevOps.</t>
  </si>
  <si>
    <t>Specify what projects the students will work and provide one or two small projects.
Use small projects with students.
Use a simple application to walk through all DevOps concepts.</t>
  </si>
  <si>
    <t>Research small projects for the students.</t>
  </si>
  <si>
    <t>I will try to provide, uh, some kind of, of jump-starting as far as people learning at technology. So for example, here's commonly used commands. Here's why you use them. Here's how you use them.</t>
  </si>
  <si>
    <t>Provide jump-starting examples of commonly used commands of tools.</t>
  </si>
  <si>
    <t>So being a little bit more forgiving, a lot of the tools that we're using are brand new. For many people, getting them all to work together can be particularly challenging. And so making it a little less stressful, uh, can be helpful.</t>
  </si>
  <si>
    <t>Be a little bit more forgivable, understanding that for some people getting all the brand new technologies to work together can be really hard, so make it less stressful</t>
  </si>
  <si>
    <t>Our particular curriculum tends to allow out of, some degree of necessity and amount of interest based learning. You know, I care about software architecture. And so that's where I want to focus.</t>
  </si>
  <si>
    <t>Our curriculum allows some degree of freedom according to the teacher's preferences.</t>
  </si>
  <si>
    <t>We let the students build only one project, one code base, which is evaluated both on the standpoint of the architecture. ... but also from the angle of continuous integration, do they include build plan?</t>
  </si>
  <si>
    <t>Evaluate the single project of the students on the standpoint of the architecture and also from the angle of continuous integration.</t>
  </si>
  <si>
    <t>So we built a curriculum in just very innovative way, the two classes together, a single project, a single teaching team, but we evaluate on two angles.
The course about, uh, software architecture and DevOps, or we're talking about a different way of architecting software, um, mainly distributed system, because it was easier for the DevOps parts who were triggered challenges was a distributed system.  ... And they had one, one lecture in the morning lecture slash lab and one lecture slash lab in the afternoon. And they were really like Friday was dedicated to DevOps slash uh, architecture.</t>
  </si>
  <si>
    <t>Built a curriculum with DevOps and Software Architecture classes together, a single project, a single teaching team, but we evaluate on two angles.
The courses of software architecture and DevOps taught in the same day.</t>
  </si>
  <si>
    <t>The courses of software architecture and DevOps taught together.</t>
  </si>
  <si>
    <t>And then another team uses in a 13 deploys to environment that the first team cannot get to because it's a production environment that the coder will not get access to it. So in real life, you have different teams of people that talk only through some channels.</t>
  </si>
  <si>
    <t>Show the operational constraints to students like coder will not get access to production environment.</t>
  </si>
  <si>
    <t>And then as we go into more concept, like what is Jenkins and what is Artifactory and what is Docker, then we can go back on those things.</t>
  </si>
  <si>
    <t>Study the tools more when you go into the concepts. For example, deep Docker when you teach containers.</t>
  </si>
  <si>
    <t>what helps is to build something that is portable and something that can be broken down into several pieces where one student runs one bit and then another students runs the rest. It's also good because it forces them to work as a group.</t>
  </si>
  <si>
    <t>Build something that is portable and something that can be broken down into several pieces where one student runs one bit and then another students runs the rest.</t>
  </si>
  <si>
    <t>In this year, if you do that, it's too early and it's going to be too hard for you as a teacher to, to know what's going on. So by forcing the technology stack and telling them.
I mean, they're free to do what they want from a functional standpoint in the project.
But from a tools and technology, we force just on them to avoid too many variation between the groups.
We use a very specific language. This is to just make it easy. I mean, sometimes we give it a bit too flexible. So right now we use a Java and Javascript because we are targeting web application. But, uh, when we students are implementing, uh, new features, so we give them the flexibility. We say, okay, parents, if you want to implement in Python, you can do it as long as you can wrap it in, uh, integrated in the new code.
 We give some kind of rough summary of what the application is supposed to do.</t>
  </si>
  <si>
    <t>Force students to use technology stack used on course.
It is necessary to give freedom to student develop their functional solution.
We force tools and tecnology and alert them to avoid too many variation between the groups.
It is important to give flexibility to students to develop their solution although some things are determined.
Give students a rough summary of what their application are supposed to do.</t>
  </si>
  <si>
    <t>Force students to use technology stack used on course.</t>
  </si>
  <si>
    <t xml:space="preserve">Go gradually. Um, so tha t,that was part of my strategy. The other thing is I've built a few, what I called a, um, whiteboard free session. So I go something like every week we have half a day, one hour of, uh, formal teaching. And then two hours exercise and we do that for like three weeks in a row. [...] So I do like three classrooms, one free session inspired by what they fail on and I continue.
</t>
  </si>
  <si>
    <t>Build whiteboard free sessions inspired by what students have failed and the two hours exercise.</t>
  </si>
  <si>
    <t>We've done live presentation, where they have something that 20 minutes to describe the architecture, to describe their build strategy, that test strategy and demonstrate it on the screen. Um, and that is evaluated by a jury of one representative from the software architecture class and one representative from the DevOps class.
Students have to choose some topic and say, okay, we want to do a presentation on this topic. And that topic can be anything related to DevOps.
Everyone who wanted to present a tool or to do a demo or anything else they could give, uh, get some feedback from other students.</t>
  </si>
  <si>
    <t>The students have something that 20 minutes to describe the architecture of the project, to describe their build strategy, that test strategy and demonstrate it on the screen. That is evaluated by a jury of one representative from the software architecture class and one representative from the DevOps class.
Make students prepare a presentation about topics related to DevOps.
Students can present a tool or do a demo to get some feedback from others during the classes.</t>
  </si>
  <si>
    <t>Make students prepare a presentation about topics related to DevOps.</t>
  </si>
  <si>
    <t xml:space="preserve"> we also do two evaluations, one in the middle and one at the end. So the one in the middle, we call it MVP evaluation. And we tell them, at this point, you should have reached an MVP, which is basically a walking skeleton for your code. We don't care if when you call the API, the only code of the API is return true, or which are 12, but we care that you have the components in place. You can build them independently and they can talk to each other. Right? So at this, we validate that your componentization and your architecture is good even before you start building algorithms and the functional code. Um, so we do that and that's, again, that's to catch early, um, architecture mistakes.
</t>
  </si>
  <si>
    <t>Use MVP (Minimum viable product) evaluation to validate components of the project. Make an evaluation in the middle and the final course.</t>
  </si>
  <si>
    <t>we also have a lot of evaluation during the exercise. When group after group, where we, we give them flags if week green, yellow, or red, based on where we think they are, uh, regarding the objectives.</t>
  </si>
  <si>
    <t>Do many evaluations of students project along with the discipline. Use green, yellow or red flags to evaluate the group.</t>
  </si>
  <si>
    <t xml:space="preserve">we cannot make assumption on what they know. So we're trying to work without any assumption.
</t>
  </si>
  <si>
    <t>Do not make assumption about the learning level of the students when you have students with different levels.</t>
  </si>
  <si>
    <t>We show them Kubernetes.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t>
  </si>
  <si>
    <t>Kubernetes can be chosen as DevOps tool.
Use tools like Kubernetes to have more control on support the deployment.
Uses Kubernetes as container deployment tool adopted by the course.</t>
  </si>
  <si>
    <t>Kubernetes can be chosen as DevOps tool.</t>
  </si>
  <si>
    <t>I covered it is a few lectures, like on, on DevOps and, um, which look at DevOps from a kind of generic perspective, like introducing the concept of DevOps and the challenges related to DevOps and, and, and so on. And then introducing them some of the basic tools, like for instance, so using things like continuous integration tools, like Jenkins SIM swollen. And, uh, so I tried to introduce, uh, between maybe spending about a couple of weeks doing that, like the course was about 12 weeks. And so in Zen App there, I focus more on specialized issues. So we spent some time on performance and scalability testing and things like the good testing and so on.</t>
  </si>
  <si>
    <t>Start with a generic perspective of DevOps, basic concepts, and after a few weeks start to focus on specialized issues.</t>
  </si>
  <si>
    <t>what I do is that after introducing a concept and so on, I started really looking at very specific issues ... so in the lab we students learn, uh, in our, to be able to, for instance, to create a pipeline currency, DevOps pipeline, and, and, um, very, uh, set up A B tests, create test cases and do automated test, uh, test automation.</t>
  </si>
  <si>
    <t>Introduce a concept and do labs with creating DevOps pipeline, setup A/B tests, and automated tests.</t>
  </si>
  <si>
    <t>The students have to do in the projects is to start by coming up with the requirements of the obvious application, and then start setting up their own environment and provide some additional functionalities that we want to implement.
 So they have set up their environment.
The second one is to, we give them an application. It's an actually an HVAC humidity, air conditioning and ventilation, um, and they don't develop the application, but they have to build the pipeline to support this existing application.</t>
  </si>
  <si>
    <t>Students start setting up their own DevOps environment and provide additional feature using simple application in the project.
Let students setup their environment for themselves.
Give students an application that they have to build the pipeline to support it.</t>
  </si>
  <si>
    <t>Students setting up their own DevOps environment.</t>
  </si>
  <si>
    <t xml:space="preserve">Also making the project interesting is important because it, you can, it's very easy when you are teaching to just take a very small project, which is not very, uh, challenging in all with students.
</t>
  </si>
  <si>
    <t>The project of the class should not be very small and must be challenging.</t>
  </si>
  <si>
    <t>for exam can be to use an open source application that we can use</t>
  </si>
  <si>
    <t>For exam can be to use an open source application that we can use.</t>
  </si>
  <si>
    <t>we use also SonarQube to help us on the automation</t>
  </si>
  <si>
    <t>Use SonarQube to help on the automation.</t>
  </si>
  <si>
    <t>for performance testing we use JMeter</t>
  </si>
  <si>
    <t>Use JMeter for performance testing.</t>
  </si>
  <si>
    <t>we also security platform like, uh, Zap</t>
  </si>
  <si>
    <t>Use OWASP Zap as security platform.</t>
  </si>
  <si>
    <t>So in terms of the tools, I feel better. I think one of the good aspect in DevOps is that there are a lot of tools [...] DevOps tools are available and where a lot of them are free and some of them are conscious of those. So a lot of them are free. And, and then, so, so far, I think it has been good.</t>
  </si>
  <si>
    <t>There are many free DevOps tools available.</t>
  </si>
  <si>
    <t>Quite often, what we do is have someone in our team to implement the application.</t>
  </si>
  <si>
    <t>Someone from teacher staff implements the sample application.</t>
  </si>
  <si>
    <t>So in the course I split, but so about 80% of presentation is just a regular, uh, concepts and so on and about 20% is about concrete applications.
 And so if we can find a way to be able to, to compress the experience or expertise in the practical experience and expertise in the context of lectures and so on.</t>
  </si>
  <si>
    <t>Divide the course into 80% of concepts and 20% of applications.
Conciliate the experience in labs and the context of lectures.</t>
  </si>
  <si>
    <t>Divide the course into 80% of concepts and 20% of applications.</t>
  </si>
  <si>
    <t>We presented as a lab project [...] So the students start initially by defining the requirements and then after they start a secondary pipeline, and then they do at least a couple of weeks iterations cycle and develop cycle. And then after they go to do performance testing to do a security testing and all those kinds of things, and for each of these deliverables, we submit something, every report. And, and, uh, so that's very easy to map because it's a very practical.</t>
  </si>
  <si>
    <t>We presented as a lab project with five deliverables. The students start by defining the requirements and then after they start a secondary pipeline, and then they do at least a couple of weeks iterations cycle and develop cycle. And then after they go to do performance testing to do a security testing, and for each of these deliverables, we submit something, every report.</t>
  </si>
  <si>
    <t>I had a different assistant for the labs who was the next student. So the first time, and the labs were quite well received.
If you have lab assistants that are, you know, good, it's pretty easy to manage.</t>
  </si>
  <si>
    <t>Qualified teacher assistant is important to setup the labs.
It is good to have teacher assistants with labs.</t>
  </si>
  <si>
    <t>Teacher assistants are helpful with labs.</t>
  </si>
  <si>
    <t>the unicorn [project book] who was just, just published last year is more about the Dev stuff, but it really brings it into the mindset of, of, okay, what are the issues concretely that we face.</t>
  </si>
  <si>
    <t>The Unicorn project book is a novel which covers the Dev side issues of DevOps.</t>
  </si>
  <si>
    <t>The Phoenix project ...  it's written also by essentially Jean Kim ... , it's written as a novel ... you get into the, the life of people that are facing issues that's are essentially DevOps issues ... he Phoenix project is more about the Ops side of things.</t>
  </si>
  <si>
    <t>The Phoenix book by Jean Kim is a novel that covers the Ops side of DevOps.</t>
  </si>
  <si>
    <t>I need very solid, uh, research. It's a sorry, a lab assistance. The people responsible for the labs of course, assistants that that can actually deal with the students. So I'm lucky to have students and have good industrial experience, uh, to do that.</t>
  </si>
  <si>
    <t>The teacher assistants need to be very qualified.</t>
  </si>
  <si>
    <t>So I chose, um, tuleap, which is an open source that was missing in mainly DevOps in France.</t>
  </si>
  <si>
    <t>Use Tuleap for lifecycle management.</t>
  </si>
  <si>
    <t>We try to make it minimal</t>
  </si>
  <si>
    <t>Try to make the environment setup minimal.</t>
  </si>
  <si>
    <t>initially we were relying the, uh, admin, uh, personnel in our department, not admin, sorry, the, the engineering, uh, the, yeah, the, the infrastructure, the people that are responsible for the labs and so on. And now, since all of the students have their laptop, we try to make it as industrial as possible in lightweight as possible. So we don't need any internal support. [...] You just need this use to create their, uh, GitHub accounts. And, uh, you have to register to be able to get some AWS, uh, credits so that you can share with the students, but it's quite, it's quite easy.</t>
  </si>
  <si>
    <t>You do not need to worry about university infrastruture when the students have Github and AWS accounts and you make the environment as industrial as lightweight as possible in all of the students laptops.</t>
  </si>
  <si>
    <t>First define the objectives of your course and making sure you stick to it.
But with respect to the technologies, I think that knowledge is, will change [...] I think like one of the, uh, not too good to give it giving advices or, but I can share my experience and my thoughts. Um, I think that that's important to remember one thing as important as what is the objectives of your course.
" I think if we lay the rooms, uh, maybe it's more clearly and more specifically, I think students, we know better what they will get from what they do. [...]
I think we will have, uh, we will, um, uh, rewrite some of the rules to make sure that, uh, students know how many points they get for what they do, uh, beforehand we should do it because, uh, it will not be perfect because students can choose many different things. "</t>
  </si>
  <si>
    <t>Define clearly the objectives of your course and make sure you stick to it.
Constantly remember the students about the objective of the course.
Make sure the students know the rules of the course. For example how many points they get for what they do.</t>
  </si>
  <si>
    <t>Explain the course objectives to the students.</t>
  </si>
  <si>
    <t>I give them two case studies, uh, so to see if they can analyze a given situation.
Like theoretical exam point of view, we use the case studies. ... you have three hours explain what you do in this situation. ...  we were really grading half of the description and half of the justification.
He grade scale was half description, half justification, and that's helped a lot, but it's always, um, qualitative in this way.</t>
  </si>
  <si>
    <t>Give case studies to see if the students can analyze a given situation in the exams.
We use the case studies in theoretical exam. Students have three hours to explain what they do in this situation. We were really grading half of the description and half of the justification.
It is helpful to use the description and the justification of case studies on qualitative grade scale.</t>
  </si>
  <si>
    <t>Use case studies in the exams.</t>
  </si>
  <si>
    <t>we use one of the topics in DevOps that becomes quite important is value stream mapping. So to be able to capture your process is pretty simple in terms of modeling as a flow of activities, value stream mapping is a technique that has been used for quite a long time and in production.</t>
  </si>
  <si>
    <t>Be able to capture your DevOps process in terms of modeling as a flow of activities using value stream mapping technique.</t>
  </si>
  <si>
    <t>it's not an analysis course, but I tried to bring it back regularly and say, okay, if you want to improve a process, whether you do so, it's one of the, one of the section in the book. And so it's okay. [...] you go from there to identify the, the points that could be improved, right. And then how do you want to improve it, then the techniques that are described in the book?</t>
  </si>
  <si>
    <t>constantly try to figure out how to improve the quality of the course</t>
  </si>
  <si>
    <t>I'm thinking of bringing a couple of, um, industrial speakers as well to share their experience.
We can have people, uh, there, there are, uh, there are everywhere that we can invite and, uh, let the students know what is going on in practice, not just some, uh, theoretical, uh, problem.
The lectures were not, uh, were not presented by the teachers. They were presented by the people who are, who were from the industry and invited to the, uh, to the course to present something for students.
I think the course we've built in France was successful because we've done it with a software architect from IBM or the guy who was building, um, like as part of his industrial practice, he was building huge, uh, systems.
You need to have people interacting with the students that are practitioners and that really, uh, well know their in a way.
So we thought we were doing right, but after having discussed with industrial partners and practitioners, like not just discussed, you know, conference or attending a meetup, like really discussing for hours.
To carefully select the, um, I, I have a lot of industrial, uh, practitioners, guest lectures. Uh, we, we, we had the one prof that wasn't industrial.
The bigger mistake I've made was to, uh, use a coach. Uh, and we invited him and the guy was, uh, setting himself running himself as a DevOps coach, but the guy just had written books and, uh, had no idea what he was talking about.</t>
  </si>
  <si>
    <t>Try to bring industrial speakers to share their experience.
Invite people to show students what's going on in practice, not only in theoretical problems.
The lectures could be presented by people who were from the industry.
It is important to have industrial partnership to share skills to contribute to the course.
You need to have DevOps practitioners interacting with the students.
Discuss the course with industrial partners and practitioners.
You should be careful about selecting guest lectures. Prefer industrial practitioners.
Do not invite a DevOps coach to do DevOps lectures.</t>
  </si>
  <si>
    <t>Select industrial speakers carefully to share their experience with the students.</t>
  </si>
  <si>
    <t>So that, I think it's one of our job to, to, to communicate with the student that it's not about the buzzword, this is something extremely serious.</t>
  </si>
  <si>
    <t>It's important to communicate with students that DevOps is not buzzword, it is extremely serious.</t>
  </si>
  <si>
    <t>Then do, um, do some research about it, write an essay or, uh, or if there is, um, there is a tool available, uh, on GitHub it's, if it's open source, they can contribute to that, uh, to that tool and maybe fix some issues and report it to the teachers.
Many of them did was to engage in the, uh, in the development process of the, uh, of the large projects that other people are working on. And, uh, they could choose a project, I think with more than a hundred stars. ...  And they had to make sure that they pass all the, uh, all the steps and they had to do some contributions, but to there, to those for repositories. And, uh, and they had to also engage in a conversation with other people from other teams, uh, in the process that, uh, they were, uh, making those contributions.
They could contribute to some open source projects that are large projects and they are being used. So it's something that I'm looking for. Something we had some stats, uh, on github.</t>
  </si>
  <si>
    <t>Do some research about DevOps topic, write an essay, and if the tool is open source, contribute to that tool and fix some issues and report it to the teachers.
The students should contribute and engage in the development process of the large projects with more than a hundred stars on Github.
Students could contribute to some open source projects that are large and being used and had more than one hundred stars.</t>
  </si>
  <si>
    <t>Do some research about DevOps topic, write an essay, and if the tool is open source, contribute to that tool and fix some issues and report it to the teachers. The open source project should have more than a hundred stars on Github.</t>
  </si>
  <si>
    <t>So, uh, we didn't have some predefined, uh, projects, and as we can, yes, this was a bigger problem for us.</t>
  </si>
  <si>
    <t>Predefined project is important for the organization of the course.</t>
  </si>
  <si>
    <t>In fact, some of them, we asked them to, um, to, if they wanted to do a tutorial on a tool, we ask them to upload that tutorial on, uh, Katacoda.
So we asked the students, uh, to, uh, use another tool if they want to present something that doesn't work on katacoda. So, uh, the way that we solved it was to change the requirements and to change the, uh, change the environment and the tools that they had to use.
So that's the course automation and executable tutorial was, uh, chatter, katacoda, um, website. They use the katacoda that website to, uh, to write a tutorial on a tool for them DevOps.</t>
  </si>
  <si>
    <t>Use the Katacoda website to students create tutorials about tools.
Change the requirements and the tools to solve the issues in environment setup on Katacoda.
The students write a tutorial about a DevOps tool on katacoda to describe the course automation.</t>
  </si>
  <si>
    <t>Use the Katacoda website to students create tutorials about tools. Change the requirements and the tools to solve the issues on Katacoda.</t>
  </si>
  <si>
    <t xml:space="preserve">And they had to also engage in a conversation with other people from other teams, uh, in the process that, uh, they were, uh, making those contributions.
Other task that we ask them to do something for our own course, and, uh, then, uh, engage in a conversation with TAs and other students to make sure everything's more work well.
</t>
  </si>
  <si>
    <t>Make students engage with people from other teams in the classes.
Engage in a conversation with teacher assistants and other students to make sure everything's more work well.</t>
  </si>
  <si>
    <t>Make students engage with people from other teams in the classes.</t>
  </si>
  <si>
    <t>if it was up to me, I would put some time to laying the background. And I'm talking about basics of DevOps and basics of some tools that are mainly used by everyone.</t>
  </si>
  <si>
    <t>Teacher assistants help students with basics of DevOps concepts and tools.</t>
  </si>
  <si>
    <t>I think the time that we had was actually enough, it was, I think about two months ... Students had, uh, four hours in each week and they had to work on the projects, um, as well.  ...  they had some information, some background about software engineering.</t>
  </si>
  <si>
    <t>Two months with four hours in each week is enough to students with some background about software engineering.</t>
  </si>
  <si>
    <t>So I had to find one that was dying and, uh, hopefully the colleague who was handling his dying course forgot to answer to an email.</t>
  </si>
  <si>
    <t>Look for a dying course to include a DevOps one in the curriculum.</t>
  </si>
  <si>
    <t>So it's constantly discussing and constantly sharing in an open way, uh, what's happening, how it's teach, uh, how it's story telling and how, how things are going.</t>
  </si>
  <si>
    <t>Constantly discuss and share the DevOps teaching in an open way.</t>
  </si>
  <si>
    <t>So this guy was really half time IBM and half time in the faculty of engineering.</t>
  </si>
  <si>
    <t>Teachers could be half time industrial and half time faculty.</t>
  </si>
  <si>
    <t>we use the bluemix, uh, platform from, uh, IBM, that was really, everything was integrated and those kinds of things that was really good in a way,</t>
  </si>
  <si>
    <t>DevOps tools are well integrated in Bluemix platform from IBM.</t>
  </si>
  <si>
    <t>And it was selected by 80% of the cohort, which usually an elective course is like 20%. So is it like we had a lot of students inside these insights because they all wanted to learn about devops.</t>
  </si>
  <si>
    <t>DevOps course as elective course have students that wanted to learn about DevOps.</t>
  </si>
  <si>
    <t>what we've done was first to, um, continuously evaluate the teams are they were working on the project.</t>
  </si>
  <si>
    <t>Make a continuous evaluation of the projects of the students.</t>
  </si>
</sst>
</file>

<file path=xl/styles.xml><?xml version="1.0" encoding="utf-8"?>
<styleSheet xmlns="http://schemas.openxmlformats.org/spreadsheetml/2006/main" xmlns:x14ac="http://schemas.microsoft.com/office/spreadsheetml/2009/9/ac" xmlns:mc="http://schemas.openxmlformats.org/markup-compatibility/2006">
  <fonts count="20">
    <font>
      <sz val="10.0"/>
      <color rgb="FF000000"/>
      <name val="Arial"/>
    </font>
    <font>
      <b/>
      <sz val="14.0"/>
      <color theme="1"/>
      <name val="Arial"/>
    </font>
    <font>
      <b/>
      <sz val="14.0"/>
    </font>
    <font>
      <b/>
      <sz val="14.0"/>
      <name val="Arial"/>
    </font>
    <font>
      <sz val="14.0"/>
      <color theme="1"/>
      <name val="Arial"/>
    </font>
    <font>
      <sz val="14.0"/>
    </font>
    <font>
      <sz val="14.0"/>
      <color rgb="FF000000"/>
      <name val="&quot;Arial&quot;"/>
    </font>
    <font>
      <b/>
      <sz val="14.0"/>
      <color rgb="FFFF0000"/>
      <name val="Arial"/>
    </font>
    <font>
      <sz val="14.0"/>
      <name val="Arial"/>
    </font>
    <font>
      <sz val="14.0"/>
      <color rgb="FF000000"/>
      <name val="Arial"/>
    </font>
    <font>
      <color theme="1"/>
      <name val="Arial"/>
    </font>
    <font>
      <sz val="12.0"/>
      <color theme="1"/>
      <name val="Arial"/>
    </font>
    <font>
      <b/>
      <sz val="14.0"/>
      <color rgb="FF000000"/>
      <name val="Arial"/>
    </font>
    <font>
      <b/>
      <sz val="24.0"/>
      <color theme="1"/>
      <name val="Arial"/>
    </font>
    <font>
      <b/>
      <sz val="12.0"/>
      <color theme="1"/>
      <name val="Arial"/>
    </font>
    <font>
      <b/>
      <sz val="18.0"/>
      <color theme="1"/>
      <name val="Arial"/>
    </font>
    <font>
      <b/>
      <color theme="1"/>
      <name val="Arial"/>
    </font>
    <font>
      <b/>
      <sz val="14.0"/>
      <color rgb="FF000000"/>
      <name val="&quot;Arial&quot;"/>
    </font>
    <font>
      <sz val="14.0"/>
      <color theme="1"/>
      <name val="Roboto"/>
    </font>
    <font>
      <sz val="11.0"/>
      <color theme="1"/>
      <name val="Arial"/>
    </font>
  </fonts>
  <fills count="8">
    <fill>
      <patternFill patternType="none"/>
    </fill>
    <fill>
      <patternFill patternType="lightGray"/>
    </fill>
    <fill>
      <patternFill patternType="solid">
        <fgColor rgb="FFD9D9D9"/>
        <bgColor rgb="FFD9D9D9"/>
      </patternFill>
    </fill>
    <fill>
      <patternFill patternType="solid">
        <fgColor rgb="FFFFF2CC"/>
        <bgColor rgb="FFFFF2CC"/>
      </patternFill>
    </fill>
    <fill>
      <patternFill patternType="solid">
        <fgColor rgb="FFFFE599"/>
        <bgColor rgb="FFFFE599"/>
      </patternFill>
    </fill>
    <fill>
      <patternFill patternType="solid">
        <fgColor rgb="FF00FF00"/>
        <bgColor rgb="FF00FF00"/>
      </patternFill>
    </fill>
    <fill>
      <patternFill patternType="solid">
        <fgColor rgb="FFFFFFFF"/>
        <bgColor rgb="FFFFFFFF"/>
      </patternFill>
    </fill>
    <fill>
      <patternFill patternType="solid">
        <fgColor rgb="FFCCCCCC"/>
        <bgColor rgb="FFCCCCCC"/>
      </patternFill>
    </fill>
  </fills>
  <borders count="1">
    <border/>
  </borders>
  <cellStyleXfs count="1">
    <xf borderId="0" fillId="0" fontId="0" numFmtId="0" applyAlignment="1" applyFont="1"/>
  </cellStyleXfs>
  <cellXfs count="95">
    <xf borderId="0" fillId="0" fontId="0" numFmtId="0" xfId="0" applyAlignment="1" applyFont="1">
      <alignment readingOrder="0" shrinkToFit="0" vertical="bottom" wrapText="0"/>
    </xf>
    <xf borderId="0" fillId="2" fontId="1" numFmtId="0" xfId="0" applyAlignment="1" applyFill="1" applyFont="1">
      <alignment horizontal="center" readingOrder="0" shrinkToFit="0" vertical="center" wrapText="1"/>
    </xf>
    <xf borderId="0" fillId="2" fontId="1" numFmtId="0" xfId="0" applyAlignment="1" applyFont="1">
      <alignment horizontal="center" shrinkToFit="0" wrapText="1"/>
    </xf>
    <xf borderId="0" fillId="2" fontId="2" numFmtId="0" xfId="0" applyAlignment="1" applyFont="1">
      <alignment horizontal="center" readingOrder="0" shrinkToFit="0" vertical="center" wrapText="1"/>
    </xf>
    <xf borderId="0" fillId="2" fontId="3" numFmtId="0" xfId="0" applyAlignment="1" applyFont="1">
      <alignment horizontal="center" readingOrder="0" shrinkToFit="0" wrapText="1"/>
    </xf>
    <xf borderId="0" fillId="3" fontId="2" numFmtId="0" xfId="0" applyAlignment="1" applyFill="1" applyFont="1">
      <alignment horizontal="center" readingOrder="0" shrinkToFit="0" vertical="center" wrapText="1"/>
    </xf>
    <xf borderId="0" fillId="3" fontId="1" numFmtId="0" xfId="0" applyAlignment="1" applyFont="1">
      <alignment horizontal="center" readingOrder="0" shrinkToFit="0" vertical="center" wrapText="1"/>
    </xf>
    <xf borderId="0" fillId="0" fontId="4" numFmtId="0" xfId="0" applyAlignment="1" applyFont="1">
      <alignment horizontal="center" shrinkToFit="0" vertical="center" wrapText="1"/>
    </xf>
    <xf borderId="0" fillId="0" fontId="4" numFmtId="0" xfId="0" applyAlignment="1" applyFont="1">
      <alignment horizontal="center" readingOrder="0" shrinkToFit="0" vertical="center" wrapText="1"/>
    </xf>
    <xf borderId="0" fillId="3" fontId="4" numFmtId="0" xfId="0" applyAlignment="1" applyFont="1">
      <alignment horizontal="center" readingOrder="0" shrinkToFit="0" vertical="center" wrapText="1"/>
    </xf>
    <xf borderId="0" fillId="3" fontId="5" numFmtId="0" xfId="0" applyAlignment="1" applyFont="1">
      <alignment horizontal="center" readingOrder="0" shrinkToFit="0" vertical="center" wrapText="1"/>
    </xf>
    <xf borderId="0" fillId="3" fontId="6" numFmtId="0" xfId="0" applyAlignment="1" applyFont="1">
      <alignment horizontal="center" readingOrder="0" shrinkToFit="0" vertical="center" wrapText="1"/>
    </xf>
    <xf borderId="0" fillId="3" fontId="7" numFmtId="0" xfId="0" applyAlignment="1" applyFont="1">
      <alignment horizontal="center" readingOrder="0" shrinkToFit="0" vertical="center" wrapText="1"/>
    </xf>
    <xf borderId="0" fillId="0" fontId="4" numFmtId="0" xfId="0" applyAlignment="1" applyFont="1">
      <alignment horizontal="center" shrinkToFit="0" wrapText="1"/>
    </xf>
    <xf borderId="0" fillId="0" fontId="4" numFmtId="0" xfId="0" applyAlignment="1" applyFont="1">
      <alignment horizontal="center" readingOrder="0" shrinkToFit="0" wrapText="1"/>
    </xf>
    <xf borderId="0" fillId="0" fontId="4" numFmtId="49" xfId="0" applyAlignment="1" applyFont="1" applyNumberFormat="1">
      <alignment horizontal="center" shrinkToFit="0" vertical="center" wrapText="1"/>
    </xf>
    <xf borderId="0" fillId="0" fontId="4" numFmtId="0" xfId="0" applyAlignment="1" applyFont="1">
      <alignment horizontal="center" shrinkToFit="0" vertical="bottom" wrapText="1"/>
    </xf>
    <xf borderId="0" fillId="0" fontId="8" numFmtId="49" xfId="0" applyAlignment="1" applyFont="1" applyNumberFormat="1">
      <alignment horizontal="center" shrinkToFit="0" vertical="center" wrapText="1"/>
    </xf>
    <xf borderId="0" fillId="2" fontId="3" numFmtId="0" xfId="0" applyAlignment="1" applyFont="1">
      <alignment horizontal="center" readingOrder="0" shrinkToFit="0" vertical="center" wrapText="1"/>
    </xf>
    <xf borderId="0" fillId="3" fontId="9" numFmtId="0" xfId="0" applyAlignment="1" applyFont="1">
      <alignment horizontal="center" readingOrder="0" shrinkToFit="0" vertical="center" wrapText="1"/>
    </xf>
    <xf borderId="0" fillId="0" fontId="4" numFmtId="0" xfId="0" applyAlignment="1" applyFont="1">
      <alignment horizontal="center" readingOrder="0" shrinkToFit="0" vertical="bottom" wrapText="1"/>
    </xf>
    <xf borderId="0" fillId="3" fontId="10" numFmtId="0" xfId="0" applyFont="1"/>
    <xf borderId="0" fillId="0" fontId="8" numFmtId="0" xfId="0" applyAlignment="1" applyFont="1">
      <alignment horizontal="center" readingOrder="0" shrinkToFit="0" vertical="bottom" wrapText="1"/>
    </xf>
    <xf borderId="0" fillId="0" fontId="4" numFmtId="49" xfId="0" applyAlignment="1" applyFont="1" applyNumberFormat="1">
      <alignment horizontal="center" readingOrder="0" shrinkToFit="0" vertical="bottom" wrapText="1"/>
    </xf>
    <xf borderId="0" fillId="0" fontId="11" numFmtId="49" xfId="0" applyAlignment="1" applyFont="1" applyNumberFormat="1">
      <alignment horizontal="center" readingOrder="0" shrinkToFit="0" vertical="center" wrapText="1"/>
    </xf>
    <xf borderId="0" fillId="3" fontId="8" numFmtId="0" xfId="0" applyAlignment="1" applyFont="1">
      <alignment horizontal="center" readingOrder="0" shrinkToFit="0" vertical="center" wrapText="1"/>
    </xf>
    <xf borderId="0" fillId="0" fontId="9" numFmtId="0" xfId="0" applyAlignment="1" applyFont="1">
      <alignment horizontal="center" readingOrder="0" shrinkToFit="0" vertical="center" wrapText="1"/>
    </xf>
    <xf borderId="0" fillId="0" fontId="4" numFmtId="49" xfId="0" applyAlignment="1" applyFont="1" applyNumberFormat="1">
      <alignment horizontal="center" shrinkToFit="0" wrapText="1"/>
    </xf>
    <xf borderId="0" fillId="2" fontId="1" numFmtId="0" xfId="0" applyAlignment="1" applyFont="1">
      <alignment horizontal="center" shrinkToFit="0" vertical="center" wrapText="1"/>
    </xf>
    <xf borderId="0" fillId="4" fontId="1" numFmtId="0" xfId="0" applyAlignment="1" applyFill="1" applyFont="1">
      <alignment horizontal="center" shrinkToFit="0" vertical="center" wrapText="1"/>
    </xf>
    <xf borderId="0" fillId="4" fontId="4" numFmtId="0" xfId="0" applyAlignment="1" applyFont="1">
      <alignment horizontal="center" readingOrder="0" shrinkToFit="0" vertical="center" wrapText="1"/>
    </xf>
    <xf borderId="0" fillId="4" fontId="4" numFmtId="0" xfId="0" applyAlignment="1" applyFont="1">
      <alignment horizontal="center" shrinkToFit="0" vertical="center" wrapText="1"/>
    </xf>
    <xf borderId="0" fillId="3" fontId="12" numFmtId="0" xfId="0" applyAlignment="1" applyFont="1">
      <alignment horizontal="center" readingOrder="0" shrinkToFit="0" vertical="center" wrapText="1"/>
    </xf>
    <xf borderId="0" fillId="4" fontId="8" numFmtId="0" xfId="0" applyAlignment="1" applyFont="1">
      <alignment horizontal="center" readingOrder="0" shrinkToFit="0" vertical="center" wrapText="1"/>
    </xf>
    <xf borderId="0" fillId="3" fontId="4" numFmtId="0" xfId="0" applyAlignment="1" applyFont="1">
      <alignment horizontal="left" readingOrder="0" shrinkToFit="0" vertical="center" wrapText="1"/>
    </xf>
    <xf borderId="0" fillId="3" fontId="8" numFmtId="0" xfId="0" applyAlignment="1" applyFont="1">
      <alignment horizontal="left" readingOrder="0" shrinkToFit="0" vertical="center" wrapText="1"/>
    </xf>
    <xf borderId="0" fillId="0" fontId="4" numFmtId="49" xfId="0" applyAlignment="1" applyFont="1" applyNumberFormat="1">
      <alignment horizontal="center" readingOrder="0" shrinkToFit="0" vertical="center" wrapText="1"/>
    </xf>
    <xf borderId="0" fillId="0" fontId="11" numFmtId="0" xfId="0" applyAlignment="1" applyFont="1">
      <alignment horizontal="center" shrinkToFit="0" wrapText="1"/>
    </xf>
    <xf borderId="0" fillId="0" fontId="11" numFmtId="0" xfId="0" applyAlignment="1" applyFont="1">
      <alignment horizontal="center" readingOrder="0" shrinkToFit="0" wrapText="1"/>
    </xf>
    <xf borderId="0" fillId="0" fontId="8" numFmtId="0" xfId="0" applyAlignment="1" applyFont="1">
      <alignment horizontal="center" readingOrder="0" shrinkToFit="0" vertical="center" wrapText="1"/>
    </xf>
    <xf borderId="0" fillId="0" fontId="10" numFmtId="49" xfId="0" applyAlignment="1" applyFont="1" applyNumberFormat="1">
      <alignment vertical="center"/>
    </xf>
    <xf borderId="0" fillId="4" fontId="3" numFmtId="0" xfId="0" applyAlignment="1" applyFont="1">
      <alignment horizontal="center" shrinkToFit="0" vertical="center" wrapText="1"/>
    </xf>
    <xf borderId="0" fillId="5" fontId="13" numFmtId="0" xfId="0" applyAlignment="1" applyFill="1" applyFont="1">
      <alignment horizontal="center" readingOrder="0" shrinkToFit="0" vertical="center" wrapText="1"/>
    </xf>
    <xf borderId="0" fillId="4" fontId="8" numFmtId="0" xfId="0" applyAlignment="1" applyFont="1">
      <alignment horizontal="center" readingOrder="0" shrinkToFit="0" vertical="center" wrapText="1"/>
    </xf>
    <xf borderId="0" fillId="0" fontId="11" numFmtId="0" xfId="0" applyAlignment="1" applyFont="1">
      <alignment horizontal="center" readingOrder="0" shrinkToFit="0" vertical="center" wrapText="1"/>
    </xf>
    <xf borderId="0" fillId="3" fontId="11" numFmtId="0" xfId="0" applyAlignment="1" applyFont="1">
      <alignment readingOrder="0" shrinkToFit="0" vertical="center" wrapText="1"/>
    </xf>
    <xf borderId="0" fillId="0" fontId="11" numFmtId="0" xfId="0" applyAlignment="1" applyFont="1">
      <alignment horizontal="center" shrinkToFit="0" vertical="bottom" wrapText="1"/>
    </xf>
    <xf borderId="0" fillId="0" fontId="11" numFmtId="0" xfId="0" applyAlignment="1" applyFont="1">
      <alignment horizontal="center" readingOrder="0" shrinkToFit="0" vertical="bottom" wrapText="1"/>
    </xf>
    <xf borderId="0" fillId="0" fontId="11" numFmtId="49" xfId="0" applyAlignment="1" applyFont="1" applyNumberFormat="1">
      <alignment horizontal="center" shrinkToFit="0" vertical="bottom" wrapText="1"/>
    </xf>
    <xf borderId="0" fillId="0" fontId="11" numFmtId="49" xfId="0" applyAlignment="1" applyFont="1" applyNumberFormat="1">
      <alignment horizontal="center" readingOrder="0" shrinkToFit="0" vertical="bottom" wrapText="1"/>
    </xf>
    <xf borderId="0" fillId="0" fontId="11" numFmtId="49" xfId="0" applyAlignment="1" applyFont="1" applyNumberFormat="1">
      <alignment readingOrder="0" shrinkToFit="0" vertical="bottom" wrapText="1"/>
    </xf>
    <xf borderId="0" fillId="6" fontId="11" numFmtId="49" xfId="0" applyAlignment="1" applyFill="1" applyFont="1" applyNumberFormat="1">
      <alignment horizontal="center" vertical="bottom"/>
    </xf>
    <xf borderId="0" fillId="0" fontId="11" numFmtId="49" xfId="0" applyAlignment="1" applyFont="1" applyNumberFormat="1">
      <alignment shrinkToFit="0" vertical="bottom" wrapText="1"/>
    </xf>
    <xf borderId="0" fillId="3" fontId="4" numFmtId="0" xfId="0" applyAlignment="1" applyFont="1">
      <alignment horizontal="center" vertical="center"/>
    </xf>
    <xf borderId="0" fillId="3" fontId="4" numFmtId="0" xfId="0" applyAlignment="1" applyFont="1">
      <alignment horizontal="center" readingOrder="0" vertical="center"/>
    </xf>
    <xf borderId="0" fillId="0" fontId="10" numFmtId="49" xfId="0" applyFont="1" applyNumberFormat="1"/>
    <xf borderId="0" fillId="0" fontId="14" numFmtId="49" xfId="0" applyAlignment="1" applyFont="1" applyNumberFormat="1">
      <alignment horizontal="center" shrinkToFit="0" vertical="bottom" wrapText="1"/>
    </xf>
    <xf borderId="0" fillId="4" fontId="1" numFmtId="0" xfId="0" applyAlignment="1" applyFont="1">
      <alignment horizontal="center" readingOrder="0" shrinkToFit="0" vertical="center" wrapText="1"/>
    </xf>
    <xf borderId="0" fillId="4" fontId="9" numFmtId="0" xfId="0" applyAlignment="1" applyFont="1">
      <alignment horizontal="center" readingOrder="0" shrinkToFit="0" vertical="center" wrapText="1"/>
    </xf>
    <xf borderId="0" fillId="4" fontId="9" numFmtId="0" xfId="0" applyAlignment="1" applyFont="1">
      <alignment horizontal="center" shrinkToFit="0" vertical="center" wrapText="1"/>
    </xf>
    <xf borderId="0" fillId="4" fontId="8" numFmtId="0" xfId="0" applyAlignment="1" applyFont="1">
      <alignment horizontal="center" shrinkToFit="0" vertical="center" wrapText="1"/>
    </xf>
    <xf borderId="0" fillId="0" fontId="11" numFmtId="0" xfId="0" applyAlignment="1" applyFont="1">
      <alignment horizontal="center" shrinkToFit="0" vertical="center" wrapText="1"/>
    </xf>
    <xf borderId="0" fillId="3" fontId="3" numFmtId="0" xfId="0" applyAlignment="1" applyFont="1">
      <alignment horizontal="center" readingOrder="0" shrinkToFit="0" vertical="center" wrapText="1"/>
    </xf>
    <xf borderId="0" fillId="3" fontId="4" numFmtId="0" xfId="0" applyAlignment="1" applyFont="1">
      <alignment horizontal="center" shrinkToFit="0" vertical="center" wrapText="1"/>
    </xf>
    <xf borderId="0" fillId="3" fontId="8" numFmtId="0" xfId="0" applyAlignment="1" applyFont="1">
      <alignment horizontal="center" readingOrder="0" shrinkToFit="0" vertical="center" wrapText="1"/>
    </xf>
    <xf borderId="0" fillId="0" fontId="11" numFmtId="49" xfId="0" applyAlignment="1" applyFont="1" applyNumberFormat="1">
      <alignment horizontal="center" shrinkToFit="0" vertical="center" wrapText="1"/>
    </xf>
    <xf borderId="0" fillId="0" fontId="11" numFmtId="49" xfId="0" applyAlignment="1" applyFont="1" applyNumberFormat="1">
      <alignment readingOrder="0" shrinkToFit="0" vertical="center" wrapText="1"/>
    </xf>
    <xf borderId="0" fillId="6" fontId="11" numFmtId="49" xfId="0" applyAlignment="1" applyFont="1" applyNumberFormat="1">
      <alignment horizontal="center" shrinkToFit="0" vertical="center" wrapText="1"/>
    </xf>
    <xf borderId="0" fillId="5" fontId="15" numFmtId="0" xfId="0" applyAlignment="1" applyFont="1">
      <alignment horizontal="center" readingOrder="0" shrinkToFit="0" vertical="center" wrapText="1"/>
    </xf>
    <xf borderId="0" fillId="0" fontId="11" numFmtId="49" xfId="0" applyAlignment="1" applyFont="1" applyNumberFormat="1">
      <alignment shrinkToFit="0" vertical="center" wrapText="1"/>
    </xf>
    <xf borderId="0" fillId="7" fontId="14" numFmtId="0" xfId="0" applyAlignment="1" applyFill="1" applyFont="1">
      <alignment readingOrder="0" shrinkToFit="0" wrapText="1"/>
    </xf>
    <xf borderId="0" fillId="7" fontId="14" numFmtId="0" xfId="0" applyAlignment="1" applyFont="1">
      <alignment horizontal="right" readingOrder="0" shrinkToFit="0" wrapText="1"/>
    </xf>
    <xf borderId="0" fillId="0" fontId="6" numFmtId="0" xfId="0" applyAlignment="1" applyFont="1">
      <alignment readingOrder="0"/>
    </xf>
    <xf borderId="0" fillId="0" fontId="16" numFmtId="0" xfId="0" applyAlignment="1" applyFont="1">
      <alignment readingOrder="0"/>
    </xf>
    <xf borderId="0" fillId="0" fontId="16" numFmtId="9" xfId="0" applyAlignment="1" applyFont="1" applyNumberFormat="1">
      <alignment readingOrder="0"/>
    </xf>
    <xf borderId="0" fillId="0" fontId="17" numFmtId="0" xfId="0" applyAlignment="1" applyFont="1">
      <alignment readingOrder="0"/>
    </xf>
    <xf borderId="0" fillId="0" fontId="16" numFmtId="0" xfId="0" applyAlignment="1" applyFont="1">
      <alignment readingOrder="0" shrinkToFit="0" wrapText="1"/>
    </xf>
    <xf borderId="0" fillId="0" fontId="10" numFmtId="0" xfId="0" applyAlignment="1" applyFont="1">
      <alignment readingOrder="0" shrinkToFit="0" wrapText="1"/>
    </xf>
    <xf borderId="0" fillId="0" fontId="10" numFmtId="0" xfId="0" applyAlignment="1" applyFont="1">
      <alignment shrinkToFit="0" wrapText="1"/>
    </xf>
    <xf borderId="0" fillId="0" fontId="10" numFmtId="9" xfId="0" applyAlignment="1" applyFont="1" applyNumberFormat="1">
      <alignment shrinkToFit="0" wrapText="1"/>
    </xf>
    <xf borderId="0" fillId="0" fontId="10" numFmtId="9" xfId="0" applyFont="1" applyNumberFormat="1"/>
    <xf borderId="0" fillId="0" fontId="10" numFmtId="9" xfId="0" applyAlignment="1" applyFont="1" applyNumberFormat="1">
      <alignment readingOrder="0" shrinkToFit="0" wrapText="1"/>
    </xf>
    <xf borderId="0" fillId="0" fontId="16" numFmtId="9" xfId="0" applyAlignment="1" applyFont="1" applyNumberFormat="1">
      <alignment readingOrder="0" shrinkToFit="0" wrapText="1"/>
    </xf>
    <xf borderId="0" fillId="2" fontId="14" numFmtId="0" xfId="0" applyAlignment="1" applyFont="1">
      <alignment horizontal="center" shrinkToFit="0" wrapText="1"/>
    </xf>
    <xf borderId="0" fillId="2" fontId="3" numFmtId="0" xfId="0" applyAlignment="1" applyFont="1">
      <alignment horizontal="center" shrinkToFit="0" wrapText="1"/>
    </xf>
    <xf borderId="0" fillId="0" fontId="18" numFmtId="0" xfId="0" applyAlignment="1" applyFont="1">
      <alignment horizontal="center" shrinkToFit="0" wrapText="1"/>
    </xf>
    <xf borderId="0" fillId="0" fontId="10" numFmtId="0" xfId="0" applyFont="1"/>
    <xf borderId="0" fillId="0" fontId="11" numFmtId="0" xfId="0" applyAlignment="1" applyFont="1">
      <alignment shrinkToFit="0" wrapText="1"/>
    </xf>
    <xf borderId="0" fillId="0" fontId="11" numFmtId="49" xfId="0" applyAlignment="1" applyFont="1" applyNumberFormat="1">
      <alignment horizontal="center" shrinkToFit="0" wrapText="1"/>
    </xf>
    <xf borderId="0" fillId="6" fontId="19" numFmtId="0" xfId="0" applyAlignment="1" applyFont="1">
      <alignment horizontal="center" shrinkToFit="0" wrapText="1"/>
    </xf>
    <xf borderId="0" fillId="6" fontId="19" numFmtId="49" xfId="0" applyAlignment="1" applyFont="1" applyNumberFormat="1">
      <alignment horizontal="center" shrinkToFit="0" wrapText="1"/>
    </xf>
    <xf borderId="0" fillId="6" fontId="19" numFmtId="0" xfId="0" applyAlignment="1" applyFont="1">
      <alignment shrinkToFit="0" wrapText="1"/>
    </xf>
    <xf borderId="0" fillId="6" fontId="19" numFmtId="49" xfId="0" applyAlignment="1" applyFont="1" applyNumberFormat="1">
      <alignment shrinkToFit="0" wrapText="1"/>
    </xf>
    <xf borderId="0" fillId="0" fontId="11" numFmtId="49" xfId="0" applyAlignment="1" applyFont="1" applyNumberFormat="1">
      <alignment shrinkToFit="0" wrapText="1"/>
    </xf>
    <xf borderId="0" fillId="6" fontId="11" numFmtId="49" xfId="0" applyAlignment="1" applyFont="1" applyNumberForma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5" Type="http://schemas.openxmlformats.org/officeDocument/2006/relationships/worksheet" Target="worksheets/sheet12.xml"/><Relationship Id="rId14" Type="http://schemas.openxmlformats.org/officeDocument/2006/relationships/worksheet" Target="worksheets/sheet11.xml"/><Relationship Id="rId16" Type="http://schemas.openxmlformats.org/officeDocument/2006/relationships/worksheet" Target="worksheets/sheet13.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1" sz="2400">
                <a:solidFill>
                  <a:srgbClr val="000000"/>
                </a:solidFill>
                <a:latin typeface="+mn-lt"/>
              </a:defRPr>
            </a:pPr>
            <a:r>
              <a:rPr b="1" sz="2400">
                <a:solidFill>
                  <a:srgbClr val="000000"/>
                </a:solidFill>
                <a:latin typeface="+mn-lt"/>
              </a:rPr>
              <a:t>Challenges by Themes</a:t>
            </a:r>
          </a:p>
        </c:rich>
      </c:tx>
      <c:overlay val="0"/>
    </c:title>
    <c:plotArea>
      <c:layout/>
      <c:pieChart>
        <c:varyColors val="1"/>
        <c:ser>
          <c:idx val="0"/>
          <c:order val="0"/>
          <c:tx>
            <c:strRef>
              <c:f>'Theme Analysis'!$B$1</c:f>
            </c:strRef>
          </c:tx>
          <c:dPt>
            <c:idx val="0"/>
            <c:spPr>
              <a:solidFill>
                <a:srgbClr val="4285F4"/>
              </a:solidFill>
            </c:spPr>
          </c:dPt>
          <c:dPt>
            <c:idx val="1"/>
            <c:spPr>
              <a:solidFill>
                <a:srgbClr val="EA4335"/>
              </a:solidFill>
            </c:spPr>
          </c:dPt>
          <c:dPt>
            <c:idx val="2"/>
            <c:spPr>
              <a:solidFill>
                <a:srgbClr val="FBBC04"/>
              </a:solidFill>
            </c:spPr>
          </c:dPt>
          <c:dPt>
            <c:idx val="3"/>
            <c:spPr>
              <a:solidFill>
                <a:srgbClr val="34A853"/>
              </a:solidFill>
            </c:spPr>
          </c:dPt>
          <c:dPt>
            <c:idx val="4"/>
            <c:spPr>
              <a:solidFill>
                <a:srgbClr val="FF6D01"/>
              </a:solidFill>
            </c:spPr>
          </c:dPt>
          <c:dPt>
            <c:idx val="5"/>
            <c:spPr>
              <a:solidFill>
                <a:srgbClr val="46BDC6"/>
              </a:solidFill>
            </c:spPr>
          </c:dPt>
          <c:dPt>
            <c:idx val="6"/>
            <c:spPr>
              <a:solidFill>
                <a:srgbClr val="7BAAF7"/>
              </a:solidFill>
            </c:spPr>
          </c:dPt>
          <c:dLbls>
            <c:dLbl>
              <c:idx val="0"/>
              <c:txPr>
                <a:bodyPr/>
                <a:lstStyle/>
                <a:p>
                  <a:pPr lvl="0">
                    <a:defRPr b="1" sz="3000"/>
                  </a:pPr>
                </a:p>
              </c:txPr>
              <c:showLegendKey val="0"/>
              <c:showVal val="1"/>
              <c:showCatName val="0"/>
              <c:showSerName val="0"/>
              <c:showPercent val="0"/>
              <c:showBubbleSize val="0"/>
            </c:dLbl>
            <c:dLbl>
              <c:idx val="1"/>
              <c:txPr>
                <a:bodyPr/>
                <a:lstStyle/>
                <a:p>
                  <a:pPr lvl="0">
                    <a:defRPr b="1" sz="3600"/>
                  </a:pPr>
                </a:p>
              </c:txPr>
              <c:showLegendKey val="0"/>
              <c:showVal val="1"/>
              <c:showCatName val="0"/>
              <c:showSerName val="0"/>
              <c:showPercent val="0"/>
              <c:showBubbleSize val="0"/>
            </c:dLbl>
            <c:dLbl>
              <c:idx val="2"/>
              <c:txPr>
                <a:bodyPr/>
                <a:lstStyle/>
                <a:p>
                  <a:pPr lvl="0">
                    <a:defRPr b="1" sz="3000"/>
                  </a:pPr>
                </a:p>
              </c:txPr>
              <c:showLegendKey val="0"/>
              <c:showVal val="1"/>
              <c:showCatName val="0"/>
              <c:showSerName val="0"/>
              <c:showPercent val="0"/>
              <c:showBubbleSize val="0"/>
            </c:dLbl>
            <c:dLbl>
              <c:idx val="3"/>
              <c:txPr>
                <a:bodyPr/>
                <a:lstStyle/>
                <a:p>
                  <a:pPr lvl="0">
                    <a:defRPr sz="2000"/>
                  </a:pPr>
                </a:p>
              </c:txPr>
              <c:showLegendKey val="0"/>
              <c:showVal val="1"/>
              <c:showCatName val="0"/>
              <c:showSerName val="0"/>
              <c:showPercent val="0"/>
              <c:showBubbleSize val="0"/>
            </c:dLbl>
            <c:dLbl>
              <c:idx val="4"/>
              <c:txPr>
                <a:bodyPr/>
                <a:lstStyle/>
                <a:p>
                  <a:pPr lvl="0">
                    <a:defRPr b="0" sz="2400"/>
                  </a:pPr>
                </a:p>
              </c:txPr>
              <c:showLegendKey val="0"/>
              <c:showVal val="1"/>
              <c:showCatName val="0"/>
              <c:showSerName val="0"/>
              <c:showPercent val="0"/>
              <c:showBubbleSize val="0"/>
            </c:dLbl>
            <c:dLbl>
              <c:idx val="5"/>
              <c:txPr>
                <a:bodyPr/>
                <a:lstStyle/>
                <a:p>
                  <a:pPr lvl="0">
                    <a:defRPr sz="2000"/>
                  </a:pPr>
                </a:p>
              </c:txPr>
              <c:showLegendKey val="0"/>
              <c:showVal val="1"/>
              <c:showCatName val="0"/>
              <c:showSerName val="0"/>
              <c:showPercent val="0"/>
              <c:showBubbleSize val="0"/>
            </c:dLbl>
            <c:dLbl>
              <c:idx val="6"/>
              <c:txPr>
                <a:bodyPr/>
                <a:lstStyle/>
                <a:p>
                  <a:pPr lvl="0">
                    <a:defRPr sz="2000"/>
                  </a:pPr>
                </a:p>
              </c:txPr>
              <c:showLegendKey val="0"/>
              <c:showVal val="1"/>
              <c:showCatName val="0"/>
              <c:showSerName val="0"/>
              <c:showPercent val="0"/>
              <c:showBubbleSize val="0"/>
            </c:dLbl>
            <c:showLegendKey val="0"/>
            <c:showVal val="1"/>
            <c:showCatName val="0"/>
            <c:showSerName val="0"/>
            <c:showPercent val="0"/>
            <c:showBubbleSize val="0"/>
            <c:showLeaderLines val="1"/>
          </c:dLbls>
          <c:cat>
            <c:strRef>
              <c:f>'Theme Analysis'!$A$2:$A$8</c:f>
            </c:strRef>
          </c:cat>
          <c:val>
            <c:numRef>
              <c:f>'Theme Analysis'!$B$2:$B$8</c:f>
              <c:numCache/>
            </c:numRef>
          </c:val>
        </c:ser>
        <c:dLbls>
          <c:showLegendKey val="0"/>
          <c:showVal val="0"/>
          <c:showCatName val="0"/>
          <c:showSerName val="0"/>
          <c:showPercent val="0"/>
          <c:showBubbleSize val="0"/>
        </c:dLbls>
        <c:firstSliceAng val="0"/>
      </c:pieChart>
    </c:plotArea>
    <c:legend>
      <c:legendPos val="r"/>
      <c:overlay val="0"/>
      <c:txPr>
        <a:bodyPr/>
        <a:lstStyle/>
        <a:p>
          <a:pPr lvl="0">
            <a:defRPr b="1" sz="1600">
              <a:solidFill>
                <a:srgbClr val="1A1A1A"/>
              </a:solidFill>
              <a:latin typeface="+mn-lt"/>
            </a:defRPr>
          </a:pPr>
        </a:p>
      </c:txPr>
    </c:legend>
    <c:plotVisOnly val="1"/>
  </c:chart>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1" sz="2400">
                <a:solidFill>
                  <a:srgbClr val="000000"/>
                </a:solidFill>
                <a:latin typeface="+mn-lt"/>
              </a:defRPr>
            </a:pPr>
            <a:r>
              <a:rPr b="1" sz="2400">
                <a:solidFill>
                  <a:srgbClr val="000000"/>
                </a:solidFill>
                <a:latin typeface="+mn-lt"/>
              </a:rPr>
              <a:t>Recommendations by Themes</a:t>
            </a:r>
          </a:p>
        </c:rich>
      </c:tx>
      <c:overlay val="0"/>
    </c:title>
    <c:plotArea>
      <c:layout/>
      <c:pieChart>
        <c:varyColors val="1"/>
        <c:ser>
          <c:idx val="0"/>
          <c:order val="0"/>
          <c:tx>
            <c:strRef>
              <c:f>'Theme Analysis'!$D$1</c:f>
            </c:strRef>
          </c:tx>
          <c:dPt>
            <c:idx val="0"/>
            <c:spPr>
              <a:solidFill>
                <a:srgbClr val="4285F4"/>
              </a:solidFill>
            </c:spPr>
          </c:dPt>
          <c:dPt>
            <c:idx val="1"/>
            <c:spPr>
              <a:solidFill>
                <a:srgbClr val="EA4335"/>
              </a:solidFill>
            </c:spPr>
          </c:dPt>
          <c:dPt>
            <c:idx val="2"/>
            <c:spPr>
              <a:solidFill>
                <a:srgbClr val="FBBC04"/>
              </a:solidFill>
            </c:spPr>
          </c:dPt>
          <c:dPt>
            <c:idx val="3"/>
            <c:spPr>
              <a:solidFill>
                <a:srgbClr val="34A853"/>
              </a:solidFill>
            </c:spPr>
          </c:dPt>
          <c:dPt>
            <c:idx val="4"/>
            <c:spPr>
              <a:solidFill>
                <a:srgbClr val="FF6D01"/>
              </a:solidFill>
            </c:spPr>
          </c:dPt>
          <c:dPt>
            <c:idx val="5"/>
            <c:spPr>
              <a:solidFill>
                <a:srgbClr val="46BDC6"/>
              </a:solidFill>
            </c:spPr>
          </c:dPt>
          <c:dPt>
            <c:idx val="6"/>
            <c:spPr>
              <a:solidFill>
                <a:srgbClr val="7BAAF7"/>
              </a:solidFill>
            </c:spPr>
          </c:dPt>
          <c:dLbls>
            <c:dLbl>
              <c:idx val="0"/>
              <c:txPr>
                <a:bodyPr/>
                <a:lstStyle/>
                <a:p>
                  <a:pPr lvl="0">
                    <a:defRPr sz="2000"/>
                  </a:pPr>
                </a:p>
              </c:txPr>
              <c:showLegendKey val="0"/>
              <c:showVal val="1"/>
              <c:showCatName val="0"/>
              <c:showSerName val="0"/>
              <c:showPercent val="0"/>
              <c:showBubbleSize val="0"/>
            </c:dLbl>
            <c:dLbl>
              <c:idx val="1"/>
              <c:txPr>
                <a:bodyPr/>
                <a:lstStyle/>
                <a:p>
                  <a:pPr lvl="0">
                    <a:defRPr b="1" sz="3200"/>
                  </a:pPr>
                </a:p>
              </c:txPr>
              <c:showLegendKey val="0"/>
              <c:showVal val="1"/>
              <c:showCatName val="0"/>
              <c:showSerName val="0"/>
              <c:showPercent val="0"/>
              <c:showBubbleSize val="0"/>
            </c:dLbl>
            <c:dLbl>
              <c:idx val="2"/>
              <c:txPr>
                <a:bodyPr/>
                <a:lstStyle/>
                <a:p>
                  <a:pPr lvl="0">
                    <a:defRPr sz="2000"/>
                  </a:pPr>
                </a:p>
              </c:txPr>
              <c:showLegendKey val="0"/>
              <c:showVal val="1"/>
              <c:showCatName val="0"/>
              <c:showSerName val="0"/>
              <c:showPercent val="0"/>
              <c:showBubbleSize val="0"/>
            </c:dLbl>
            <c:dLbl>
              <c:idx val="3"/>
              <c:txPr>
                <a:bodyPr/>
                <a:lstStyle/>
                <a:p>
                  <a:pPr lvl="0">
                    <a:defRPr sz="2000"/>
                  </a:pPr>
                </a:p>
              </c:txPr>
              <c:showLegendKey val="0"/>
              <c:showVal val="1"/>
              <c:showCatName val="0"/>
              <c:showSerName val="0"/>
              <c:showPercent val="0"/>
              <c:showBubbleSize val="0"/>
            </c:dLbl>
            <c:dLbl>
              <c:idx val="4"/>
              <c:txPr>
                <a:bodyPr/>
                <a:lstStyle/>
                <a:p>
                  <a:pPr lvl="0">
                    <a:defRPr sz="2000"/>
                  </a:pPr>
                </a:p>
              </c:txPr>
              <c:showLegendKey val="0"/>
              <c:showVal val="1"/>
              <c:showCatName val="0"/>
              <c:showSerName val="0"/>
              <c:showPercent val="0"/>
              <c:showBubbleSize val="0"/>
            </c:dLbl>
            <c:dLbl>
              <c:idx val="5"/>
              <c:txPr>
                <a:bodyPr/>
                <a:lstStyle/>
                <a:p>
                  <a:pPr lvl="0">
                    <a:defRPr b="1" sz="2400"/>
                  </a:pPr>
                </a:p>
              </c:txPr>
              <c:showLegendKey val="0"/>
              <c:showVal val="1"/>
              <c:showCatName val="0"/>
              <c:showSerName val="0"/>
              <c:showPercent val="0"/>
              <c:showBubbleSize val="0"/>
            </c:dLbl>
            <c:dLbl>
              <c:idx val="6"/>
              <c:txPr>
                <a:bodyPr/>
                <a:lstStyle/>
                <a:p>
                  <a:pPr lvl="0">
                    <a:defRPr b="1" sz="3600"/>
                  </a:pPr>
                </a:p>
              </c:txPr>
              <c:showLegendKey val="0"/>
              <c:showVal val="1"/>
              <c:showCatName val="0"/>
              <c:showSerName val="0"/>
              <c:showPercent val="0"/>
              <c:showBubbleSize val="0"/>
            </c:dLbl>
            <c:showLegendKey val="0"/>
            <c:showVal val="1"/>
            <c:showCatName val="0"/>
            <c:showSerName val="0"/>
            <c:showPercent val="0"/>
            <c:showBubbleSize val="0"/>
            <c:showLeaderLines val="1"/>
          </c:dLbls>
          <c:cat>
            <c:strRef>
              <c:f>'Theme Analysis'!$A$2:$A$8</c:f>
            </c:strRef>
          </c:cat>
          <c:val>
            <c:numRef>
              <c:f>'Theme Analysis'!$D$2:$D$8</c:f>
              <c:numCache/>
            </c:numRef>
          </c:val>
        </c:ser>
        <c:dLbls>
          <c:showLegendKey val="0"/>
          <c:showVal val="0"/>
          <c:showCatName val="0"/>
          <c:showSerName val="0"/>
          <c:showPercent val="0"/>
          <c:showBubbleSize val="0"/>
        </c:dLbls>
        <c:firstSliceAng val="0"/>
      </c:pieChart>
    </c:plotArea>
    <c:legend>
      <c:legendPos val="r"/>
      <c:overlay val="0"/>
      <c:txPr>
        <a:bodyPr/>
        <a:lstStyle/>
        <a:p>
          <a:pPr lvl="0">
            <a:defRPr b="1" sz="1600">
              <a:solidFill>
                <a:srgbClr val="1A1A1A"/>
              </a:solidFill>
              <a:latin typeface="+mn-lt"/>
            </a:defRPr>
          </a:pPr>
        </a:p>
      </c:txPr>
    </c:legend>
    <c:plotVisOnly val="1"/>
  </c:chart>
</c:chartSpace>
</file>

<file path=xl/drawings/_rels/drawing1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152400</xdr:colOff>
      <xdr:row>9</xdr:row>
      <xdr:rowOff>161925</xdr:rowOff>
    </xdr:from>
    <xdr:ext cx="7439025" cy="3190875"/>
    <xdr:graphicFrame>
      <xdr:nvGraphicFramePr>
        <xdr:cNvPr id="1" name="Chart 1" title="Gráfico"/>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7</xdr:col>
      <xdr:colOff>285750</xdr:colOff>
      <xdr:row>9</xdr:row>
      <xdr:rowOff>114300</xdr:rowOff>
    </xdr:from>
    <xdr:ext cx="7439025" cy="3190875"/>
    <xdr:graphicFrame>
      <xdr:nvGraphicFramePr>
        <xdr:cNvPr id="2" name="Chart 2" title="Gráfico"/>
        <xdr:cNvGraphicFramePr/>
      </xdr:nvGraphicFramePr>
      <xdr:xfrm>
        <a:off x="0" y="0"/>
        <a:ext cx="0" cy="0"/>
      </xdr:xfrm>
      <a:graphic>
        <a:graphicData uri="http://schemas.openxmlformats.org/drawingml/2006/chart">
          <c:chart r:id="rId2"/>
        </a:graphicData>
      </a:graphic>
    </xdr:graphicFrame>
    <xdr:clientData fLocksWithSheet="0"/>
  </xdr:oneCellAnchor>
</xdr:wsD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8.xml"/><Relationship Id="rId3"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4.57"/>
    <col customWidth="1" min="2" max="2" width="25.29"/>
    <col customWidth="1" min="3" max="3" width="85.43"/>
    <col customWidth="1" min="4" max="5" width="59.0"/>
    <col customWidth="1" min="6" max="6" width="28.71"/>
    <col customWidth="1" min="7" max="7" width="59.0"/>
    <col customWidth="1" min="8" max="8" width="47.43"/>
  </cols>
  <sheetData>
    <row r="1">
      <c r="A1" s="1" t="s">
        <v>0</v>
      </c>
      <c r="B1" s="2" t="s">
        <v>1</v>
      </c>
      <c r="C1" s="3" t="s">
        <v>2</v>
      </c>
      <c r="D1" s="4" t="s">
        <v>3</v>
      </c>
      <c r="E1" s="4" t="s">
        <v>4</v>
      </c>
      <c r="F1" s="5" t="s">
        <v>5</v>
      </c>
      <c r="G1" s="6" t="s">
        <v>6</v>
      </c>
      <c r="H1" s="6" t="s">
        <v>7</v>
      </c>
    </row>
    <row r="2">
      <c r="A2" s="7">
        <v>1.0</v>
      </c>
      <c r="B2" s="8" t="s">
        <v>8</v>
      </c>
      <c r="C2" s="7" t="str">
        <f>IFERROR(__xludf.DUMMYFUNCTION("filter('Imported Challenges'!B:D,'Imported Challenges'!A:A=A2)"),"A recurrent problem is the level of students knowledge that they come when they start the discipline.
The lack of proficiency of some students in some criteria of this ends up making this practice difficult.
For those who are from infrastructure and are"&amp;" only used to accessing the server, building it with a tool like Maven, for example, can be a challenge for them.
Some people take a network course they know when IP addresses. Some people don't know what an IP address is.
Many students, even master's s"&amp;"tudents who are going through this kind of a program are probably, are we missing one or two frames of reference? A lot of students come through approaching this from the software engineering side of the house. They're learning how to build applications a"&amp;"nd that sort of thing. They have no real experience on operations and simply standing up infrastructure in the cloud is not operations, right? It's an aspect of operations. It's important piece of operations, but it's not everything you don't necessarily "&amp;"have people with the expertise in network design capacity plan, security, identity management")</f>
        <v>A recurrent problem is the level of students knowledge that they come when they start the discipline.
The lack of proficiency of some students in some criteria of this ends up making this practice difficult.
For those who are from infrastructure and are only used to accessing the server, building it with a tool like Maven, for example, can be a challenge for them.
Some people take a network course they know when IP addresses. Some people don't know what an IP address is.
Many students, even master's students who are going through this kind of a program are probably, are we missing one or two frames of reference? A lot of students come through approaching this from the software engineering side of the house. They're learning how to build applications and that sort of thing. They have no real experience on operations and simply standing up infrastructure in the cloud is not operations, right? It's an aspect of operations. It's important piece of operations, but it's not everything you don't necessarily have people with the expertise in network design capacity plan, security, identity management</v>
      </c>
      <c r="D2" s="7" t="str">
        <f>IFERROR(__xludf.DUMMYFUNCTION("""COMPUTED_VALUE"""),"Insufficient knowledge level of students to start the course.
Students' previous lack of knowledge makes learning difficult.
It is challenging for students with an operating background to carry out software development activities, such as generating a b"&amp;"uild with the maven tool.
Students who came from the area of ​​software engineering lack experience in operational activities.
Some students don't know network concepts.")</f>
        <v>Insufficient knowledge level of students to start the course.
Students' previous lack of knowledge makes learning difficult.
It is challenging for students with an operating background to carry out software development activities, such as generating a build with the maven tool.
Students who came from the area of ​​software engineering lack experience in operational activities.
Some students don't know network concepts.</v>
      </c>
      <c r="E2" s="7" t="str">
        <f>IFERROR(__xludf.DUMMYFUNCTION("""COMPUTED_VALUE"""),"Insufficient knowledge level of students to start the course.")</f>
        <v>Insufficient knowledge level of students to start the course.</v>
      </c>
      <c r="F2" s="9" t="s">
        <v>9</v>
      </c>
      <c r="G2" s="9" t="s">
        <v>10</v>
      </c>
      <c r="H2" s="10"/>
    </row>
    <row r="3" ht="69.75" customHeight="1">
      <c r="A3" s="7">
        <v>2.0</v>
      </c>
      <c r="B3" s="8" t="s">
        <v>8</v>
      </c>
      <c r="C3" s="7" t="str">
        <f>IFERROR(__xludf.DUMMYFUNCTION("filter('Imported Challenges'!B:D,'Imported Challenges'!A:A=A3)"),"To configure a environment needed to start.
I had difficulty setting up the infrastructure.
If you want a kind of hybrid discipline, in which you have the theory and applied practice, then the challenge will be different, then it ranges from having an e"&amp;"nvironment for it to structuring the environment, or thinking about something like that, to making a virtual machine available.
We've tried to let the students, uh, deal with the setup and, uh, install everything on their computer with Dockerizing stuff "&amp;"and scan things. And that was yet another disaster because then it's not reproducible and it works on their computer, but then it's really complicated to make it work on the TA.")</f>
        <v>To configure a environment needed to start.
I had difficulty setting up the infrastructure.
If you want a kind of hybrid discipline, in which you have the theory and applied practice, then the challenge will be different, then it ranges from having an environment for it to structuring the environment, or thinking about something like that, to making a virtual machine available.
We've tried to let the students, uh, deal with the setup and, uh, install everything on their computer with Dockerizing stuff and scan things. And that was yet another disaster because then it's not reproducible and it works on their computer, but then it's really complicated to make it work on the TA.</v>
      </c>
      <c r="D3" s="7" t="str">
        <f>IFERROR(__xludf.DUMMYFUNCTION("""COMPUTED_VALUE"""),"Difficulty configuring and setting up the infrastructure needed to run DevOps experiments.
Difficulty in setting up the infrastructure.
Be concerned about the infrastructure used in the student's environment.
If you let the students deal with the envir"&amp;"onment setup on their computers, it will become not reproducible and complicated to make it work even with the teacher assistant.")</f>
        <v>Difficulty configuring and setting up the infrastructure needed to run DevOps experiments.
Difficulty in setting up the infrastructure.
Be concerned about the infrastructure used in the student's environment.
If you let the students deal with the environment setup on their computers, it will become not reproducible and complicated to make it work even with the teacher assistant.</v>
      </c>
      <c r="E3" s="7" t="str">
        <f>IFERROR(__xludf.DUMMYFUNCTION("""COMPUTED_VALUE"""),"Setting up the infrastructure is difficulty.")</f>
        <v>Setting up the infrastructure is difficulty.</v>
      </c>
      <c r="F3" s="9" t="s">
        <v>11</v>
      </c>
      <c r="G3" s="9" t="s">
        <v>12</v>
      </c>
      <c r="H3" s="9"/>
    </row>
    <row r="4" ht="69.75" customHeight="1">
      <c r="A4" s="7">
        <v>3.0</v>
      </c>
      <c r="B4" s="8" t="s">
        <v>8</v>
      </c>
      <c r="C4" s="7" t="str">
        <f>IFERROR(__xludf.DUMMYFUNCTION("filter('Imported Challenges'!B:D,'Imported Challenges'!A:A=A4)"),"In many times, a professor would need computational resources to teach specific concepts [...] to configure real scenarios as much as possible.
Many times, you do not have access to computer resources to set up scenarios that you can actually teach labs "&amp;"or do, there, labs for students to learn.
Student machine capacity restriction.
We depend on the internet, I will give you a straightforward example, you will use the virtual machine, no matter how much you use Vagrant, for example, it needs to download"&amp;" a base image. And depending on the student's location, it takes two minutes and up to two hours.
If you're the things and they've launch, you know, Docker and Jenkins, that's it or JDK, that's it. There's no memory left. Um, so is the environment set up"&amp;" is hard. ")</f>
        <v>In many times, a professor would need computational resources to teach specific concepts [...] to configure real scenarios as much as possible.
Many times, you do not have access to computer resources to set up scenarios that you can actually teach labs or do, there, labs for students to learn.
Student machine capacity restriction.
We depend on the internet, I will give you a straightforward example, you will use the virtual machine, no matter how much you use Vagrant, for example, it needs to download a base image. And depending on the student's location, it takes two minutes and up to two hours.
If you're the things and they've launch, you know, Docker and Jenkins, that's it or JDK, that's it. There's no memory left. Um, so is the environment set up is hard. </v>
      </c>
      <c r="D4" s="7" t="str">
        <f>IFERROR(__xludf.DUMMYFUNCTION("""COMPUTED_VALUE"""),"Few computational resources for setting up scenarios close to real ones.
Lack of computer resources for teaching the class.
Students may have learning difficulties due to their machine's capacity constraints.
Students may have limited internet access. "&amp;"It difficults activities such as downloading OS images to virtual machines.
Local environment set up is hard because it needs lots of hardware.")</f>
        <v>Few computational resources for setting up scenarios close to real ones.
Lack of computer resources for teaching the class.
Students may have learning difficulties due to their machine's capacity constraints.
Students may have limited internet access. It difficults activities such as downloading OS images to virtual machines.
Local environment set up is hard because it needs lots of hardware.</v>
      </c>
      <c r="E4" s="7" t="str">
        <f>IFERROR(__xludf.DUMMYFUNCTION("""COMPUTED_VALUE"""),"Limited computional resources.")</f>
        <v>Limited computional resources.</v>
      </c>
      <c r="F4" s="9" t="s">
        <v>13</v>
      </c>
      <c r="G4" s="9" t="s">
        <v>12</v>
      </c>
      <c r="H4" s="9"/>
    </row>
    <row r="5" ht="115.5" customHeight="1">
      <c r="A5" s="7">
        <v>4.0</v>
      </c>
      <c r="B5" s="8" t="s">
        <v>8</v>
      </c>
      <c r="C5" s="7" t="str">
        <f>IFERROR(__xludf.DUMMYFUNCTION("filter('Imported Challenges'!B:D,'Imported Challenges'!A:A=A5)"),"Some datasets as Azure from Microsoft, which the federal institute has a partnership has limited trial time to test, and it is necessary to have a credit card and other related things which sometimes the students do not have.
There is no account, like, t"&amp;"he teacher that he can make available, and there are resources for what students learn to set up these scenarios, right? Neither a local datacenter nor one of these commercials, many times it is not, it does not have all the possibilities you could use, a"&amp;"t least not, without being linked to an agreement or something like that.
If you are going to make this CI in the cloud commercially, you will have to pay. It is not free. Free here just for us to play, right? However, if you want to put your company's s"&amp;"ystem to do, I don't know how many integrations per week, you will have to pay for it.
Mean, captive of their platform and you also have to sign with your blood and agreements that you're doing it for academic purposes and those kind of things, because I"&amp;"BM can be quite aggressive with their partnership, um, policies. So except that I had to sign something that was a little bit too much from my perspective, this kind of tooling was good.")</f>
        <v>Some datasets as Azure from Microsoft, which the federal institute has a partnership has limited trial time to test, and it is necessary to have a credit card and other related things which sometimes the students do not have.
There is no account, like, the teacher that he can make available, and there are resources for what students learn to set up these scenarios, right? Neither a local datacenter nor one of these commercials, many times it is not, it does not have all the possibilities you could use, at least not, without being linked to an agreement or something like that.
If you are going to make this CI in the cloud commercially, you will have to pay. It is not free. Free here just for us to play, right? However, if you want to put your company's system to do, I don't know how many integrations per week, you will have to pay for it.
Mean, captive of their platform and you also have to sign with your blood and agreements that you're doing it for academic purposes and those kind of things, because IBM can be quite aggressive with their partnership, um, policies. So except that I had to sign something that was a little bit too much from my perspective, this kind of tooling was good.</v>
      </c>
      <c r="D5" s="7" t="str">
        <f>IFERROR(__xludf.DUMMYFUNCTION("""COMPUTED_VALUE"""),"Even through educational partnerships, using private cloud providers by students could be limited.
In public clouds, teacher use of student resource management is not widely available.
Using cloud services more professionally requires payment at a comme"&amp;"rcial level.
Cloud providers can have aggressive policies in the agreements for academic purposes.")</f>
        <v>Even through educational partnerships, using private cloud providers by students could be limited.
In public clouds, teacher use of student resource management is not widely available.
Using cloud services more professionally requires payment at a commercial level.
Cloud providers can have aggressive policies in the agreements for academic purposes.</v>
      </c>
      <c r="E5" s="7" t="str">
        <f>IFERROR(__xludf.DUMMYFUNCTION("""COMPUTED_VALUE"""),"Cloud providers usage has limits.")</f>
        <v>Cloud providers usage has limits.</v>
      </c>
      <c r="F5" s="9" t="s">
        <v>14</v>
      </c>
      <c r="G5" s="9" t="s">
        <v>12</v>
      </c>
      <c r="H5" s="9"/>
    </row>
    <row r="6" ht="134.25" customHeight="1">
      <c r="A6" s="7">
        <v>6.0</v>
      </c>
      <c r="B6" s="8" t="s">
        <v>8</v>
      </c>
      <c r="C6" s="7" t="str">
        <f>IFERROR(__xludf.DUMMYFUNCTION("filter('Imported Challenges'!B:D,'Imported Challenges'!A:A=A6)"),"There is no accepted taxonomy of what the concepts of DevOps are.
There's a lack of frame of reference on even what operations is. Most people get into operations, at least in my experience sort of accidentally.
 How to express concept, formalize them. "&amp;"But at the same time also focus on those issues that are getting in the way, the non-industrial way of, you know, writing scripts that if you want to industrialize them and they become Bulletproof, it's a mess, right? It's difficult.")</f>
        <v>There is no accepted taxonomy of what the concepts of DevOps are.
There's a lack of frame of reference on even what operations is. Most people get into operations, at least in my experience sort of accidentally.
 How to express concept, formalize them. But at the same time also focus on those issues that are getting in the way, the non-industrial way of, you know, writing scripts that if you want to industrialize them and they become Bulletproof, it's a mess, right? It's difficult.</v>
      </c>
      <c r="D6" s="7" t="str">
        <f>IFERROR(__xludf.DUMMYFUNCTION("""COMPUTED_VALUE"""),"There is no taxonomy about what are the main DevOps concepts.
There's a lack of reference on operations concepts.
It is difficult to express and formalize DevOps concepts. There is not bulletproof in devops.")</f>
        <v>There is no taxonomy about what are the main DevOps concepts.
There's a lack of reference on operations concepts.
It is difficult to express and formalize DevOps concepts. There is not bulletproof in devops.</v>
      </c>
      <c r="E6" s="7" t="str">
        <f>IFERROR(__xludf.DUMMYFUNCTION("""COMPUTED_VALUE"""),"There is no convention about DevOps concepts.")</f>
        <v>There is no convention about DevOps concepts.</v>
      </c>
      <c r="F6" s="9" t="s">
        <v>15</v>
      </c>
      <c r="G6" s="11" t="s">
        <v>16</v>
      </c>
      <c r="H6" s="9"/>
    </row>
    <row r="7" ht="221.25" customHeight="1">
      <c r="A7" s="7">
        <v>7.0</v>
      </c>
      <c r="B7" s="8" t="s">
        <v>8</v>
      </c>
      <c r="C7" s="7" t="str">
        <f>IFERROR(__xludf.DUMMYFUNCTION("filter('Imported Challenges'!B:D,'Imported Challenges'!A:A=A7)"),"I don't know any specific teaching devops tool.")</f>
        <v>I don't know any specific teaching devops tool.</v>
      </c>
      <c r="D7" s="7" t="str">
        <f>IFERROR(__xludf.DUMMYFUNCTION("""COMPUTED_VALUE"""),"Unknown specific devops educational supportive environment.")</f>
        <v>Unknown specific devops educational supportive environment.</v>
      </c>
      <c r="E7" s="7"/>
      <c r="F7" s="9" t="s">
        <v>17</v>
      </c>
      <c r="G7" s="9" t="s">
        <v>18</v>
      </c>
      <c r="H7" s="9"/>
    </row>
    <row r="8" ht="134.25" customHeight="1">
      <c r="A8" s="7">
        <v>8.0</v>
      </c>
      <c r="B8" s="8" t="s">
        <v>8</v>
      </c>
      <c r="C8" s="7" t="str">
        <f>IFERROR(__xludf.DUMMYFUNCTION("filter('Imported Challenges'!B:D,'Imported Challenges'!A:A=A8)"),"We sometimes want to teach everything and we don't have infinite time[...] to fit the knowledge of DevOps, which is very broad knowledge and involves at least two distinct areas[...]
Making it fit was more difficult because sometimes the content is too l"&amp;"ong and time is limited.
The challenge in this aspect refers to [..] the issue of laboratories [...], but you always end up as a matter of time versus class development.
When I taught the DevOps course in my master's, it was DevOps from beginning to end"&amp;", right? So I had to decide everything that was going to go into the content. There is a lot that was left out.
This area of ​​DevOps is gigantic too. So training is limited there. It is a forty-hour training, right?
My biggest challenge is that my cour"&amp;"se should be two semesters because it's just too much stuff to fit in one semester. [...] the challenge there is I had to put together a curriculum that had, um, a little bit about everything. [...] So it's challenging fitting all that stuff into one seme"&amp;"ster.
   There's lots and lots of information, which is why I give them lots of support during the week on slack. Um, but there's lots of information to cover. And because it's so challenging, I don't get to cover a lot of once you deploy it, how do you "&amp;"monitor it? Uh, right. And, and, and how do you, how do you, you know, go through the logs? And I mean, we do a little bit of looking at the logs when we deploy it to figure out if it's working, but I don't do a lot of the ops side of DevOps.
And in term"&amp;"s of operation, a lot of the stuff that we tend to do at university tends to be fairly small because there's just realistic time constraints for how much people can get done in a week or two, or even in a term or a semester. ...  that I've found is a litt"&amp;"le bit of misconception or at least prejudice around what devops actually is.
Because in though in the ops part, and this is the stuff I typically don't have as much time for simply because I know most of the students are coming from the software develop"&amp;"ment side of the house.
That's exactly. That's a lot for one semester.
I introduced the concept of them speaking about continuous integration, continuous, and delivery and continuous deployment. But, uh, in, in practice doing the remaining stage in the "&amp;"lab is very challenging because we don't have enough time because it's three months.")</f>
        <v>We sometimes want to teach everything and we don't have infinite time[...] to fit the knowledge of DevOps, which is very broad knowledge and involves at least two distinct areas[...]
Making it fit was more difficult because sometimes the content is too long and time is limited.
The challenge in this aspect refers to [..] the issue of laboratories [...], but you always end up as a matter of time versus class development.
When I taught the DevOps course in my master's, it was DevOps from beginning to end, right? So I had to decide everything that was going to go into the content. There is a lot that was left out.
This area of ​​DevOps is gigantic too. So training is limited there. It is a forty-hour training, right?
My biggest challenge is that my course should be two semesters because it's just too much stuff to fit in one semester. [...] the challenge there is I had to put together a curriculum that had, um, a little bit about everything. [...] So it's challenging fitting all that stuff into one semester.
   There's lots and lots of information, which is why I give them lots of support during the week on slack. Um, but there's lots of information to cover. And because it's so challenging, I don't get to cover a lot of once you deploy it, how do you monitor it? Uh, right. And, and, and how do you, how do you, you know, go through the logs? And I mean, we do a little bit of looking at the logs when we deploy it to figure out if it's working, but I don't do a lot of the ops side of DevOps.
And in terms of operation, a lot of the stuff that we tend to do at university tends to be fairly small because there's just realistic time constraints for how much people can get done in a week or two, or even in a term or a semester. ...  that I've found is a little bit of misconception or at least prejudice around what devops actually is.
Because in though in the ops part, and this is the stuff I typically don't have as much time for simply because I know most of the students are coming from the software development side of the house.
That's exactly. That's a lot for one semester.
I introduced the concept of them speaking about continuous integration, continuous, and delivery and continuous deployment. But, uh, in, in practice doing the remaining stage in the lab is very challenging because we don't have enough time because it's three months.</v>
      </c>
      <c r="D8" s="7" t="str">
        <f>IFERROR(__xludf.DUMMYFUNCTION("""COMPUTED_VALUE"""),"Insufficient time to address extensive DevOps knowledge in a limited-hour curriculum.
Insufficient time to address extensive DevOps knowledge in a limited-hour curriculum.
Limitation of the development of laboratory practices in class due to the short t"&amp;"ime.
There is a limited amount of time to teach the devops content.
Lots of DevOps content to teach with little time available (40 hours).
DevOps has too much contents and it's hard to fit it in a semester.
No time to teach operations side.
Realistic"&amp;" time constraints prejudice around what devops actually is.
In devops course with dev and ops together, ops part are not touched because dev parts take a lot of time.
One semester is insufficient time to teach DevOps.
Labs of continuous integration and"&amp;" continous delivery are challeging because there is not enough time in three months.")</f>
        <v>Insufficient time to address extensive DevOps knowledge in a limited-hour curriculum.
Insufficient time to address extensive DevOps knowledge in a limited-hour curriculum.
Limitation of the development of laboratory practices in class due to the short time.
There is a limited amount of time to teach the devops content.
Lots of DevOps content to teach with little time available (40 hours).
DevOps has too much contents and it's hard to fit it in a semester.
No time to teach operations side.
Realistic time constraints prejudice around what devops actually is.
In devops course with dev and ops together, ops part are not touched because dev parts take a lot of time.
One semester is insufficient time to teach DevOps.
Labs of continuous integration and continous delivery are challeging because there is not enough time in three months.</v>
      </c>
      <c r="E8" s="7" t="str">
        <f>IFERROR(__xludf.DUMMYFUNCTION("""COMPUTED_VALUE"""),"Insufficient time in the course to teach DevOps.")</f>
        <v>Insufficient time in the course to teach DevOps.</v>
      </c>
      <c r="F8" s="9" t="s">
        <v>19</v>
      </c>
      <c r="G8" s="9" t="s">
        <v>10</v>
      </c>
      <c r="H8" s="9"/>
    </row>
    <row r="9" ht="134.25" customHeight="1">
      <c r="A9" s="7">
        <v>9.0</v>
      </c>
      <c r="B9" s="8" t="s">
        <v>8</v>
      </c>
      <c r="C9" s="7" t="str">
        <f>IFERROR(__xludf.DUMMYFUNCTION("filter('Imported Challenges'!B:D,'Imported Challenges'!A:A=A9)"),"[...] I couldn't set up a DevOps environment due to restrictions even with administrative authorization.
 That simply wasn't a possibility and computer labs are not equipped for that sort of a thing because of necessity. Universities have to lock down th"&amp;"eir software and hardware to keep really bad things from happening.
You have the machines where you deploy to. Um, and quite often the students are in the same classroom on the wifi of the universities or the under the sub network, but the ports are not "&amp;"open [...] you need a lot of machines interconnected, um, with visibility on each other that they can get to. And that's hard in a, in a, in a classroom environment this year I had 78 students.
All of those challenges are basically how do you rebuild an "&amp;"enterprise environment into a university environment that is much more restrictive and doesn't have enough machines for them. Usually that's a real challenge.
")</f>
        <v>[...] I couldn't set up a DevOps environment due to restrictions even with administrative authorization.
 That simply wasn't a possibility and computer labs are not equipped for that sort of a thing because of necessity. Universities have to lock down their software and hardware to keep really bad things from happening.
You have the machines where you deploy to. Um, and quite often the students are in the same classroom on the wifi of the universities or the under the sub network, but the ports are not open [...] you need a lot of machines interconnected, um, with visibility on each other that they can get to. And that's hard in a, in a, in a classroom environment this year I had 78 students.
All of those challenges are basically how do you rebuild an enterprise environment into a university environment that is much more restrictive and doesn't have enough machines for them. Usually that's a real challenge.
</v>
      </c>
      <c r="D9" s="7" t="str">
        <f>IFERROR(__xludf.DUMMYFUNCTION("""COMPUTED_VALUE"""),"Difficulty in getting authorization and lab resources from the institution to install tools in order to setup a DevOps environment.
University labs have restrictions on installing tools.
The academy has network limitations to create near-real infrastruc"&amp;"ture.
It is difficult to build an enterprise environment into a university environment that is much more restrictive and doesn't have enough machines for them.")</f>
        <v>Difficulty in getting authorization and lab resources from the institution to install tools in order to setup a DevOps environment.
University labs have restrictions on installing tools.
The academy has network limitations to create near-real infrastructure.
It is difficult to build an enterprise environment into a university environment that is much more restrictive and doesn't have enough machines for them.</v>
      </c>
      <c r="E9" s="7" t="str">
        <f>IFERROR(__xludf.DUMMYFUNCTION("""COMPUTED_VALUE"""),"Institutions' resources have limits.")</f>
        <v>Institutions' resources have limits.</v>
      </c>
      <c r="F9" s="9" t="s">
        <v>20</v>
      </c>
      <c r="G9" s="9" t="s">
        <v>12</v>
      </c>
      <c r="H9" s="9"/>
    </row>
    <row r="10" ht="134.25" customHeight="1">
      <c r="A10" s="7">
        <v>10.0</v>
      </c>
      <c r="B10" s="8" t="s">
        <v>8</v>
      </c>
      <c r="C10" s="7" t="str">
        <f>IFERROR(__xludf.DUMMYFUNCTION("filter('Imported Challenges'!B:D,'Imported Challenges'!A:A=A10)"),"
There wasn't a tool to configure the environment [...] or to automate these environments then [..] since it became manual.")</f>
        <v>
There wasn't a tool to configure the environment [...] or to automate these environments then [..] since it became manual.</v>
      </c>
      <c r="D10" s="7" t="str">
        <f>IFERROR(__xludf.DUMMYFUNCTION("""COMPUTED_VALUE"""),"There was no automated environment setup tool to support the student.")</f>
        <v>There was no automated environment setup tool to support the student.</v>
      </c>
      <c r="E10" s="7"/>
      <c r="F10" s="9" t="s">
        <v>21</v>
      </c>
      <c r="G10" s="9" t="s">
        <v>12</v>
      </c>
      <c r="H10" s="9"/>
    </row>
    <row r="11" ht="123.75" customHeight="1">
      <c r="A11" s="7">
        <v>11.0</v>
      </c>
      <c r="B11" s="8" t="s">
        <v>8</v>
      </c>
      <c r="C11" s="7" t="str">
        <f>IFERROR(__xludf.DUMMYFUNCTION("filter('Imported Challenges'!B:D,'Imported Challenges'!A:A=A11)"),"There wasn't a set of [...] scripts that the student should configure this environment himself, install the tool himself [...] whatever the servers he needed.")</f>
        <v>There wasn't a set of [...] scripts that the student should configure this environment himself, install the tool himself [...] whatever the servers he needed.</v>
      </c>
      <c r="D11" s="7" t="str">
        <f>IFERROR(__xludf.DUMMYFUNCTION("""COMPUTED_VALUE"""),"There was no script for the student on how to install the tools used during the course.")</f>
        <v>There was no script for the student on how to install the tools used during the course.</v>
      </c>
      <c r="E11" s="7"/>
      <c r="F11" s="9" t="s">
        <v>22</v>
      </c>
      <c r="G11" s="9" t="s">
        <v>12</v>
      </c>
      <c r="H11" s="9"/>
    </row>
    <row r="12" ht="123.75" customHeight="1">
      <c r="A12" s="7">
        <v>12.0</v>
      </c>
      <c r="B12" s="8" t="s">
        <v>8</v>
      </c>
      <c r="C12" s="7" t="str">
        <f>IFERROR(__xludf.DUMMYFUNCTION("filter('Imported Challenges'!B:D,'Imported Challenges'!A:A=A12)"),"There is no such literature in the area of ​​enterprise systems.
A partner editor, including the board, who brought a catalog of books for us to take a look at, and I went after it, including a book on the subject, right? From corporate systems, right, f"&amp;"rom this part of DevOps, and simply, I didn't find it in the catalog.
The even greater difficulty, which I can point out, is precisely the structuring, really, perhaps of the sequence of classes, because we do not have this material that guides.
It is a"&amp;" discipline with no definition, so there is no introductory textbook. There is not something totally agreed upon between the community of what it is, when it is applied, and such.
The course preparation is very difficult [...] there will not be that much"&amp;" paper, article because it is very new.
 And then the books are more industry oriented. Like, uh, we don't look at the, uh, uh, more with teaching parts, like, um, so there is no textbook, actually it is more industry document, eh, discussion about DevOp"&amp;"s.
 what we sit and do, but, uh, so from the lab perspective, that's interesting, but on the teaching side, as I said, like, uh, having limited material, make the teaching a little bit more difficult.
your books are written mostly with the different pro"&amp;"jects in mind. Like they are thinking about people working in the company, but not thinking about students who are learning. And this makes it very difficult to design a DevOps curriculum where you cover a hundred percent DevOps in one course.")</f>
        <v>There is no such literature in the area of ​​enterprise systems.
A partner editor, including the board, who brought a catalog of books for us to take a look at, and I went after it, including a book on the subject, right? From corporate systems, right, from this part of DevOps, and simply, I didn't find it in the catalog.
The even greater difficulty, which I can point out, is precisely the structuring, really, perhaps of the sequence of classes, because we do not have this material that guides.
It is a discipline with no definition, so there is no introductory textbook. There is not something totally agreed upon between the community of what it is, when it is applied, and such.
The course preparation is very difficult [...] there will not be that much paper, article because it is very new.
 And then the books are more industry oriented. Like, uh, we don't look at the, uh, uh, more with teaching parts, like, um, so there is no textbook, actually it is more industry document, eh, discussion about DevOps.
 what we sit and do, but, uh, so from the lab perspective, that's interesting, but on the teaching side, as I said, like, uh, having limited material, make the teaching a little bit more difficult.
your books are written mostly with the different projects in mind. Like they are thinking about people working in the company, but not thinking about students who are learning. And this makes it very difficult to design a DevOps curriculum where you cover a hundred percent DevOps in one course.</v>
      </c>
      <c r="D12" s="7" t="str">
        <f>IFERROR(__xludf.DUMMYFUNCTION("""COMPUTED_VALUE"""),"Difficulty finding book on corporate systems related to DevOps.
Literature in the area of ​​enterprise systems related to DevOps is insufficient.
Difficulty in structuring classes due to lack of reference material.
There is no fully agreed community ba"&amp;"se text.
There are not so many scientific articles on which to base course preparation.
The books are more industry oriented. There is no textbook about with discussion about DevOps concepts.
There's limited material to teach.
Books are designed to co"&amp;"mpany professionals and not about to students who are learning.")</f>
        <v>Difficulty finding book on corporate systems related to DevOps.
Literature in the area of ​​enterprise systems related to DevOps is insufficient.
Difficulty in structuring classes due to lack of reference material.
There is no fully agreed community base text.
There are not so many scientific articles on which to base course preparation.
The books are more industry oriented. There is no textbook about with discussion about DevOps concepts.
There's limited material to teach.
Books are designed to company professionals and not about to students who are learning.</v>
      </c>
      <c r="E12" s="7" t="str">
        <f>IFERROR(__xludf.DUMMYFUNCTION("""COMPUTED_VALUE"""),"Insufficient literature related to teach DevOps.")</f>
        <v>Insufficient literature related to teach DevOps.</v>
      </c>
      <c r="F12" s="9" t="s">
        <v>23</v>
      </c>
      <c r="G12" s="9" t="s">
        <v>24</v>
      </c>
      <c r="H12" s="9"/>
    </row>
    <row r="13" ht="123.75" customHeight="1">
      <c r="A13" s="7">
        <v>13.0</v>
      </c>
      <c r="B13" s="8" t="s">
        <v>8</v>
      </c>
      <c r="C13" s="7" t="str">
        <f>IFERROR(__xludf.DUMMYFUNCTION("filter('Imported Challenges'!B:D,'Imported Challenges'!A:A=A13)"),"Once it's deployed, how do you manage to monitor and give and maybe get feedback from the customer, maybe things to improve, the monitoring of the system itself, this part is a challenge, really, to be able to show it to the student and maybe , make him f"&amp;"ace it from a more professional perspective, because already imagining that he is going to the market and will come across these many situations there.
When they arrive, many use another environment[...] they put the system there and they don't have to w"&amp;"orry too much about other details[...] We really ask them to make this migration for them to have this other view, this aspect of setting up the environment. Putting it into production and keeping this system working.[...] I think this can be seen as a ch"&amp;"allenge, which is to convince students to give importance to this, the importance of them knowing these aspects too, not leaving it so transparent to them too.")</f>
        <v>Once it's deployed, how do you manage to monitor and give and maybe get feedback from the customer, maybe things to improve, the monitoring of the system itself, this part is a challenge, really, to be able to show it to the student and maybe , make him face it from a more professional perspective, because already imagining that he is going to the market and will come across these many situations there.
When they arrive, many use another environment[...] they put the system there and they don't have to worry too much about other details[...] We really ask them to make this migration for them to have this other view, this aspect of setting up the environment. Putting it into production and keeping this system working.[...] I think this can be seen as a challenge, which is to convince students to give importance to this, the importance of them knowing these aspects too, not leaving it so transparent to them too.</v>
      </c>
      <c r="D13" s="7" t="str">
        <f>IFERROR(__xludf.DUMMYFUNCTION("""COMPUTED_VALUE"""),"It is difficult to make the student face teaching scenarios with a more professional perspective, with production-level monitoring.
Difficulty in making clear to students the importance of having a more realistic perspective of production, using other en"&amp;"vironments and leaving aside the comfort zone in which they may be inserted.")</f>
        <v>It is difficult to make the student face teaching scenarios with a more professional perspective, with production-level monitoring.
Difficulty in making clear to students the importance of having a more realistic perspective of production, using other environments and leaving aside the comfort zone in which they may be inserted.</v>
      </c>
      <c r="E13" s="7" t="str">
        <f>IFERROR(__xludf.DUMMYFUNCTION("""COMPUTED_VALUE"""),"Difficulty in making clear to students the importance of having a more realistic perspective of production.")</f>
        <v>Difficulty in making clear to students the importance of having a more realistic perspective of production.</v>
      </c>
      <c r="F13" s="9" t="s">
        <v>25</v>
      </c>
      <c r="G13" s="9" t="s">
        <v>10</v>
      </c>
      <c r="H13" s="9"/>
    </row>
    <row r="14" ht="123.75" customHeight="1">
      <c r="A14" s="7">
        <v>14.0</v>
      </c>
      <c r="B14" s="8" t="s">
        <v>8</v>
      </c>
      <c r="C14" s="7" t="str">
        <f>IFERROR(__xludf.DUMMYFUNCTION("filter('Imported Challenges'!B:D,'Imported Challenges'!A:A=A14)"),"The challenge of making students see this approach to operationalization, putting the system on the air, maintaining this system, adding new features and not breaking the system.
The concept of continuous delivery [...] The difficult thing is to put it i"&amp;"nto practice [...] when they, as a team, need to release a certain functionality and ensure that it doesn't break the system.")</f>
        <v>The challenge of making students see this approach to operationalization, putting the system on the air, maintaining this system, adding new features and not breaking the system.
The concept of continuous delivery [...] The difficult thing is to put it into practice [...] when they, as a team, need to release a certain functionality and ensure that it doesn't break the system.</v>
      </c>
      <c r="D14" s="7" t="str">
        <f>IFERROR(__xludf.DUMMYFUNCTION("""COMPUTED_VALUE"""),"Difficulty in teaching the student how to operate the system, allowing the addition of new features without breaking the system.
Difficulty for students to practice the concept of Continuous Delivery when it is necessary to add new features to the system"&amp;" without the build breaking.")</f>
        <v>Difficulty in teaching the student how to operate the system, allowing the addition of new features without breaking the system.
Difficulty for students to practice the concept of Continuous Delivery when it is necessary to add new features to the system without the build breaking.</v>
      </c>
      <c r="E14" s="7" t="str">
        <f>IFERROR(__xludf.DUMMYFUNCTION("""COMPUTED_VALUE"""),"Difficulty in teaching the student how to operate the system, allowing the addition of new features without breaking the system.")</f>
        <v>Difficulty in teaching the student how to operate the system, allowing the addition of new features without breaking the system.</v>
      </c>
      <c r="F14" s="9" t="s">
        <v>26</v>
      </c>
      <c r="G14" s="11" t="s">
        <v>27</v>
      </c>
      <c r="H14" s="11"/>
    </row>
    <row r="15" ht="123.75" customHeight="1">
      <c r="A15" s="7">
        <v>15.0</v>
      </c>
      <c r="B15" s="8" t="s">
        <v>8</v>
      </c>
      <c r="C15" s="7" t="str">
        <f>IFERROR(__xludf.DUMMYFUNCTION("filter('Imported Challenges'!B:D,'Imported Challenges'!A:A=A15)"),"How can we see if the student is aware of the concept of continuous delivery, which is one of the concepts we address?")</f>
        <v>How can we see if the student is aware of the concept of continuous delivery, which is one of the concepts we address?</v>
      </c>
      <c r="D15" s="7" t="str">
        <f>IFERROR(__xludf.DUMMYFUNCTION("""COMPUTED_VALUE"""),"Difficulty in assessing students' understanding of Continuous Delivery.")</f>
        <v>Difficulty in assessing students' understanding of Continuous Delivery.</v>
      </c>
      <c r="E15" s="7"/>
      <c r="F15" s="9" t="s">
        <v>28</v>
      </c>
      <c r="G15" s="11" t="s">
        <v>29</v>
      </c>
      <c r="H15" s="11"/>
    </row>
    <row r="16">
      <c r="A16" s="7">
        <v>16.0</v>
      </c>
      <c r="B16" s="8" t="s">
        <v>8</v>
      </c>
      <c r="C16" s="7" t="str">
        <f>IFERROR(__xludf.DUMMYFUNCTION("filter('Imported Challenges'!B:D,'Imported Challenges'!A:A=A16)"),"It's more this initial contact that seems to scare them a little more, it makes them go to others, when they arrive.
The part of actually putting an initial part has this shock of this reality there for the students in which they have to leave a tool tha"&amp;"t they are already there with the system running and bring it to our tool.")</f>
        <v>It's more this initial contact that seems to scare them a little more, it makes them go to others, when they arrive.
The part of actually putting an initial part has this shock of this reality there for the students in which they have to leave a tool that they are already there with the system running and bring it to our tool.</v>
      </c>
      <c r="D16" s="7" t="str">
        <f>IFERROR(__xludf.DUMMYFUNCTION("""COMPUTED_VALUE"""),"The environment adopted by instructors can frighten students by making them migrate to other tools.
Students' initial difficult at having to switch from tools in which their applications were already working to the one adopted by the instructor.")</f>
        <v>The environment adopted by instructors can frighten students by making them migrate to other tools.
Students' initial difficult at having to switch from tools in which their applications were already working to the one adopted by the instructor.</v>
      </c>
      <c r="E16" s="7" t="str">
        <f>IFERROR(__xludf.DUMMYFUNCTION("""COMPUTED_VALUE"""),"The process of making students migrate to other tools it's hard.")</f>
        <v>The process of making students migrate to other tools it's hard.</v>
      </c>
      <c r="F16" s="9" t="s">
        <v>30</v>
      </c>
      <c r="G16" s="11" t="s">
        <v>18</v>
      </c>
      <c r="H16" s="6"/>
    </row>
    <row r="17">
      <c r="A17" s="7">
        <v>17.0</v>
      </c>
      <c r="B17" s="8" t="s">
        <v>8</v>
      </c>
      <c r="C17" s="7" t="str">
        <f>IFERROR(__xludf.DUMMYFUNCTION("filter('Imported Challenges'!B:D,'Imported Challenges'!A:A=A17)"),"the docker, [...] to use, they usually have a greater difficulty in this theme, in the beginning.")</f>
        <v>the docker, [...] to use, they usually have a greater difficulty in this theme, in the beginning.</v>
      </c>
      <c r="D17" s="7" t="str">
        <f>IFERROR(__xludf.DUMMYFUNCTION("""COMPUTED_VALUE"""),"Initial difficulty using the Docker container tool.")</f>
        <v>Initial difficulty using the Docker container tool.</v>
      </c>
      <c r="E17" s="7"/>
      <c r="F17" s="9" t="s">
        <v>31</v>
      </c>
      <c r="G17" s="11" t="s">
        <v>18</v>
      </c>
      <c r="H17" s="9"/>
    </row>
    <row r="18">
      <c r="A18" s="7">
        <v>19.0</v>
      </c>
      <c r="B18" s="8" t="s">
        <v>8</v>
      </c>
      <c r="C18" s="7" t="str">
        <f>IFERROR(__xludf.DUMMYFUNCTION("filter('Imported Challenges'!B:D,'Imported Challenges'!A:A=A18)"),"A challenge that is to convince students to give importance to this... they have this other view, this aspect of the configuration of the environment.")</f>
        <v>A challenge that is to convince students to give importance to this... they have this other view, this aspect of the configuration of the environment.</v>
      </c>
      <c r="D18" s="7" t="str">
        <f>IFERROR(__xludf.DUMMYFUNCTION("""COMPUTED_VALUE"""),"The student has difficulty realizing the importance of setting the environment.")</f>
        <v>The student has difficulty realizing the importance of setting the environment.</v>
      </c>
      <c r="E18" s="7"/>
      <c r="F18" s="9" t="s">
        <v>32</v>
      </c>
      <c r="G18" s="9" t="s">
        <v>12</v>
      </c>
      <c r="H18" s="9"/>
    </row>
    <row r="19">
      <c r="A19" s="7">
        <v>22.0</v>
      </c>
      <c r="B19" s="8" t="s">
        <v>8</v>
      </c>
      <c r="C19" s="7" t="str">
        <f>IFERROR(__xludf.DUMMYFUNCTION("filter('Imported Challenges'!B:D,'Imported Challenges'!A:A=A19)"),"The challenges I can mention is precisely this part of you being able to demonstrate, right, to demonstrate to them all this tooling of ours.
The main challenge is that, in general, DevOps related tools are cloud-based systems.
In general, you have a wi"&amp;"de range of solutions. You have a very large ecosystem of possibilities on how to test or demonstrate a concept.
A difficulty of technologies is about recognizing what is relevant to be addressed in the classroom, is not it? So, for example, there is muc"&amp;"h technology on the market.
Because the DevOps universe has millions of tools, technologies, and [...] It has an infinity of tools, they all meet the objectives. They are good and such.
This is a problem because of what happens: there are several tools,"&amp;" and we always have to close on some for the didactic nature of experimentation.
The other big challenge is: technology. People come with Macs, people come with windows, people come with Linux. [...] So that's the other challenge is people coming in with"&amp;" different technology and then how do you teach them the same thing without saying: ""oh, the command in windows is this and the command on a Mac is that.""
It can be also challenging for the, if you have the lab instructor with handling all tools.")</f>
        <v>The challenges I can mention is precisely this part of you being able to demonstrate, right, to demonstrate to them all this tooling of ours.
The main challenge is that, in general, DevOps related tools are cloud-based systems.
In general, you have a wide range of solutions. You have a very large ecosystem of possibilities on how to test or demonstrate a concept.
A difficulty of technologies is about recognizing what is relevant to be addressed in the classroom, is not it? So, for example, there is much technology on the market.
Because the DevOps universe has millions of tools, technologies, and [...] It has an infinity of tools, they all meet the objectives. They are good and such.
This is a problem because of what happens: there are several tools, and we always have to close on some for the didactic nature of experimentation.
The other big challenge is: technology. People come with Macs, people come with windows, people come with Linux. [...] So that's the other challenge is people coming in with different technology and then how do you teach them the same thing without saying: "oh, the command in windows is this and the command on a Mac is that."
It can be also challenging for the, if you have the lab instructor with handling all tools.</v>
      </c>
      <c r="D19" s="7" t="str">
        <f>IFERROR(__xludf.DUMMYFUNCTION("""COMPUTED_VALUE"""),"There are a large number of DevOps tools available.
Many DevOps tools are cloud based.
Many DevOps tools and usability available.
Difficulty in deciding which technologies to teach, given the wide variety available on the market.
There are many DevOps"&amp;" tools.
There are many DevOps tools to choose from.
It's hard to deal with many options of tools.
The lab instructor should handle many tools.")</f>
        <v>There are a large number of DevOps tools available.
Many DevOps tools are cloud based.
Many DevOps tools and usability available.
Difficulty in deciding which technologies to teach, given the wide variety available on the market.
There are many DevOps tools.
There are many DevOps tools to choose from.
It's hard to deal with many options of tools.
The lab instructor should handle many tools.</v>
      </c>
      <c r="E19" s="7" t="str">
        <f>IFERROR(__xludf.DUMMYFUNCTION("""COMPUTED_VALUE"""),"There is a large number of DevOps tools.")</f>
        <v>There is a large number of DevOps tools.</v>
      </c>
      <c r="F19" s="9" t="s">
        <v>33</v>
      </c>
      <c r="G19" s="9" t="s">
        <v>34</v>
      </c>
      <c r="H19" s="12"/>
    </row>
    <row r="20">
      <c r="A20" s="13">
        <v>25.0</v>
      </c>
      <c r="B20" s="14" t="s">
        <v>8</v>
      </c>
      <c r="C20" s="7" t="str">
        <f>IFERROR(__xludf.DUMMYFUNCTION("filter('Imported Challenges'!B:D,'Imported Challenges'!A:A=A20)"),"The main challenge is to correctly convey to students the idea that DevOps is about a culture.
It is the cultural challenge of I am not going to deliver a ready-made recipe.
How to apply these things from Devops in companies [...] there is a great diffi"&amp;"culty that is cultural. Companies have always organized themselves in this way, separating movement from infrastructure, not having collaboration, not having communication, and this ends up generating friction, especially when problems arise [...] go on c"&amp;"hanging a little the company's culture, the process, the way people organize themselves, meet, and such, trying to remove the barriers there until it is natural and both teams work together [...] with a single goal, which is to develop, deliver software t"&amp;"hat works and solve problems as quickly as possible.
Trying to contextualize this too is very difficult.
Culture is difficult to teach.")</f>
        <v>The main challenge is to correctly convey to students the idea that DevOps is about a culture.
It is the cultural challenge of I am not going to deliver a ready-made recipe.
How to apply these things from Devops in companies [...] there is a great difficulty that is cultural. Companies have always organized themselves in this way, separating movement from infrastructure, not having collaboration, not having communication, and this ends up generating friction, especially when problems arise [...] go on changing a little the company's culture, the process, the way people organize themselves, meet, and such, trying to remove the barriers there until it is natural and both teams work together [...] with a single goal, which is to develop, deliver software that works and solve problems as quickly as possible.
Trying to contextualize this too is very difficult.
Culture is difficult to teach.</v>
      </c>
      <c r="D20" s="7" t="str">
        <f>IFERROR(__xludf.DUMMYFUNCTION("""COMPUTED_VALUE"""),"Difficulty to teach the DevOps culture.
There is no ready-made recipe to teach the DevOps mindset (culture).
Difficulty breaking through resistance to the DevOps culture and its principles.
Difficulty contextualizing the DevOps culture.
Culture is dif"&amp;"ficult to teach.")</f>
        <v>Difficulty to teach the DevOps culture.
There is no ready-made recipe to teach the DevOps mindset (culture).
Difficulty breaking through resistance to the DevOps culture and its principles.
Difficulty contextualizing the DevOps culture.
Culture is difficult to teach.</v>
      </c>
      <c r="E20" s="7" t="str">
        <f>IFERROR(__xludf.DUMMYFUNCTION("""COMPUTED_VALUE"""),"DevOps culture is hard to teach. ")</f>
        <v>DevOps culture is hard to teach. </v>
      </c>
      <c r="F20" s="9" t="s">
        <v>35</v>
      </c>
      <c r="G20" s="11" t="s">
        <v>16</v>
      </c>
      <c r="H20" s="9"/>
    </row>
    <row r="21">
      <c r="A21" s="13">
        <v>27.0</v>
      </c>
      <c r="B21" s="14" t="s">
        <v>8</v>
      </c>
      <c r="C21" s="7" t="str">
        <f>IFERROR(__xludf.DUMMYFUNCTION("filter('Imported Challenges'!B:D,'Imported Challenges'!A:A=A21)"),"As people are remote, basically for training, there are several factors that influence the didactics. The home environment, even, that the person, sometimes, does not live alone, or has sons, daughters. This is not a problem for people, for me, a teacher,"&amp;" as a teacher, but for a person, sometimes, you can't open a camera. You can't do one, so dealing with these differences within the pandemic is important. It's not a problem, but it's a point of e also the differences from the infrastructure that the pers"&amp;"on has to take the course. A machine a little newer, older, pre-configured for work, there are companies that already have the machine ready for day to day and the course uses other configurations which are challenges that we have with the students to tal"&amp;"k, look, I need version X, and the person does not have the installation permission.
")</f>
        <v>As people are remote, basically for training, there are several factors that influence the didactics. The home environment, even, that the person, sometimes, does not live alone, or has sons, daughters. This is not a problem for people, for me, a teacher, as a teacher, but for a person, sometimes, you can't open a camera. You can't do one, so dealing with these differences within the pandemic is important. It's not a problem, but it's a point of e also the differences from the infrastructure that the person has to take the course. A machine a little newer, older, pre-configured for work, there are companies that already have the machine ready for day to day and the course uses other configurations which are challenges that we have with the students to talk, look, I need version X, and the person does not have the installation permission.
</v>
      </c>
      <c r="D21" s="7" t="str">
        <f>IFERROR(__xludf.DUMMYFUNCTION("""COMPUTED_VALUE"""),"Difficulties in remote work with students: privacy, availability, infrastructure differences, environment configuration.")</f>
        <v>Difficulties in remote work with students: privacy, availability, infrastructure differences, environment configuration.</v>
      </c>
      <c r="E21" s="7"/>
      <c r="F21" s="9" t="s">
        <v>36</v>
      </c>
      <c r="G21" s="9" t="s">
        <v>10</v>
      </c>
      <c r="H21" s="9"/>
    </row>
    <row r="22">
      <c r="A22" s="13">
        <v>28.0</v>
      </c>
      <c r="B22" s="14" t="s">
        <v>8</v>
      </c>
      <c r="C22" s="7" t="str">
        <f>IFERROR(__xludf.DUMMYFUNCTION("filter('Imported Challenges'!B:D,'Imported Challenges'!A:A=A22)"),"[...] in many cases the assessment is still based on the traditional test model or on some fixed assessment process, with an X list of questions or something similar.")</f>
        <v>[...] in many cases the assessment is still based on the traditional test model or on some fixed assessment process, with an X list of questions or something similar.</v>
      </c>
      <c r="D22" s="7" t="str">
        <f>IFERROR(__xludf.DUMMYFUNCTION("""COMPUTED_VALUE"""),"Difficulty dealing with assessments based on a traditional test model.")</f>
        <v>Difficulty dealing with assessments based on a traditional test model.</v>
      </c>
      <c r="E22" s="7"/>
      <c r="F22" s="9" t="s">
        <v>37</v>
      </c>
      <c r="G22" s="9" t="s">
        <v>29</v>
      </c>
      <c r="H22" s="9"/>
    </row>
    <row r="23">
      <c r="A23" s="13">
        <v>30.0</v>
      </c>
      <c r="B23" s="14" t="s">
        <v>8</v>
      </c>
      <c r="C23" s="7" t="str">
        <f>IFERROR(__xludf.DUMMYFUNCTION("filter('Imported Challenges'!B:D,'Imported Challenges'!A:A=A23)"),"If the student is in a context where he has always been in the academic area or he has never had practical contact with any of these features of software development, it is likely that it will be much more challenging for him.
If the student is in a cont"&amp;"ext where he has always been in the academic area, or he has never had practical contact with any of these features of software development, [...] for the teacher, it becomes much more challenging to teach the DevOps concept this student profile.
The mai"&amp;"n challenge remain the able to, to, to teach the fundamentals. I think that this type, of course almost requires some type of industrial experience, because if you've not been in contact with the industry, there are so many things that are, um, more diffi"&amp;"cult to, to, to eally understand.
Teaching this course, it's possible to teach it with students with no experience, but it makes the thing like this. I've been trying to have interactions with the students about, I know certain topics become quite diffic"&amp;"ult because they cannot relate it to anything concrete.
It didn't work for some specific tools that they wanted to present using this a katacoda, uh, website.
I mean, there are students, so they are, they are not in the industry yet. And so that's, that"&amp;" would be the main part to make the student understand that it's, it's not about configuring Jenkins or having Docker running on their computer.
When you're talking to freshmen and they have no idea what's happening. Like they have a superficial idea of "&amp;"what's happening. Then it's like finding a way to explain them why the mindset is important.")</f>
        <v>If the student is in a context where he has always been in the academic area or he has never had practical contact with any of these features of software development, it is likely that it will be much more challenging for him.
If the student is in a context where he has always been in the academic area, or he has never had practical contact with any of these features of software development, [...] for the teacher, it becomes much more challenging to teach the DevOps concept this student profile.
The main challenge remain the able to, to, to teach the fundamentals. I think that this type, of course almost requires some type of industrial experience, because if you've not been in contact with the industry, there are so many things that are, um, more difficult to, to, to eally understand.
Teaching this course, it's possible to teach it with students with no experience, but it makes the thing like this. I've been trying to have interactions with the students about, I know certain topics become quite difficult because they cannot relate it to anything concrete.
It didn't work for some specific tools that they wanted to present using this a katacoda, uh, website.
I mean, there are students, so they are, they are not in the industry yet. And so that's, that would be the main part to make the student understand that it's, it's not about configuring Jenkins or having Docker running on their computer.
When you're talking to freshmen and they have no idea what's happening. Like they have a superficial idea of what's happening. Then it's like finding a way to explain them why the mindset is important.</v>
      </c>
      <c r="D23" s="7" t="str">
        <f>IFERROR(__xludf.DUMMYFUNCTION("""COMPUTED_VALUE"""),"There is a greater difficulty in understanding devops by students whose background is more academic, who have no experience in software development or direct operation.
It is difficult to teach students with more academic training that have no experience"&amp;" in software development or operation directly.
It is difficult to teach DevOps concepts without industry experience.
It is difficult to teach students with no industrial experience.
The students don't have the proper background to listen the lecture o"&amp;"f people from the industry.
The students without industry experience can have difficulty to understand that DevOps is much more than using tools.
It is difficult to explain the importance of DevOps mindset to students that have a superficial idea of wha"&amp;"t is happening to industry.")</f>
        <v>There is a greater difficulty in understanding devops by students whose background is more academic, who have no experience in software development or direct operation.
It is difficult to teach students with more academic training that have no experience in software development or operation directly.
It is difficult to teach DevOps concepts without industry experience.
It is difficult to teach students with no industrial experience.
The students don't have the proper background to listen the lecture of people from the industry.
The students without industry experience can have difficulty to understand that DevOps is much more than using tools.
It is difficult to explain the importance of DevOps mindset to students that have a superficial idea of what is happening to industry.</v>
      </c>
      <c r="E23" s="7" t="str">
        <f>IFERROR(__xludf.DUMMYFUNCTION("""COMPUTED_VALUE"""),"Teach DevOps concepts to students no industrial experience is hard.")</f>
        <v>Teach DevOps concepts to students no industrial experience is hard.</v>
      </c>
      <c r="F23" s="9" t="s">
        <v>38</v>
      </c>
      <c r="G23" s="10" t="s">
        <v>27</v>
      </c>
      <c r="H23" s="10"/>
    </row>
    <row r="24">
      <c r="A24" s="13">
        <v>31.0</v>
      </c>
      <c r="B24" s="14" t="s">
        <v>8</v>
      </c>
      <c r="C24" s="7" t="str">
        <f>IFERROR(__xludf.DUMMYFUNCTION("filter('Imported Challenges'!B:D,'Imported Challenges'!A:A=A24)"),"DevSecOps [...] is the type of discipline that requires strong knowledge in two areas, both distinct, in the security area, but at the same time in the development area to be able to find the link between the two and then yes, get to what the student.
Th"&amp;"e second point that the second challenge would be [...] skills.  I'm working on software engineering and I'm working on how to build software since the gate.")</f>
        <v>DevSecOps [...] is the type of discipline that requires strong knowledge in two areas, both distinct, in the security area, but at the same time in the development area to be able to find the link between the two and then yes, get to what the student.
The second point that the second challenge would be [...] skills.  I'm working on software engineering and I'm working on how to build software since the gate.</v>
      </c>
      <c r="D24" s="7" t="str">
        <f>IFERROR(__xludf.DUMMYFUNCTION("""COMPUTED_VALUE"""),"The teacher needs good technical knowledge in the areas of security (especially vulnerability management) and systems development to teach DevSecOps.
Skills to teach DevOps are challeging.")</f>
        <v>The teacher needs good technical knowledge in the areas of security (especially vulnerability management) and systems development to teach DevSecOps.
Skills to teach DevOps are challeging.</v>
      </c>
      <c r="E24" s="7" t="str">
        <f>IFERROR(__xludf.DUMMYFUNCTION("""COMPUTED_VALUE"""),"Skills to teach DevOps are challeging.")</f>
        <v>Skills to teach DevOps are challeging.</v>
      </c>
      <c r="F24" s="9" t="s">
        <v>39</v>
      </c>
      <c r="G24" s="9" t="s">
        <v>24</v>
      </c>
      <c r="H24" s="9"/>
    </row>
    <row r="25">
      <c r="A25" s="13">
        <v>33.0</v>
      </c>
      <c r="B25" s="14" t="s">
        <v>8</v>
      </c>
      <c r="C25" s="7" t="str">
        <f>IFERROR(__xludf.DUMMYFUNCTION("filter('Imported Challenges'!B:D,'Imported Challenges'!A:A=A25)"),"Another challenge too, that [...] we changed our model from in-person to online, live. And then, we had this problem, right, that in the course there is a project, with certain technologies, but, in our case, we already have a laboratory that has everythi"&amp;"ng installed and configured. So, in this case, man, now, it's the student who's going to do his homework, right, how is he going to configure the infrastructure with that specific project and without having a headache, it won't interfere in class.")</f>
        <v>Another challenge too, that [...] we changed our model from in-person to online, live. And then, we had this problem, right, that in the course there is a project, with certain technologies, but, in our case, we already have a laboratory that has everything installed and configured. So, in this case, man, now, it's the student who's going to do his homework, right, how is he going to configure the infrastructure with that specific project and without having a headache, it won't interfere in class.</v>
      </c>
      <c r="D25" s="7" t="str">
        <f>IFERROR(__xludf.DUMMYFUNCTION("""COMPUTED_VALUE"""),"Students find it difficult to configure the tools on their own machines in remote teaching mode.")</f>
        <v>Students find it difficult to configure the tools on their own machines in remote teaching mode.</v>
      </c>
      <c r="E25" s="7"/>
      <c r="F25" s="9" t="s">
        <v>40</v>
      </c>
      <c r="G25" s="10"/>
      <c r="H25" s="10"/>
    </row>
    <row r="26">
      <c r="A26" s="13">
        <v>34.0</v>
      </c>
      <c r="B26" s="14" t="s">
        <v>8</v>
      </c>
      <c r="C26" s="7" t="str">
        <f>IFERROR(__xludf.DUMMYFUNCTION("filter('Imported Challenges'!B:D,'Imported Challenges'!A:A=A26)"),"Doing infrastructure as code or forms of configuration management or containerization, or even the simpler things like treating build scripts as first-class citizens alongside your code, start to not be meaningful until you have code at some minimum scale"&amp;" where there's a certain minimum complexity, both in terms of construction.
If you give artificial example or small toy example, then it's just going about configuring small things. So naturally naturally what DevOps is, uh, it's really complicated to ma"&amp;"ke the students experience a cultural change and those kinds of things, because there's, well, there's no culture of, uh, industrial project in a school because it's academic project or it's teaching how to behave in a industrial project.
So it was lectu"&amp;"res and labs and like a small project, but it was wasn't really satisfactory.")</f>
        <v>Doing infrastructure as code or forms of configuration management or containerization, or even the simpler things like treating build scripts as first-class citizens alongside your code, start to not be meaningful until you have code at some minimum scale where there's a certain minimum complexity, both in terms of construction.
If you give artificial example or small toy example, then it's just going about configuring small things. So naturally naturally what DevOps is, uh, it's really complicated to make the students experience a cultural change and those kinds of things, because there's, well, there's no culture of, uh, industrial project in a school because it's academic project or it's teaching how to behave in a industrial project.
So it was lectures and labs and like a small project, but it was wasn't really satisfactory.</v>
      </c>
      <c r="D26" s="7" t="str">
        <f>IFERROR(__xludf.DUMMYFUNCTION("""COMPUTED_VALUE"""),"Devops concepts like configuration management and contaizerization need examples with mininum scale and complexity.
The students can have difficulty understanding the DevOps culture working on a small example.
Small project wasn't really satisfactory.")</f>
        <v>Devops concepts like configuration management and contaizerization need examples with mininum scale and complexity.
The students can have difficulty understanding the DevOps culture working on a small example.
Small project wasn't really satisfactory.</v>
      </c>
      <c r="E26" s="7" t="str">
        <f>IFERROR(__xludf.DUMMYFUNCTION("""COMPUTED_VALUE"""),"Small examples weren't really satisfactory.")</f>
        <v>Small examples weren't really satisfactory.</v>
      </c>
      <c r="F26" s="9" t="s">
        <v>41</v>
      </c>
      <c r="G26" s="9" t="s">
        <v>12</v>
      </c>
      <c r="H26" s="9"/>
    </row>
    <row r="27">
      <c r="A27" s="13">
        <v>36.0</v>
      </c>
      <c r="B27" s="14" t="s">
        <v>8</v>
      </c>
      <c r="C27" s="15" t="str">
        <f>IFERROR(__xludf.DUMMYFUNCTION("filter('Imported Challenges'!B:D,'Imported Challenges'!A:A=A27)"),"For you to be able to look at all the students is very difficult, I understand why some cannot open the camera. It does not have the capacity or technology or structure to open, talk to you. Communication is broken, no matter how much we open it all the t"&amp;"ime, even if Zoom allows it. It is different from everyday life in the classroom because you cannot look at the student and see how he is reacting to that content. Not that you only adapt to one student, but you do not have the personal perception of doub"&amp;"t. Sometimes you can look at the student and say, oh, I think that was not clear to him. It is a challenge.
Because of the remote learning [...] I've been teaching my classes on zoom. And so, uh, that makes it very hard to do hands-on because I can't see"&amp;" the students right. While I'm doing the hands-on. So I can't see the puzzled look on their face and say, okay, I just lost them.
To make the lecture attractive students have to willing to interact. Right. Which is very difficult to do. And of course, uh"&amp;", zoom teaching, uh, makes it a challenge.")</f>
        <v>For you to be able to look at all the students is very difficult, I understand why some cannot open the camera. It does not have the capacity or technology or structure to open, talk to you. Communication is broken, no matter how much we open it all the time, even if Zoom allows it. It is different from everyday life in the classroom because you cannot look at the student and see how he is reacting to that content. Not that you only adapt to one student, but you do not have the personal perception of doubt. Sometimes you can look at the student and say, oh, I think that was not clear to him. It is a challenge.
Because of the remote learning [...] I've been teaching my classes on zoom. And so, uh, that makes it very hard to do hands-on because I can't see the students right. While I'm doing the hands-on. So I can't see the puzzled look on their face and say, okay, I just lost them.
To make the lecture attractive students have to willing to interact. Right. Which is very difficult to do. And of course, uh, zoom teaching, uh, makes it a challenge.</v>
      </c>
      <c r="D27" s="15" t="str">
        <f>IFERROR(__xludf.DUMMYFUNCTION("""COMPUTED_VALUE"""),"Difficulty in monitoring and keeping in touch with all students effectively during remote learning classes.
It's hard to do hands-on on remote learning because the teacher can't see the students face.
It is very difficult to interact with students in le"&amp;"cture remote teaching.")</f>
        <v>Difficulty in monitoring and keeping in touch with all students effectively during remote learning classes.
It's hard to do hands-on on remote learning because the teacher can't see the students face.
It is very difficult to interact with students in lecture remote teaching.</v>
      </c>
      <c r="E27" s="15" t="str">
        <f>IFERROR(__xludf.DUMMYFUNCTION("""COMPUTED_VALUE"""),"Comunications with students is hard when classes are remote.")</f>
        <v>Comunications with students is hard when classes are remote.</v>
      </c>
      <c r="F27" s="9" t="s">
        <v>42</v>
      </c>
      <c r="G27" s="9" t="s">
        <v>43</v>
      </c>
      <c r="H27" s="9"/>
    </row>
    <row r="28">
      <c r="A28" s="13">
        <v>37.0</v>
      </c>
      <c r="B28" s="14" t="s">
        <v>8</v>
      </c>
      <c r="C28" s="15" t="str">
        <f>IFERROR(__xludf.DUMMYFUNCTION("filter('Imported Challenges'!B:D,'Imported Challenges'!A:A=A28)"),"There's still this challenge of understanding these tools, environment, network, configuration, you know? So, I think one challenge brings the other, right? I would say this is a challenge, too.
")</f>
        <v>There's still this challenge of understanding these tools, environment, network, configuration, you know? So, I think one challenge brings the other, right? I would say this is a challenge, too.
</v>
      </c>
      <c r="D28" s="7" t="str">
        <f>IFERROR(__xludf.DUMMYFUNCTION("""COMPUTED_VALUE"""),"Difficulty in understanding environment, tools and network configuration.")</f>
        <v>Difficulty in understanding environment, tools and network configuration.</v>
      </c>
      <c r="E28" s="7"/>
      <c r="F28" s="9" t="s">
        <v>44</v>
      </c>
      <c r="G28" s="9" t="s">
        <v>12</v>
      </c>
      <c r="H28" s="9"/>
    </row>
    <row r="29">
      <c r="A29" s="13">
        <v>39.0</v>
      </c>
      <c r="B29" s="14" t="s">
        <v>8</v>
      </c>
      <c r="C29" s="7" t="str">
        <f>IFERROR(__xludf.DUMMYFUNCTION("filter('Imported Challenges'!B:D,'Imported Challenges'!A:A=A29)"),"This part of the system, which I ask them to do to monitor the discipline, [...] ok, I'll give you a system, will it be an open source system? Me too, you know? Since I can give you a system, let's use a real system that isn't a joke. So, like, I think of"&amp;" a great open souce system there, that has testing, has a shitload of stuff, has continuous integration and has I don't know what, and you can select the test battery that will be used in each corner, You know?
You have to make a business case. It's a lo"&amp;"t harder to do.
The challenge sometimes is finding a good open source application, which is not too big also because you don't want the project to be too big. You don't want it to be too small, but you don't want too big. So, so finding something in betw"&amp;"een, which can be used. And, and, uh, so.
The challenge for us is getting an application, which is interesting [...] you know, like they can use.
The fact that DevOps is not just purely technical, it would be related to the fact that it's really complic"&amp;"ated teach on a given semester because you have, let's say 13 to 15 weeks, three hours a week, and then you have to go through you can't address like large, large project because it doesn't fit in the semester.")</f>
        <v>This part of the system, which I ask them to do to monitor the discipline, [...] ok, I'll give you a system, will it be an open source system? Me too, you know? Since I can give you a system, let's use a real system that isn't a joke. So, like, I think of a great open souce system there, that has testing, has a shitload of stuff, has continuous integration and has I don't know what, and you can select the test battery that will be used in each corner, You know?
You have to make a business case. It's a lot harder to do.
The challenge sometimes is finding a good open source application, which is not too big also because you don't want the project to be too big. You don't want it to be too small, but you don't want too big. So, so finding something in between, which can be used. And, and, uh, so.
The challenge for us is getting an application, which is interesting [...] you know, like they can use.
The fact that DevOps is not just purely technical, it would be related to the fact that it's really complicated teach on a given semester because you have, let's say 13 to 15 weeks, three hours a week, and then you have to go through you can't address like large, large project because it doesn't fit in the semester.</v>
      </c>
      <c r="D29" s="7" t="str">
        <f>IFERROR(__xludf.DUMMYFUNCTION("""COMPUTED_VALUE"""),"Difficulty selecting an example system realistic enough for students to use during the course.
It is hard to do a business case to demonstrate the importance of running devops.
It is difficult to find the right sized open source project to use. It is sh"&amp;"ould be not too small and not too bit.
It is difficult to find an interesting sample application that students use.
Students can't work on large projects in 13 to 15 weeks three hours a week course.")</f>
        <v>Difficulty selecting an example system realistic enough for students to use during the course.
It is hard to do a business case to demonstrate the importance of running devops.
It is difficult to find the right sized open source project to use. It is should be not too small and not too bit.
It is difficult to find an interesting sample application that students use.
Students can't work on large projects in 13 to 15 weeks three hours a week course.</v>
      </c>
      <c r="E29" s="7" t="str">
        <f>IFERROR(__xludf.DUMMYFUNCTION("""COMPUTED_VALUE"""),"It's challeging to find the right sized examples to teach DevOps.")</f>
        <v>It's challeging to find the right sized examples to teach DevOps.</v>
      </c>
      <c r="F29" s="9" t="s">
        <v>45</v>
      </c>
      <c r="G29" s="9" t="s">
        <v>18</v>
      </c>
      <c r="H29" s="9"/>
    </row>
    <row r="30">
      <c r="A30" s="13">
        <v>40.0</v>
      </c>
      <c r="B30" s="14" t="s">
        <v>8</v>
      </c>
      <c r="C30" s="7" t="str">
        <f>IFERROR(__xludf.DUMMYFUNCTION("filter('Imported Challenges'!B:D,'Imported Challenges'!A:A=A30)"),"So, because then, if I make this system, I can pass it on to people in a much simpler way, right? How do they do things and such, but then we also know that there are challenges, right? Wow, this is not that simple, will I have time to do it, right?
Ther"&amp;"e is no time for, for example, structuring complex environments [...] I know it is not the reality in the market, very few companies I had contact that set up their environment from scratch on the nail, in a set of internal servers.")</f>
        <v>So, because then, if I make this system, I can pass it on to people in a much simpler way, right? How do they do things and such, but then we also know that there are challenges, right? Wow, this is not that simple, will I have time to do it, right?
There is no time for, for example, structuring complex environments [...] I know it is not the reality in the market, very few companies I had contact that set up their environment from scratch on the nail, in a set of internal servers.</v>
      </c>
      <c r="D30" s="7" t="str">
        <f>IFERROR(__xludf.DUMMYFUNCTION("""COMPUTED_VALUE"""),"Lack of time for teachers to develop a ready-made and well-crafted example system.
Lack of time to structure more complex environments with students.")</f>
        <v>Lack of time for teachers to develop a ready-made and well-crafted example system.
Lack of time to structure more complex environments with students.</v>
      </c>
      <c r="E30" s="7" t="str">
        <f>IFERROR(__xludf.DUMMYFUNCTION("""COMPUTED_VALUE"""),"Lack of time to prepare classes to teach DevOps.")</f>
        <v>Lack of time to prepare classes to teach DevOps.</v>
      </c>
      <c r="F30" s="9" t="s">
        <v>46</v>
      </c>
      <c r="G30" s="9" t="s">
        <v>24</v>
      </c>
      <c r="H30" s="9"/>
    </row>
    <row r="31">
      <c r="A31" s="13">
        <v>42.0</v>
      </c>
      <c r="B31" s="14" t="s">
        <v>8</v>
      </c>
      <c r="C31" s="7" t="str">
        <f>IFERROR(__xludf.DUMMYFUNCTION("filter('Imported Challenges'!B:D,'Imported Challenges'!A:A=A31)"),"[...] it turned out that a lot of people did it in [...] different environments [...] for us, teacher, often we are not proficient in all of these.
Yeah, so challenges, um, differences in people's environments, their hardware, for example, every term, yo"&amp;"u know, if I want people to do something locally with, let's say, setting up virtual machines or containers or, or whatever, there's always some buddy who has some strange hardware configuration that causes problems.
We have some students on Mac, some on"&amp;" Linux, some on windows, some have, um, computers that are led by the university. They came up to class with computers, with family version of windows that cannot run Docker because there is no hypervisor in it.
")</f>
        <v>[...] it turned out that a lot of people did it in [...] different environments [...] for us, teacher, often we are not proficient in all of these.
Yeah, so challenges, um, differences in people's environments, their hardware, for example, every term, you know, if I want people to do something locally with, let's say, setting up virtual machines or containers or, or whatever, there's always some buddy who has some strange hardware configuration that causes problems.
We have some students on Mac, some on Linux, some on windows, some have, um, computers that are led by the university. They came up to class with computers, with family version of windows that cannot run Docker because there is no hypervisor in it.
</v>
      </c>
      <c r="D31" s="7" t="str">
        <f>IFERROR(__xludf.DUMMYFUNCTION("""COMPUTED_VALUE"""),"Difficulty supporting the use of several different tools and environments at the same time.
Differences in people's environments and their hardware configuration cause problems.
Different types of OSs can difficult the flow of environment setup.")</f>
        <v>Difficulty supporting the use of several different tools and environments at the same time.
Differences in people's environments and their hardware configuration cause problems.
Different types of OSs can difficult the flow of environment setup.</v>
      </c>
      <c r="E31" s="7" t="str">
        <f>IFERROR(__xludf.DUMMYFUNCTION("""COMPUTED_VALUE"""),"It's difficult to deal with different hardware and software.")</f>
        <v>It's difficult to deal with different hardware and software.</v>
      </c>
      <c r="F31" s="9" t="s">
        <v>47</v>
      </c>
      <c r="G31" s="9" t="s">
        <v>18</v>
      </c>
      <c r="H31" s="9"/>
    </row>
    <row r="32">
      <c r="A32" s="13">
        <v>43.0</v>
      </c>
      <c r="B32" s="14" t="s">
        <v>8</v>
      </c>
      <c r="C32" s="15" t="str">
        <f>IFERROR(__xludf.DUMMYFUNCTION("filter('Imported Challenges'!B:D,'Imported Challenges'!A:A=A32)"),"Then the boy will go in a week, he will only have his entire environment set up, right? But, this creates challenges too, right? That it will be difficult to do this and such.
We had to work to do on the labs. ...  the assistant I had two for the labs wa"&amp;"s too busy with too many things.
That's really complicated as, um, like as a teacher, uh, then we decided to move for on premises, uh, version with our own, uh, systems for deployment building and everything, uh, another disaster, because then it require"&amp;"s a lot of maintenance and a lot of them, of course, or the students are going to work like in the two days before the room, the, um, the delivery of the project.")</f>
        <v>Then the boy will go in a week, he will only have his entire environment set up, right? But, this creates challenges too, right? That it will be difficult to do this and such.
We had to work to do on the labs. ...  the assistant I had two for the labs was too busy with too many things.
That's really complicated as, um, like as a teacher, uh, then we decided to move for on premises, uh, version with our own, uh, systems for deployment building and everything, uh, another disaster, because then it requires a lot of maintenance and a lot of them, of course, or the students are going to work like in the two days before the room, the, um, the delivery of the project.</v>
      </c>
      <c r="D32" s="15" t="str">
        <f>IFERROR(__xludf.DUMMYFUNCTION("""COMPUTED_VALUE"""),"A lot of time preparing the initial environment setup of students.
Lots of work to setup the labs even if you have teacher assistants.
On premises systems for deployment everything is complicated because it requires a lot of maintenance and time.")</f>
        <v>A lot of time preparing the initial environment setup of students.
Lots of work to setup the labs even if you have teacher assistants.
On premises systems for deployment everything is complicated because it requires a lot of maintenance and time.</v>
      </c>
      <c r="E32" s="15" t="str">
        <f>IFERROR(__xludf.DUMMYFUNCTION("""COMPUTED_VALUE"""),"Prepare the labs environment requires a lot of time.")</f>
        <v>Prepare the labs environment requires a lot of time.</v>
      </c>
      <c r="F32" s="9" t="s">
        <v>48</v>
      </c>
      <c r="G32" s="9" t="s">
        <v>24</v>
      </c>
      <c r="H32" s="10"/>
    </row>
    <row r="33">
      <c r="A33" s="13">
        <v>45.0</v>
      </c>
      <c r="B33" s="14" t="s">
        <v>8</v>
      </c>
      <c r="C33" s="7" t="str">
        <f>IFERROR(__xludf.DUMMYFUNCTION("filter('Imported Challenges'!B:D,'Imported Challenges'!A:A=A33)"),"Because you take so many different things that I feel a bit sorry, in quotes, to pass everything on to the students. ... So, I think it's a difficulty, from the point of view, like, the pedagogical type of setting up the classes and such. It would be that"&amp;", the condensation of everything, let's say, the centralization of the material in what you produced, right?
I use a couple of books, um, and, uh, as I said, to to be able to own, um, they cover many different topics. And so I tried to use one over, two "&amp;"picks in it. [...] I still think that, uh, the idea scenario would have been able, will have been, to be able to do a situation where I can take several topics in the book and then cover them from the beginning to them. But, uh, I haven't been able to fin"&amp;"d that possible yet.")</f>
        <v>Because you take so many different things that I feel a bit sorry, in quotes, to pass everything on to the students. ... So, I think it's a difficulty, from the point of view, like, the pedagogical type of setting up the classes and such. It would be that, the condensation of everything, let's say, the centralization of the material in what you produced, right?
I use a couple of books, um, and, uh, as I said, to to be able to own, um, they cover many different topics. And so I tried to use one over, two picks in it. [...] I still think that, uh, the idea scenario would have been able, will have been, to be able to do a situation where I can take several topics in the book and then cover them from the beginning to them. But, uh, I haven't been able to find that possible yet.</v>
      </c>
      <c r="D33" s="7" t="str">
        <f>IFERROR(__xludf.DUMMYFUNCTION("""COMPUTED_VALUE"""),"Difficulty in resuming sufficient and suitable material for class lessons.
It is necessary to use multiple books because they do not cover all concepts.")</f>
        <v>Difficulty in resuming sufficient and suitable material for class lessons.
It is necessary to use multiple books because they do not cover all concepts.</v>
      </c>
      <c r="E33" s="7" t="str">
        <f>IFERROR(__xludf.DUMMYFUNCTION("""COMPUTED_VALUE"""),"Difficulty in using multiple materials to create the classes.")</f>
        <v>Difficulty in using multiple materials to create the classes.</v>
      </c>
      <c r="F33" s="9" t="s">
        <v>49</v>
      </c>
      <c r="G33" s="9" t="s">
        <v>24</v>
      </c>
      <c r="H33" s="9"/>
    </row>
    <row r="34">
      <c r="A34" s="13">
        <v>46.0</v>
      </c>
      <c r="B34" s="14" t="s">
        <v>8</v>
      </c>
      <c r="C34" s="7" t="str">
        <f>IFERROR(__xludf.DUMMYFUNCTION("filter('Imported Challenges'!B:D,'Imported Challenges'!A:A=A34)"),"And sometimes you took a little bit of such a thing, right? Not all that text was relevant, you know? So, your material ends up becoming the only source, let's put it that way. For students, I've already figured that out, like, you know? People studied an"&amp;"d such, they went a lot for the material I prepared. When the material I was preparing was, let's say, it was a set of slides, right? Which doesn't serve that much, from the point of view, right, from having a more in-depth reading and such. So, I think i"&amp;"t's a difficulty, from the point of view, like, the pedagogical type of setting up the classes and such.
There are concepts of collaboration, communication, organization that are a little subjective, right? So, it's a little harder for you to evaluate.
S"&amp;"o, all this traceability of what was done to what they are going to do, was the very difficult part [...] So, you can't think about doing a theoretical thing, you have to have practice, you can't just to be just practical exercises, it has to have a whole"&amp;" journey, a well-established train of thought. It was quite tricky to get to that topic.
 So part one is the three ways, just give you an overview of the, each of the three way. And then you have one part essentially for each of the three ways. And I thi"&amp;"nk that the first two parts of the book you can find online, but, but not, not as a, someone who puts it in PDF, but from the publisher, from, from revolution, publisher and official version. So you can read it from the way.")</f>
        <v>And sometimes you took a little bit of such a thing, right? Not all that text was relevant, you know? So, your material ends up becoming the only source, let's put it that way. For students, I've already figured that out, like, you know? People studied and such, they went a lot for the material I prepared. When the material I was preparing was, let's say, it was a set of slides, right? Which doesn't serve that much, from the point of view, right, from having a more in-depth reading and such. So, I think it's a difficulty, from the point of view, like, the pedagogical type of setting up the classes and such.
There are concepts of collaboration, communication, organization that are a little subjective, right? So, it's a little harder for you to evaluate.
So, all this traceability of what was done to what they are going to do, was the very difficult part [...] So, you can't think about doing a theoretical thing, you have to have practice, you can't just to be just practical exercises, it has to have a whole journey, a well-established train of thought. It was quite tricky to get to that topic.
 So part one is the three ways, just give you an overview of the, each of the three way. And then you have one part essentially for each of the three ways. And I think that the first two parts of the book you can find online, but, but not, not as a, someone who puts it in PDF, but from the publisher, from, from revolution, publisher and official version. So you can read it from the way.</v>
      </c>
      <c r="D34" s="7" t="str">
        <f>IFERROR(__xludf.DUMMYFUNCTION("""COMPUTED_VALUE"""),"Students rely heavily on the teacher's slide material, which is often limited.
The students don't read the suggested book even if you strongly encourage them.
Students tend to get short free versions and not full versions of books.")</f>
        <v>Students rely heavily on the teacher's slide material, which is often limited.
The students don't read the suggested book even if you strongly encourage them.
Students tend to get short free versions and not full versions of books.</v>
      </c>
      <c r="E34" s="7" t="str">
        <f>IFERROR(__xludf.DUMMYFUNCTION("""COMPUTED_VALUE"""),"Students rely on limited material instead of reading books.")</f>
        <v>Students rely on limited material instead of reading books.</v>
      </c>
      <c r="F34" s="9" t="s">
        <v>50</v>
      </c>
      <c r="G34" s="10" t="s">
        <v>27</v>
      </c>
      <c r="H34" s="10"/>
    </row>
    <row r="35">
      <c r="A35" s="13">
        <v>48.0</v>
      </c>
      <c r="B35" s="14" t="s">
        <v>8</v>
      </c>
      <c r="C35" s="7" t="str">
        <f>IFERROR(__xludf.DUMMYFUNCTION("filter('Imported Challenges'!B:D,'Imported Challenges'!A:A=A35)"),"There are concepts of collaboration, communication, organization that are a little subjective, right? So, it's a little harder for you to evaluate.
The teaching plan, where I am going to start, where I am going to go, what is next. So, structuring this s"&amp;"equence of subjects to be covered, of how you are going to connect the subjects, which is the hardest part.")</f>
        <v>There are concepts of collaboration, communication, organization that are a little subjective, right? So, it's a little harder for you to evaluate.
The teaching plan, where I am going to start, where I am going to go, what is next. So, structuring this sequence of subjects to be covered, of how you are going to connect the subjects, which is the hardest part.</v>
      </c>
      <c r="D35" s="7" t="str">
        <f>IFERROR(__xludf.DUMMYFUNCTION("""COMPUTED_VALUE"""),"Difficulty in structuring the learning journey.
Difficulty to create a teaching plan, especially connecting the covered subjects.")</f>
        <v>Difficulty in structuring the learning journey.
Difficulty to create a teaching plan, especially connecting the covered subjects.</v>
      </c>
      <c r="E35" s="7" t="str">
        <f>IFERROR(__xludf.DUMMYFUNCTION("""COMPUTED_VALUE"""),"Difficulty in structuring the learning journey.")</f>
        <v>Difficulty in structuring the learning journey.</v>
      </c>
      <c r="F35" s="9" t="s">
        <v>51</v>
      </c>
      <c r="G35" s="9" t="s">
        <v>24</v>
      </c>
      <c r="H35" s="10"/>
    </row>
    <row r="36">
      <c r="A36" s="13">
        <v>49.0</v>
      </c>
      <c r="B36" s="14" t="s">
        <v>8</v>
      </c>
      <c r="C36" s="7" t="str">
        <f>IFERROR(__xludf.DUMMYFUNCTION("filter('Imported Challenges'!B:D,'Imported Challenges'!A:A=A36)"),"team of monitors [...] If you don't have it, it gets heavier, it's more difficult, you alone evaluate. Take a class with forty students, even if you divide it into teams, it's a lot for you to evaluate.")</f>
        <v>team of monitors [...] If you don't have it, it gets heavier, it's more difficult, you alone evaluate. Take a class with forty students, even if you divide it into teams, it's a lot for you to evaluate.</v>
      </c>
      <c r="D36" s="7" t="str">
        <f>IFERROR(__xludf.DUMMYFUNCTION("""COMPUTED_VALUE"""),"Large class assessment requires great effort.")</f>
        <v>Large class assessment requires great effort.</v>
      </c>
      <c r="E36" s="7"/>
      <c r="F36" s="9" t="s">
        <v>52</v>
      </c>
      <c r="G36" s="9" t="s">
        <v>29</v>
      </c>
      <c r="H36" s="9"/>
    </row>
    <row r="37">
      <c r="A37" s="13">
        <v>51.0</v>
      </c>
      <c r="B37" s="14" t="s">
        <v>8</v>
      </c>
      <c r="C37" s="15" t="str">
        <f>IFERROR(__xludf.DUMMYFUNCTION("filter('Imported Challenges'!B:D,'Imported Challenges'!A:A=A37)"),"This teaching plan is not and should not be completed, right? He doesn't have it, he's never ready. ... Things change too fast, the focus changes too fast.")</f>
        <v>This teaching plan is not and should not be completed, right? He doesn't have it, he's never ready. ... Things change too fast, the focus changes too fast.</v>
      </c>
      <c r="D37" s="15" t="str">
        <f>IFERROR(__xludf.DUMMYFUNCTION("""COMPUTED_VALUE"""),"Rapid and constant changes in DevOps make it difficult to create a teaching plan.")</f>
        <v>Rapid and constant changes in DevOps make it difficult to create a teaching plan.</v>
      </c>
      <c r="E37" s="15"/>
      <c r="F37" s="9" t="s">
        <v>53</v>
      </c>
      <c r="G37" s="9" t="s">
        <v>10</v>
      </c>
      <c r="H37" s="9"/>
    </row>
    <row r="38">
      <c r="A38" s="13">
        <v>52.0</v>
      </c>
      <c r="B38" s="14" t="s">
        <v>8</v>
      </c>
      <c r="C38" s="15" t="str">
        <f>IFERROR(__xludf.DUMMYFUNCTION("filter('Imported Challenges'!B:D,'Imported Challenges'!A:A=A38)"),"""DevOps ends up forcing you to tap into a lot of other universes, right? Especially if you go into project as an evaluation method. So, that's another big challenge, you keep an eye out for what's going on, which can be correlated and which you can bring"&amp;" as an open scope to be worked also in the discipline, with this type of direction. Which in my case, comes AI student, Bank student, Software Engineering student, pay for the post, and that then you can't just stay in the context of developing software, "&amp;"delivering software on DevOps, right? There's a whole other context of things related, for example, to operation, infrastructure analysis, learning, prediction, and so on.")</f>
        <v>"DevOps ends up forcing you to tap into a lot of other universes, right? Especially if you go into project as an evaluation method. So, that's another big challenge, you keep an eye out for what's going on, which can be correlated and which you can bring as an open scope to be worked also in the discipline, with this type of direction. Which in my case, comes AI student, Bank student, Software Engineering student, pay for the post, and that then you can't just stay in the context of developing software, delivering software on DevOps, right? There's a whole other context of things related, for example, to operation, infrastructure analysis, learning, prediction, and so on.</v>
      </c>
      <c r="D38" s="15" t="str">
        <f>IFERROR(__xludf.DUMMYFUNCTION("""COMPUTED_VALUE"""),"Difficulty in linking DevOps classes with other subjects of interest to students.")</f>
        <v>Difficulty in linking DevOps classes with other subjects of interest to students.</v>
      </c>
      <c r="E38" s="15"/>
      <c r="F38" s="9" t="s">
        <v>54</v>
      </c>
      <c r="G38" s="9" t="s">
        <v>16</v>
      </c>
      <c r="H38" s="9"/>
    </row>
    <row r="39">
      <c r="A39" s="16">
        <v>53.0</v>
      </c>
      <c r="B39" s="17" t="s">
        <v>8</v>
      </c>
      <c r="C39" s="15" t="str">
        <f>IFERROR(__xludf.DUMMYFUNCTION("filter('Imported Challenges'!B:D,'Imported Challenges'!A:A=A39)"),"There are several environments in the cloud, but they all cost money.")</f>
        <v>There are several environments in the cloud, but they all cost money.</v>
      </c>
      <c r="D39" s="15" t="str">
        <f>IFERROR(__xludf.DUMMYFUNCTION("""COMPUTED_VALUE"""),"Environment set up in a cloud service cost money.")</f>
        <v>Environment set up in a cloud service cost money.</v>
      </c>
      <c r="E39" s="15"/>
      <c r="F39" s="9" t="s">
        <v>55</v>
      </c>
      <c r="G39" s="9" t="s">
        <v>12</v>
      </c>
      <c r="H39" s="9"/>
    </row>
    <row r="40">
      <c r="A40" s="16">
        <v>54.0</v>
      </c>
      <c r="B40" s="17" t="s">
        <v>8</v>
      </c>
      <c r="C40" s="15" t="str">
        <f>IFERROR(__xludf.DUMMYFUNCTION("filter('Imported Challenges'!B:D,'Imported Challenges'!A:A=A40)")," However, last semester eight of my students showed up with apple, M one Silicon Macs and they don't run VirtualBox because VirtualBox only runs on Intel. It's not an emulator. It is a virtualizing layer, right? It needs an Intel CPU in order to virtualiz"&amp;"e. Um, and so I had to change the class for them to use Docker and VirtualBox. ")</f>
        <v> However, last semester eight of my students showed up with apple, M one Silicon Macs and they don't run VirtualBox because VirtualBox only runs on Intel. It's not an emulator. It is a virtualizing layer, right? It needs an Intel CPU in order to virtualize. Um, and so I had to change the class for them to use Docker and VirtualBox. </v>
      </c>
      <c r="D40" s="15" t="str">
        <f>IFERROR(__xludf.DUMMYFUNCTION("""COMPUTED_VALUE"""),"VirtualBox has limitation in MacOS.")</f>
        <v>VirtualBox has limitation in MacOS.</v>
      </c>
      <c r="E40" s="15"/>
      <c r="F40" s="9" t="s">
        <v>56</v>
      </c>
      <c r="G40" s="9" t="s">
        <v>18</v>
      </c>
      <c r="H40" s="9"/>
    </row>
    <row r="41">
      <c r="A41" s="16">
        <v>56.0</v>
      </c>
      <c r="B41" s="17" t="s">
        <v>8</v>
      </c>
      <c r="C41" s="15" t="str">
        <f>IFERROR(__xludf.DUMMYFUNCTION("filter('Imported Challenges'!B:D,'Imported Challenges'!A:A=A41)"),"A big challenge is students learning to be, um, to be agile working as a team pair programming. 
Lot of those concepts are hard to teach in a classroom setting.
That's kind of challenging getting them to be agile, getting them to think agile, get into t"&amp;"hink minimum viable product, right.
How do you work in sprints? ")</f>
        <v>A big challenge is students learning to be, um, to be agile working as a team pair programming. 
Lot of those concepts are hard to teach in a classroom setting.
That's kind of challenging getting them to be agile, getting them to think agile, get into think minimum viable product, right.
How do you work in sprints? </v>
      </c>
      <c r="D41" s="15" t="str">
        <f>IFERROR(__xludf.DUMMYFUNCTION("""COMPUTED_VALUE"""),"It is difficult to students learning agile techniques like pair programming.
A lot of agile concepts are hard to teach in a classroom setting.
It's challenging the students to be and to think agile into mininum viable product.
It is difficult how to or"&amp;"ganize each sprint.")</f>
        <v>It is difficult to students learning agile techniques like pair programming.
A lot of agile concepts are hard to teach in a classroom setting.
It's challenging the students to be and to think agile into mininum viable product.
It is difficult how to organize each sprint.</v>
      </c>
      <c r="E41" s="15" t="str">
        <f>IFERROR(__xludf.DUMMYFUNCTION("""COMPUTED_VALUE"""),"It is difficult to teach agile techniques.")</f>
        <v>It is difficult to teach agile techniques.</v>
      </c>
      <c r="F41" s="9" t="s">
        <v>57</v>
      </c>
      <c r="G41" s="9" t="s">
        <v>16</v>
      </c>
      <c r="H41" s="9"/>
    </row>
    <row r="42">
      <c r="A42" s="16">
        <v>57.0</v>
      </c>
      <c r="B42" s="17" t="s">
        <v>8</v>
      </c>
      <c r="C42" s="15" t="str">
        <f>IFERROR(__xludf.DUMMYFUNCTION("filter('Imported Challenges'!B:D,'Imported Challenges'!A:A=A42)"),"Are they following the process? Not, did they get the work done in the end? That's not the important part is did they learn the process and follow it? And did they learn from it? So that's, it's kind of challenging.")</f>
        <v>Are they following the process? Not, did they get the work done in the end? That's not the important part is did they learn the process and follow it? And did they learn from it? So that's, it's kind of challenging.</v>
      </c>
      <c r="D42" s="15" t="str">
        <f>IFERROR(__xludf.DUMMYFUNCTION("""COMPUTED_VALUE"""),"It is challeging to verify if the students learn the devops process of working.")</f>
        <v>It is challeging to verify if the students learn the devops process of working.</v>
      </c>
      <c r="E42" s="15"/>
      <c r="F42" s="9" t="s">
        <v>58</v>
      </c>
      <c r="G42" s="9" t="s">
        <v>29</v>
      </c>
      <c r="H42" s="10"/>
    </row>
    <row r="43">
      <c r="A43" s="16">
        <v>59.0</v>
      </c>
      <c r="B43" s="17" t="s">
        <v>8</v>
      </c>
      <c r="C43" s="15" t="str">
        <f>IFERROR(__xludf.DUMMYFUNCTION("filter('Imported Challenges'!B:D,'Imported Challenges'!A:A=A43)"),"You have a clean compile, you've tested your code and it meets the functional requirements. And that's the end of the story. But as we know, you know, even from software development,[...] it doesn't end once the software is built and once it's passed test"&amp;"ing, then it goes into this entire operational stage. We tend to ignore it. And I don't think we ignore it deliberately. We ignore it because it's hard")</f>
        <v>You have a clean compile, you've tested your code and it meets the functional requirements. And that's the end of the story. But as we know, you know, even from software development,[...] it doesn't end once the software is built and once it's passed testing, then it goes into this entire operational stage. We tend to ignore it. And I don't think we ignore it deliberately. We ignore it because it's hard</v>
      </c>
      <c r="D43" s="15" t="str">
        <f>IFERROR(__xludf.DUMMYFUNCTION("""COMPUTED_VALUE"""),"Teach operational activities is ignored because it is hard.")</f>
        <v>Teach operational activities is ignored because it is hard.</v>
      </c>
      <c r="E43" s="15"/>
      <c r="F43" s="9" t="s">
        <v>59</v>
      </c>
      <c r="G43" s="9" t="s">
        <v>12</v>
      </c>
      <c r="H43" s="9"/>
    </row>
    <row r="44">
      <c r="A44" s="16">
        <v>60.0</v>
      </c>
      <c r="B44" s="17" t="s">
        <v>8</v>
      </c>
      <c r="C44" s="15" t="str">
        <f>IFERROR(__xludf.DUMMYFUNCTION("filter('Imported Challenges'!B:D,'Imported Challenges'!A:A=A44)"),"That is a lot of the devops principles that come into play. ")</f>
        <v>That is a lot of the devops principles that come into play. </v>
      </c>
      <c r="D44" s="15" t="str">
        <f>IFERROR(__xludf.DUMMYFUNCTION("""COMPUTED_VALUE"""),"Many devops concepts need to be taught.")</f>
        <v>Many devops concepts need to be taught.</v>
      </c>
      <c r="E44" s="15"/>
      <c r="F44" s="9" t="s">
        <v>60</v>
      </c>
      <c r="G44" s="9" t="s">
        <v>16</v>
      </c>
      <c r="H44" s="9"/>
    </row>
    <row r="45">
      <c r="A45" s="16">
        <v>62.0</v>
      </c>
      <c r="B45" s="17" t="s">
        <v>8</v>
      </c>
      <c r="C45" s="15" t="str">
        <f>IFERROR(__xludf.DUMMYFUNCTION("filter('Imported Challenges'!B:D,'Imported Challenges'!A:A=A45)"),"A lot of the folks who are attending the course are not at a level in the organization where they can actually affect culture [...] they are usually technologists and so they can very easily understand how they can affect things like technology decisions "&amp;"and the application of technology. But many of them are not, let's say at manager or director or senior director VP levels or things like that will, they can actually affect more senior levels of challenge there.")</f>
        <v>A lot of the folks who are attending the course are not at a level in the organization where they can actually affect culture [...] they are usually technologists and so they can very easily understand how they can affect things like technology decisions and the application of technology. But many of them are not, let's say at manager or director or senior director VP levels or things like that will, they can actually affect more senior levels of challenge there.</v>
      </c>
      <c r="D45" s="15" t="str">
        <f>IFERROR(__xludf.DUMMYFUNCTION("""COMPUTED_VALUE"""),"Students are not at a level in the their companies where they can introduce DevOps mindset.")</f>
        <v>Students are not at a level in the their companies where they can introduce DevOps mindset.</v>
      </c>
      <c r="E45" s="15"/>
      <c r="F45" s="9" t="s">
        <v>61</v>
      </c>
      <c r="G45" s="9" t="s">
        <v>62</v>
      </c>
      <c r="H45" s="9"/>
    </row>
    <row r="46">
      <c r="A46" s="16">
        <v>63.0</v>
      </c>
      <c r="B46" s="17" t="s">
        <v>8</v>
      </c>
      <c r="C46" s="15" t="str">
        <f>IFERROR(__xludf.DUMMYFUNCTION("filter('Imported Challenges'!B:D,'Imported Challenges'!A:A=A46)"),"It can be a little harder garner garnering some of that same thing from, from industry, you know, unless you happen to find reasonably wit reasonably written, uh, white papers or, or things along those lines.")</f>
        <v>It can be a little harder garner garnering some of that same thing from, from industry, you know, unless you happen to find reasonably wit reasonably written, uh, white papers or, or things along those lines.</v>
      </c>
      <c r="D46" s="15" t="str">
        <f>IFERROR(__xludf.DUMMYFUNCTION("""COMPUTED_VALUE"""),"It is hard to find strategies from industry unless if it written in a paper.")</f>
        <v>It is hard to find strategies from industry unless if it written in a paper.</v>
      </c>
      <c r="E46" s="15"/>
      <c r="F46" s="9" t="s">
        <v>63</v>
      </c>
      <c r="G46" s="9" t="s">
        <v>62</v>
      </c>
      <c r="H46" s="9"/>
    </row>
    <row r="47">
      <c r="A47" s="16">
        <v>65.0</v>
      </c>
      <c r="B47" s="17" t="s">
        <v>8</v>
      </c>
      <c r="C47" s="15" t="str">
        <f>IFERROR(__xludf.DUMMYFUNCTION("filter('Imported Challenges'!B:D,'Imported Challenges'!A:A=A47)"),"The challenge of course, is newer students obviously have more than enough to worry about just getting code wrong and compile. Uh, but that's, that's the reality, unfortunately, is the code just doesn't run a compile on a laptop, right? It runs out in pro"&amp;"duction and it's serving real people. And in this day and age, there is, there is stuff that goes with that. And the more folks understand, at least some of the sooner, the better I hope the software will be.")</f>
        <v>The challenge of course, is newer students obviously have more than enough to worry about just getting code wrong and compile. Uh, but that's, that's the reality, unfortunately, is the code just doesn't run a compile on a laptop, right? It runs out in production and it's serving real people. And in this day and age, there is, there is stuff that goes with that. And the more folks understand, at least some of the sooner, the better I hope the software will be.</v>
      </c>
      <c r="D47" s="15" t="str">
        <f>IFERROR(__xludf.DUMMYFUNCTION("""COMPUTED_VALUE"""),"It is difficult for students to understand the importance the software running in production, not just compiling.")</f>
        <v>It is difficult for students to understand the importance the software running in production, not just compiling.</v>
      </c>
      <c r="E47" s="15"/>
      <c r="F47" s="9" t="s">
        <v>64</v>
      </c>
      <c r="G47" s="9" t="s">
        <v>16</v>
      </c>
      <c r="H47" s="9"/>
    </row>
    <row r="48">
      <c r="A48" s="16">
        <v>66.0</v>
      </c>
      <c r="B48" s="17" t="s">
        <v>8</v>
      </c>
      <c r="C48" s="15" t="str">
        <f>IFERROR(__xludf.DUMMYFUNCTION("filter('Imported Challenges'!B:D,'Imported Challenges'!A:A=A48)"),"Human challenges are when you start teaching DevOps, it doesn't look serious.
So one of the challenges regarding the culture, if you want, is that when you tell them that initially they don't believe it. And only when they start doing it, they do believe"&amp;" it. 
Whatever they found it valuable usually, um, after the class is done at the end of the year, they don't always see the value. It's the kind of class where you want them to know this stuff, because once they will be in the industry, they'll need it "&amp;"every day. Um, but they don't know they need it every day. 
An undergrad program, it's also something complicated because it's teaching at the undergrad program might make sense, but then it's other kinds of challenges like younger students who might not"&amp;" be interested in this.")</f>
        <v>Human challenges are when you start teaching DevOps, it doesn't look serious.
So one of the challenges regarding the culture, if you want, is that when you tell them that initially they don't believe it. And only when they start doing it, they do believe it. 
Whatever they found it valuable usually, um, after the class is done at the end of the year, they don't always see the value. It's the kind of class where you want them to know this stuff, because once they will be in the industry, they'll need it every day. Um, but they don't know they need it every day. 
An undergrad program, it's also something complicated because it's teaching at the undergrad program might make sense, but then it's other kinds of challenges like younger students who might not be interested in this.</v>
      </c>
      <c r="D48" s="15" t="str">
        <f>IFERROR(__xludf.DUMMYFUNCTION("""COMPUTED_VALUE"""),"When you start teaching DevOps, it doesn't look relevant.
Students only believe the importance of DevOps mindset when they experiment in the practice.
Students do not know that they will need DevOps concepts at industry every day.
Young undergraduate s"&amp;"tudents can have no interest in DevOps course.")</f>
        <v>When you start teaching DevOps, it doesn't look relevant.
Students only believe the importance of DevOps mindset when they experiment in the practice.
Students do not know that they will need DevOps concepts at industry every day.
Young undergraduate students can have no interest in DevOps course.</v>
      </c>
      <c r="E48" s="15" t="str">
        <f>IFERROR(__xludf.DUMMYFUNCTION("""COMPUTED_VALUE"""),"DevOps course doesn't look relevant for undergratuate students when you start teaching.")</f>
        <v>DevOps course doesn't look relevant for undergratuate students when you start teaching.</v>
      </c>
      <c r="F48" s="9" t="s">
        <v>65</v>
      </c>
      <c r="G48" s="9" t="s">
        <v>66</v>
      </c>
      <c r="H48" s="10"/>
    </row>
    <row r="49">
      <c r="A49" s="16">
        <v>68.0</v>
      </c>
      <c r="B49" s="17" t="s">
        <v>8</v>
      </c>
      <c r="C49" s="15" t="str">
        <f>IFERROR(__xludf.DUMMYFUNCTION("filter('Imported Challenges'!B:D,'Imported Challenges'!A:A=A49)"),"Uh, so that's a practical challenge that when you want to put it in place, and as a teacher, you want to be able to log into all of those machines to see what they're doing.")</f>
        <v>Uh, so that's a practical challenge that when you want to put it in place, and as a teacher, you want to be able to log into all of those machines to see what they're doing.</v>
      </c>
      <c r="D49" s="15" t="str">
        <f>IFERROR(__xludf.DUMMYFUNCTION("""COMPUTED_VALUE"""),"It's hard to supervise students' work when you use a lot of virtual machines.")</f>
        <v>It's hard to supervise students' work when you use a lot of virtual machines.</v>
      </c>
      <c r="E49" s="15"/>
      <c r="F49" s="9" t="s">
        <v>67</v>
      </c>
      <c r="G49" s="9" t="s">
        <v>12</v>
      </c>
      <c r="H49" s="9"/>
    </row>
    <row r="50">
      <c r="A50" s="16">
        <v>69.0</v>
      </c>
      <c r="B50" s="17" t="s">
        <v>8</v>
      </c>
      <c r="C50" s="15" t="str">
        <f>IFERROR(__xludf.DUMMYFUNCTION("filter('Imported Challenges'!B:D,'Imported Challenges'!A:A=A50)"),"It's hard for them to see all the values, layers of source side, real shoes, deployment side. They have a tendency because the students write code clicky works done, right? And it's hard to teach them that no wanting code somewhere.")</f>
        <v>It's hard for them to see all the values, layers of source side, real shoes, deployment side. They have a tendency because the students write code clicky works done, right? And it's hard to teach them that no wanting code somewhere.</v>
      </c>
      <c r="D50" s="15" t="str">
        <f>IFERROR(__xludf.DUMMYFUNCTION("""COMPUTED_VALUE"""),"It's hard for students to see the values of deployment side and they don't want to do operational activities.")</f>
        <v>It's hard for students to see the values of deployment side and they don't want to do operational activities.</v>
      </c>
      <c r="E50" s="15"/>
      <c r="F50" s="9" t="s">
        <v>68</v>
      </c>
      <c r="G50" s="9" t="s">
        <v>12</v>
      </c>
      <c r="H50" s="9"/>
    </row>
    <row r="51">
      <c r="A51" s="16">
        <v>71.0</v>
      </c>
      <c r="B51" s="17" t="s">
        <v>8</v>
      </c>
      <c r="C51" s="15" t="str">
        <f>IFERROR(__xludf.DUMMYFUNCTION("filter('Imported Challenges'!B:D,'Imported Challenges'!A:A=A51)"),"It's mostly the preparation of the exercise that is demanding.
That's one of the challenge that I find in preparing proper courses, finding and implementing an application, creating some issues in it, some bugs in it.")</f>
        <v>It's mostly the preparation of the exercise that is demanding.
That's one of the challenge that I find in preparing proper courses, finding and implementing an application, creating some issues in it, some bugs in it.</v>
      </c>
      <c r="D51" s="15" t="str">
        <f>IFERROR(__xludf.DUMMYFUNCTION("""COMPUTED_VALUE"""),"The preparation of the exercise is demanding.
It is laborious to prepare the exercise that the students will work.")</f>
        <v>The preparation of the exercise is demanding.
It is laborious to prepare the exercise that the students will work.</v>
      </c>
      <c r="E51" s="15" t="str">
        <f>IFERROR(__xludf.DUMMYFUNCTION("""COMPUTED_VALUE"""),"The preparation of the exercise is demanding.")</f>
        <v>The preparation of the exercise is demanding.</v>
      </c>
      <c r="F51" s="9" t="s">
        <v>69</v>
      </c>
      <c r="G51" s="9" t="s">
        <v>24</v>
      </c>
      <c r="H51" s="9"/>
    </row>
    <row r="52">
      <c r="A52" s="16">
        <v>72.0</v>
      </c>
      <c r="B52" s="17" t="s">
        <v>8</v>
      </c>
      <c r="C52" s="15" t="str">
        <f>IFERROR(__xludf.DUMMYFUNCTION("filter('Imported Challenges'!B:D,'Imported Challenges'!A:A=A52)"),"Um, but then the preparation for the class itself was a concept class. That's, I've done that. Um, and then adjust, but it's no more difficult than any other class. It depends what you know, and what you do as a job. Right? And that's part of my job to do"&amp;" it. So I feel comfortable")</f>
        <v>Um, but then the preparation for the class itself was a concept class. That's, I've done that. Um, and then adjust, but it's no more difficult than any other class. It depends what you know, and what you do as a job. Right? And that's part of my job to do it. So I feel comfortable</v>
      </c>
      <c r="D52" s="15" t="str">
        <f>IFERROR(__xludf.DUMMYFUNCTION("""COMPUTED_VALUE"""),"Teach DevOps requires much knowledge from the professor who could not be familiar with it.")</f>
        <v>Teach DevOps requires much knowledge from the professor who could not be familiar with it.</v>
      </c>
      <c r="E52" s="15"/>
      <c r="F52" s="9" t="s">
        <v>70</v>
      </c>
      <c r="G52" s="9" t="s">
        <v>24</v>
      </c>
      <c r="H52" s="9"/>
    </row>
    <row r="53">
      <c r="A53" s="16">
        <v>74.0</v>
      </c>
      <c r="B53" s="17" t="s">
        <v>8</v>
      </c>
      <c r="C53" s="15" t="str">
        <f>IFERROR(__xludf.DUMMYFUNCTION("filter('Imported Challenges'!B:D,'Imported Challenges'!A:A=A53)"),"We show them Kubernetes, um, but they don't really have time to practice on Kubernetes.")</f>
        <v>We show them Kubernetes, um, but they don't really have time to practice on Kubernetes.</v>
      </c>
      <c r="D53" s="15" t="str">
        <f>IFERROR(__xludf.DUMMYFUNCTION("""COMPUTED_VALUE"""),"They don't have time to practice on Kubernetes because it is lot of work.")</f>
        <v>They don't have time to practice on Kubernetes because it is lot of work.</v>
      </c>
      <c r="E53" s="15"/>
      <c r="F53" s="9" t="s">
        <v>71</v>
      </c>
      <c r="G53" s="9" t="s">
        <v>18</v>
      </c>
      <c r="H53" s="9"/>
    </row>
    <row r="54">
      <c r="A54" s="16">
        <v>75.0</v>
      </c>
      <c r="B54" s="17" t="s">
        <v>8</v>
      </c>
      <c r="C54" s="15" t="str">
        <f>IFERROR(__xludf.DUMMYFUNCTION("filter('Imported Challenges'!B:D,'Imported Challenges'!A:A=A54)"),"And as I said, we, students are doing other things. So this means we are limited in what we can ask them.")</f>
        <v>And as I said, we, students are doing other things. So this means we are limited in what we can ask them.</v>
      </c>
      <c r="D54" s="15" t="str">
        <f>IFERROR(__xludf.DUMMYFUNCTION("""COMPUTED_VALUE"""),"There is a limitation of what is appropriate to ask the students because they are doing a lot of other activities.")</f>
        <v>There is a limitation of what is appropriate to ask the students because they are doing a lot of other activities.</v>
      </c>
      <c r="E54" s="15"/>
      <c r="F54" s="9" t="s">
        <v>72</v>
      </c>
      <c r="G54" s="9" t="s">
        <v>73</v>
      </c>
      <c r="H54" s="9"/>
    </row>
    <row r="55">
      <c r="A55" s="16">
        <v>77.0</v>
      </c>
      <c r="B55" s="17"/>
      <c r="C55" s="15" t="str">
        <f>IFERROR(__xludf.DUMMYFUNCTION("filter('Imported Challenges'!B:D,'Imported Challenges'!A:A=A55)"),"The biggest challenge is this, like, what goes in, you know? People do lots of things in the DevOps Pipeline these days, which doesn't necessarily go into a DevOps course, right?
I would say at the end of the fall, or maybe at the beginning of 2019, we s"&amp;"tarted to plan this course. And for the longest time I was really questioning myself. Like, what do you teach in a DevOps course?
Now we're questioning ourselves. What else did we bring in? We may add some things about a bit of telemetry. So they have a "&amp;"bit of telemetry because they have lives, but we put some emphasis on it.")</f>
        <v>The biggest challenge is this, like, what goes in, you know? People do lots of things in the DevOps Pipeline these days, which doesn't necessarily go into a DevOps course, right?
I would say at the end of the fall, or maybe at the beginning of 2019, we started to plan this course. And for the longest time I was really questioning myself. Like, what do you teach in a DevOps course?
Now we're questioning ourselves. What else did we bring in? We may add some things about a bit of telemetry. So they have a bit of telemetry because they have lives, but we put some emphasis on it.</v>
      </c>
      <c r="D55" s="15" t="str">
        <f>IFERROR(__xludf.DUMMYFUNCTION("""COMPUTED_VALUE"""),"There is no convention as to what are the main DevOps concepts that should be taught.
It's difficult to decide what will be taught in a DevOps course.
Hard to decide whether to teach telemetry or not.")</f>
        <v>There is no convention as to what are the main DevOps concepts that should be taught.
It's difficult to decide what will be taught in a DevOps course.
Hard to decide whether to teach telemetry or not.</v>
      </c>
      <c r="E55" s="15" t="str">
        <f>IFERROR(__xludf.DUMMYFUNCTION("""COMPUTED_VALUE"""),"There is no convention as to what are the main DevOps concepts that should be taught.")</f>
        <v>There is no convention as to what are the main DevOps concepts that should be taught.</v>
      </c>
      <c r="F55" s="9" t="s">
        <v>74</v>
      </c>
      <c r="G55" s="9" t="s">
        <v>16</v>
      </c>
      <c r="H55" s="9"/>
    </row>
    <row r="56">
      <c r="A56" s="16">
        <v>78.0</v>
      </c>
      <c r="B56" s="17" t="s">
        <v>8</v>
      </c>
      <c r="C56" s="15" t="str">
        <f>IFERROR(__xludf.DUMMYFUNCTION("filter('Imported Challenges'!B:D,'Imported Challenges'!A:A=A56)"),"The, the overall context will change the process they use will have to change, to adapt, to become better, to, to stay at the top too, you know, they have to, so they have to recognize first that technologies will change, but the foundation, the fundament"&amp;"als will remain,")</f>
        <v>The, the overall context will change the process they use will have to change, to adapt, to become better, to, to stay at the top too, you know, they have to, so they have to recognize first that technologies will change, but the foundation, the fundamentals will remain,</v>
      </c>
      <c r="D56" s="15" t="str">
        <f>IFERROR(__xludf.DUMMYFUNCTION("""COMPUTED_VALUE"""),"It's hard to make clear to students and make them understand the fact that technologies will change with time, but the fundamentals will remain.")</f>
        <v>It's hard to make clear to students and make them understand the fact that technologies will change with time, but the fundamentals will remain.</v>
      </c>
      <c r="E56" s="15"/>
      <c r="F56" s="9" t="s">
        <v>75</v>
      </c>
      <c r="G56" s="9" t="s">
        <v>16</v>
      </c>
      <c r="H56" s="10"/>
    </row>
    <row r="57">
      <c r="A57" s="16">
        <v>80.0</v>
      </c>
      <c r="B57" s="17" t="s">
        <v>8</v>
      </c>
      <c r="C57" s="15" t="str">
        <f>IFERROR(__xludf.DUMMYFUNCTION("filter('Imported Challenges'!B:D,'Imported Challenges'!A:A=A57)"),"So one of the challenge from an environment point of view is to get something that students can relate to.")</f>
        <v>So one of the challenge from an environment point of view is to get something that students can relate to.</v>
      </c>
      <c r="D57" s="15" t="str">
        <f>IFERROR(__xludf.DUMMYFUNCTION("""COMPUTED_VALUE"""),"It's hard to find something students can relate to, from a environment point of view.")</f>
        <v>It's hard to find something students can relate to, from a environment point of view.</v>
      </c>
      <c r="E57" s="15"/>
      <c r="F57" s="9" t="s">
        <v>76</v>
      </c>
      <c r="G57" s="9" t="s">
        <v>12</v>
      </c>
      <c r="H57" s="9"/>
    </row>
    <row r="58">
      <c r="A58" s="16">
        <v>81.0</v>
      </c>
      <c r="B58" s="17" t="s">
        <v>8</v>
      </c>
      <c r="C58" s="15" t="str">
        <f>IFERROR(__xludf.DUMMYFUNCTION("filter('Imported Challenges'!B:D,'Imported Challenges'!A:A=A58)"),"We hear from our industrial partners and from industry in general is there's this HUGE gap right? Between what the industry needs and what university provides.")</f>
        <v>We hear from our industrial partners and from industry in general is there's this HUGE gap right? Between what the industry needs and what university provides.</v>
      </c>
      <c r="D58" s="15" t="str">
        <f>IFERROR(__xludf.DUMMYFUNCTION("""COMPUTED_VALUE"""),"There is a lack between what the industry wants from students about DevOps and what the university teaches.")</f>
        <v>There is a lack between what the industry wants from students about DevOps and what the university teaches.</v>
      </c>
      <c r="E58" s="15"/>
      <c r="F58" s="9" t="s">
        <v>77</v>
      </c>
      <c r="G58" s="9" t="s">
        <v>10</v>
      </c>
      <c r="H58" s="9"/>
    </row>
    <row r="59">
      <c r="A59" s="16">
        <v>83.0</v>
      </c>
      <c r="B59" s="17" t="s">
        <v>8</v>
      </c>
      <c r="C59" s="15" t="str">
        <f>IFERROR(__xludf.DUMMYFUNCTION("filter('Imported Challenges'!B:D,'Imported Challenges'!A:A=A59)"),"Since the students were free to use any technology and present it ...  it was hard to stay as objective as possible and to have, uh, have the same criteria and metric for, uh, scoring different students, because someone was working on this project, someon"&amp;"e was working on that project.")</f>
        <v>Since the students were free to use any technology and present it ...  it was hard to stay as objective as possible and to have, uh, have the same criteria and metric for, uh, scoring different students, because someone was working on this project, someone was working on that project.</v>
      </c>
      <c r="D59" s="15" t="str">
        <f>IFERROR(__xludf.DUMMYFUNCTION("""COMPUTED_VALUE"""),"It was hard to have the same criteria and metric for scoring different students because they were free to use any technology and present it.")</f>
        <v>It was hard to have the same criteria and metric for scoring different students because they were free to use any technology and present it.</v>
      </c>
      <c r="E59" s="15"/>
      <c r="F59" s="9" t="s">
        <v>78</v>
      </c>
      <c r="G59" s="9" t="s">
        <v>29</v>
      </c>
      <c r="H59" s="9"/>
    </row>
    <row r="60">
      <c r="A60" s="16">
        <v>84.0</v>
      </c>
      <c r="B60" s="17" t="s">
        <v>8</v>
      </c>
      <c r="C60" s="15" t="str">
        <f>IFERROR(__xludf.DUMMYFUNCTION("filter('Imported Challenges'!B:D,'Imported Challenges'!A:A=A60)"),"It was a bit risk because if they had contributed to something that, uh, that the developers didn't merge they wouldn't get, uh, get the score.")</f>
        <v>It was a bit risk because if they had contributed to something that, uh, that the developers didn't merge they wouldn't get, uh, get the score.</v>
      </c>
      <c r="D60" s="15" t="str">
        <f>IFERROR(__xludf.DUMMYFUNCTION("""COMPUTED_VALUE"""),"The students wouldn't get the score if they had contributed to some open source project that the developers didn't merge on github.")</f>
        <v>The students wouldn't get the score if they had contributed to some open source project that the developers didn't merge on github.</v>
      </c>
      <c r="E60" s="15"/>
      <c r="F60" s="9" t="s">
        <v>79</v>
      </c>
      <c r="G60" s="9" t="s">
        <v>29</v>
      </c>
      <c r="H60" s="9"/>
    </row>
    <row r="61">
      <c r="A61" s="16">
        <v>86.0</v>
      </c>
      <c r="B61" s="17" t="s">
        <v>8</v>
      </c>
      <c r="C61" s="15" t="str">
        <f>IFERROR(__xludf.DUMMYFUNCTION("filter('Imported Challenges'!B:D,'Imported Challenges'!A:A=A61)"),"We try to use, um, like remote services to relieve the burden of setup saying that, okay, you're going to use Jenkins on the cloud. Then you're going to use, we have this partnership with IBM. So we're using to use the bluemix platform from, uh, IBM that "&amp;"was supporting this kind of thing, um, disaster, because in the end it was really complicated to debug what was happening because you don't have the access go on the what's happening.
I think that that's one of the course that costed me the most in terms"&amp;" of, uh, frustrating time I've spent, uh, debugging lab sessions, ")</f>
        <v>We try to use, um, like remote services to relieve the burden of setup saying that, okay, you're going to use Jenkins on the cloud. Then you're going to use, we have this partnership with IBM. So we're using to use the bluemix platform from, uh, IBM that was supporting this kind of thing, um, disaster, because in the end it was really complicated to debug what was happening because you don't have the access go on the what's happening.
I think that that's one of the course that costed me the most in terms of, uh, frustrating time I've spent, uh, debugging lab sessions, </v>
      </c>
      <c r="D61" s="15" t="str">
        <f>IFERROR(__xludf.DUMMYFUNCTION("""COMPUTED_VALUE"""),"Using remote services is really complicated to debug because you don't have the access on the what's happening.
Debugging lab sessions are frustating.")</f>
        <v>Using remote services is really complicated to debug because you don't have the access on the what's happening.
Debugging lab sessions are frustating.</v>
      </c>
      <c r="E61" s="15" t="str">
        <f>IFERROR(__xludf.DUMMYFUNCTION("""COMPUTED_VALUE"""),"Debugging lab sessions are very difficult.")</f>
        <v>Debugging lab sessions are very difficult.</v>
      </c>
      <c r="F61" s="9" t="s">
        <v>80</v>
      </c>
      <c r="G61" s="9" t="s">
        <v>24</v>
      </c>
      <c r="H61" s="9"/>
    </row>
    <row r="62">
      <c r="A62" s="16">
        <v>87.0</v>
      </c>
      <c r="B62" s="17" t="s">
        <v>8</v>
      </c>
      <c r="C62" s="15" t="str">
        <f>IFERROR(__xludf.DUMMYFUNCTION("filter('Imported Challenges'!B:D,'Imported Challenges'!A:A=A62)"),"Your Bamboo continuous to, uh, integration will just collapse because there's way too much students. My cohorts were 120 students a year. So when you have 120 students who all try to start their pipeline at the very same time, uh, in the last two days, an"&amp;"d it's just a catastrophe and I mean, this thing will always happen.")</f>
        <v>Your Bamboo continuous to, uh, integration will just collapse because there's way too much students. My cohorts were 120 students a year. So when you have 120 students who all try to start their pipeline at the very same time, uh, in the last two days, and it's just a catastrophe and I mean, this thing will always happen.</v>
      </c>
      <c r="D62" s="15" t="str">
        <f>IFERROR(__xludf.DUMMYFUNCTION("""COMPUTED_VALUE"""),"Bamboo continuous integration does not work with 120 students running pipeline at the same time.")</f>
        <v>Bamboo continuous integration does not work with 120 students running pipeline at the same time.</v>
      </c>
      <c r="E62" s="15"/>
      <c r="F62" s="9" t="s">
        <v>81</v>
      </c>
      <c r="G62" s="9" t="s">
        <v>18</v>
      </c>
      <c r="H62" s="9"/>
    </row>
    <row r="63">
      <c r="A63" s="16">
        <v>90.0</v>
      </c>
      <c r="B63" s="17" t="s">
        <v>8</v>
      </c>
      <c r="C63" s="15" t="str">
        <f>IFERROR(__xludf.DUMMYFUNCTION("filter('Imported Challenges'!B:D,'Imported Challenges'!A:A=A63)"),"Like, do you have to go through this course to if you're doing a master or a bachelor in software engineering, is it mandatory to go through DevOps or is it like an option that an optional path that you're following is this kind of, uh, there is no consen"&amp;"sus on, on those kinds of, um, uh, things.")</f>
        <v>Like, do you have to go through this course to if you're doing a master or a bachelor in software engineering, is it mandatory to go through DevOps or is it like an option that an optional path that you're following is this kind of, uh, there is no consensus on, on those kinds of, um, uh, things.</v>
      </c>
      <c r="D63" s="15" t="str">
        <f>IFERROR(__xludf.DUMMYFUNCTION("""COMPUTED_VALUE"""),"There is no consensus if DevOps course should be mandatory or optional.")</f>
        <v>There is no consensus if DevOps course should be mandatory or optional.</v>
      </c>
      <c r="E63" s="15"/>
      <c r="F63" s="9" t="s">
        <v>82</v>
      </c>
      <c r="G63" s="9" t="s">
        <v>10</v>
      </c>
      <c r="H63" s="9"/>
    </row>
  </sheetData>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12.71"/>
    <col customWidth="1" min="2" max="2" width="14.14"/>
    <col customWidth="1" min="3" max="3" width="23.71"/>
    <col customWidth="1" min="4" max="4" width="94.14"/>
    <col customWidth="1" min="5" max="5" width="55.57"/>
    <col customWidth="1" min="6" max="6" width="24.57"/>
    <col customWidth="1" min="7" max="7" width="59.0"/>
    <col customWidth="1" min="8" max="8" width="28.71"/>
  </cols>
  <sheetData>
    <row r="1">
      <c r="A1" s="1" t="s">
        <v>0</v>
      </c>
      <c r="B1" s="2" t="s">
        <v>151</v>
      </c>
      <c r="C1" s="2" t="s">
        <v>1</v>
      </c>
      <c r="D1" s="3" t="s">
        <v>2</v>
      </c>
      <c r="E1" s="4" t="s">
        <v>3</v>
      </c>
      <c r="F1" s="4" t="s">
        <v>4</v>
      </c>
      <c r="G1" s="1" t="s">
        <v>5</v>
      </c>
      <c r="H1" s="1" t="s">
        <v>6</v>
      </c>
    </row>
    <row r="2">
      <c r="A2" s="44">
        <f>IFERROR(__xludf.DUMMYFUNCTION("filter('Recommendation Codes-Check'!A2:F187, 'Recommendation Codes-Check'!A2:A187&lt;&gt;"""")"),1.0)</f>
        <v>1</v>
      </c>
      <c r="B2" s="44" t="str">
        <f>IFERROR(__xludf.DUMMYFUNCTION("""COMPUTED_VALUE"""),"R1 / R3")</f>
        <v>R1 / R3</v>
      </c>
      <c r="C2" s="44" t="str">
        <f>IFERROR(__xludf.DUMMYFUNCTION("""COMPUTED_VALUE"""),"recommendation")</f>
        <v>recommendation</v>
      </c>
      <c r="D2" s="44" t="str">
        <f>IFERROR(__xludf.DUMMYFUNCTION("""COMPUTED_VALUE"""),"Amazon sometimes has some agreements, which I think now that the Federal Institute is doing, that it makes this student accounts available that they could test it for a period.
Most of these tools have free layers, in the case of Cloud providers. All thr"&amp;"ee of the main ones have an education-oriented version, and that is very good. This for the teacher is a very great facilitator.
I recommend [...] Moving all teaching to a cloud. [...] contact AWS. They have a student program, or Google, with Ali Baba, A"&amp;"zure, and IBM Cloud.
There were times when I combined a set of free services to be used, Heroku. I combined some free services to run these things. I already had a partnership to use closed [...] there is Red Hat Academy, right, where you can use OpenShi"&amp;"ft and everything else in the context of the effort you want to make. So, this kind of thing helps a lot.
They have a real experience with respect to Amazon, it's pretty simple, and you can get a free Amazon, you just have to register. ")</f>
        <v>Amazon sometimes has some agreements, which I think now that the Federal Institute is doing, that it makes this student accounts available that they could test it for a period.
Most of these tools have free layers, in the case of Cloud providers. All three of the main ones have an education-oriented version, and that is very good. This for the teacher is a very great facilitator.
I recommend [...] Moving all teaching to a cloud. [...] contact AWS. They have a student program, or Google, with Ali Baba, Azure, and IBM Cloud.
There were times when I combined a set of free services to be used, Heroku. I combined some free services to run these things. I already had a partnership to use closed [...] there is Red Hat Academy, right, where you can use OpenShift and everything else in the context of the effort you want to make. So, this kind of thing helps a lot.
They have a real experience with respect to Amazon, it's pretty simple, and you can get a free Amazon, you just have to register. </v>
      </c>
      <c r="E2" s="44" t="str">
        <f>IFERROR(__xludf.DUMMYFUNCTION("""COMPUTED_VALUE"""),"Cloud service companies such as AWS, through a contract with an educational institution, can provide the computing resource for the student's use.
All three main cloud providers have an education-oriented version.
Use student program cloud services like"&amp;" AWS, Google, Azure or IBM Cloud to eliminate hardware and network limitation for students.
Use private cloud services through academia-industry partnerships such as Red Hat Academy.
Amazon cloud provider has a free plan helpful to students.")</f>
        <v>Cloud service companies such as AWS, through a contract with an educational institution, can provide the computing resource for the student's use.
All three main cloud providers have an education-oriented version.
Use student program cloud services like AWS, Google, Azure or IBM Cloud to eliminate hardware and network limitation for students.
Use private cloud services through academia-industry partnerships such as Red Hat Academy.
Amazon cloud provider has a free plan helpful to students.</v>
      </c>
      <c r="F2" s="44" t="str">
        <f>IFERROR(__xludf.DUMMYFUNCTION("""COMPUTED_VALUE"""),"Use cloud provider services with students plans.")</f>
        <v>Use cloud provider services with students plans.</v>
      </c>
      <c r="G2" s="45" t="str">
        <f>if(codigoRDivergenteJuiz = "first",codigoRDivergenteCodigo1,if (codigoRDivergenteJuiz = "second",codigoRDivergenteCodigo2, if (codigoRDivergenteCodigo1 = "", codigoRDivergenteCodigo2, codigoRDivergenteCodigo1)))</f>
        <v>agreement between educational institution and internet cloud services</v>
      </c>
      <c r="H2" s="45" t="str">
        <f>if(codigoRDivergenteJuiz = "first",codigoRDivergenteTema1,if (codigoRDivergenteJuiz = "second",codigoRDivergenteTema2, if (codigoRDivergenteCodigo1 = "", codigoRDivergenteTema2, codigoRDivergenteTema1)))</f>
        <v>tool / technology</v>
      </c>
    </row>
    <row r="3" ht="69.75" customHeight="1">
      <c r="A3" s="44">
        <f>IFERROR(__xludf.DUMMYFUNCTION("""COMPUTED_VALUE"""),2.0)</f>
        <v>2</v>
      </c>
      <c r="B3" s="44" t="str">
        <f>IFERROR(__xludf.DUMMYFUNCTION("""COMPUTED_VALUE"""),"R1 / R3")</f>
        <v>R1 / R3</v>
      </c>
      <c r="C3" s="44" t="str">
        <f>IFERROR(__xludf.DUMMYFUNCTION("""COMPUTED_VALUE"""),"recommendation")</f>
        <v>recommendation</v>
      </c>
      <c r="D3" s="44" t="str">
        <f>IFERROR(__xludf.DUMMYFUNCTION("""COMPUTED_VALUE"""),"Set up scenarios that they can run on their computer.
Sometimes give up certain things you would like to teach [...] to the detriment of the student not having the ability to perform.
Solutions that the student can run on his computer. [...] adapt to so"&amp;"mething perhaps with less computational demand.")</f>
        <v>Set up scenarios that they can run on their computer.
Sometimes give up certain things you would like to teach [...] to the detriment of the student not having the ability to perform.
Solutions that the student can run on his computer. [...] adapt to something perhaps with less computational demand.</v>
      </c>
      <c r="E3" s="44" t="str">
        <f>IFERROR(__xludf.DUMMYFUNCTION("""COMPUTED_VALUE"""),"Build scenarios that students can run on their own computer.
Give up teaching content that the student cannot run on their machine.
Take advantage of the student's own computational resource and adapt to something that requires less computational demand"&amp;".")</f>
        <v>Build scenarios that students can run on their own computer.
Give up teaching content that the student cannot run on their machine.
Take advantage of the student's own computational resource and adapt to something that requires less computational demand.</v>
      </c>
      <c r="F3" s="44" t="str">
        <f>IFERROR(__xludf.DUMMYFUNCTION("""COMPUTED_VALUE"""),"Build scenarios that students can run on their own computer.")</f>
        <v>Build scenarios that students can run on their own computer.</v>
      </c>
      <c r="G3" s="45" t="str">
        <f>if(codigoRDivergenteJuiz = "first",codigoRDivergenteCodigo1,if (codigoRDivergenteJuiz = "second",codigoRDivergenteCodigo2, if (codigoRDivergenteCodigo1 = "", codigoRDivergenteCodigo2, codigoRDivergenteCodigo1)))</f>
        <v>setting up scenarios on the student's computer</v>
      </c>
      <c r="H3" s="45" t="str">
        <f>if(codigoRDivergenteJuiz = "first",codigoRDivergenteTema1,if (codigoRDivergenteJuiz = "second",codigoRDivergenteTema2, if (codigoRDivergenteCodigo1 = "", codigoRDivergenteTema2, codigoRDivergenteTema1)))</f>
        <v>environment setup</v>
      </c>
    </row>
    <row r="4" ht="115.5" customHeight="1">
      <c r="A4" s="44">
        <f>IFERROR(__xludf.DUMMYFUNCTION("""COMPUTED_VALUE"""),4.0)</f>
        <v>4</v>
      </c>
      <c r="B4" s="44" t="str">
        <f>IFERROR(__xludf.DUMMYFUNCTION("""COMPUTED_VALUE"""),"R1 / R3")</f>
        <v>R1 / R3</v>
      </c>
      <c r="C4" s="44" t="str">
        <f>IFERROR(__xludf.DUMMYFUNCTION("""COMPUTED_VALUE"""),"recommendation")</f>
        <v>recommendation</v>
      </c>
      <c r="D4" s="44" t="str">
        <f>IFERROR(__xludf.DUMMYFUNCTION("""COMPUTED_VALUE"""),"This was somehow harmonized.")</f>
        <v>This was somehow harmonized.</v>
      </c>
      <c r="E4" s="44" t="str">
        <f>IFERROR(__xludf.DUMMYFUNCTION("""COMPUTED_VALUE"""),"Define what are the devops concepts.")</f>
        <v>Define what are the devops concepts.</v>
      </c>
      <c r="F4" s="44"/>
      <c r="G4" s="45" t="str">
        <f>if(codigoRDivergenteJuiz = "first",codigoRDivergenteCodigo1,if (codigoRDivergenteJuiz = "second",codigoRDivergenteCodigo2, if (codigoRDivergenteCodigo1 = "", codigoRDivergenteCodigo2, codigoRDivergenteCodigo1)))</f>
        <v>No definition of DevOps concepts</v>
      </c>
      <c r="H4" s="45" t="str">
        <f>if(codigoRDivergenteJuiz = "first",codigoRDivergenteTema1,if (codigoRDivergenteJuiz = "second",codigoRDivergenteTema2, if (codigoRDivergenteCodigo1 = "", codigoRDivergenteTema2, codigoRDivergenteTema1)))</f>
        <v>devops concepts</v>
      </c>
    </row>
    <row r="5" ht="134.25" customHeight="1">
      <c r="A5" s="44">
        <f>IFERROR(__xludf.DUMMYFUNCTION("""COMPUTED_VALUE"""),5.0)</f>
        <v>5</v>
      </c>
      <c r="B5" s="44" t="str">
        <f>IFERROR(__xludf.DUMMYFUNCTION("""COMPUTED_VALUE"""),"R1 / R3")</f>
        <v>R1 / R3</v>
      </c>
      <c r="C5" s="44" t="str">
        <f>IFERROR(__xludf.DUMMYFUNCTION("""COMPUTED_VALUE"""),"recommendation")</f>
        <v>recommendation</v>
      </c>
      <c r="D5" s="44" t="str">
        <f>IFERROR(__xludf.DUMMYFUNCTION("""COMPUTED_VALUE"""),"You can't evaluate with proof; you have to assess with projects with some activity.
With some practical activity.
Taking a test, simply evaluating him, is even a way of doing this, but in this more practical approach, I believe that the student is bette"&amp;"r prepared and we are able to evaluate, in fact, the most important aspects of his education [.. .] If he is really acquiring that knowledge, what we really wanted to convey in that particular topic, in that particular subject.
We have adopted project-ba"&amp;"sed assessment a lot [...] the assessment of this project puts a student in his context to test in practice or simulate, in practice, a little of what he saw during classes.
From a practical point of view, I simply pass on the exercise.
I think that pro"&amp;"of would not be a nice deal, but it would be more or less certification from AWS, for example, from Azure, Google, and that is not the purpose. [...] Taking the test, written, open, I do not like it, I do not like the test model as an assessment, I do not"&amp;" think it is cool, I prefer to work with more practical things.
You propose a practical challenge to solve a problem. I think the students end up learning more.")</f>
        <v>You can't evaluate with proof; you have to assess with projects with some activity.
With some practical activity.
Taking a test, simply evaluating him, is even a way of doing this, but in this more practical approach, I believe that the student is better prepared and we are able to evaluate, in fact, the most important aspects of his education [.. .] If he is really acquiring that knowledge, what we really wanted to convey in that particular topic, in that particular subject.
We have adopted project-based assessment a lot [...] the assessment of this project puts a student in his context to test in practice or simulate, in practice, a little of what he saw during classes.
From a practical point of view, I simply pass on the exercise.
I think that proof would not be a nice deal, but it would be more or less certification from AWS, for example, from Azure, Google, and that is not the purpose. [...] Taking the test, written, open, I do not like it, I do not like the test model as an assessment, I do not think it is cool, I prefer to work with more practical things.
You propose a practical challenge to solve a problem. I think the students end up learning more.</v>
      </c>
      <c r="E5" s="44" t="str">
        <f>IFERROR(__xludf.DUMMYFUNCTION("""COMPUTED_VALUE"""),"You can't assess students' DevOps learning with a test, it's necessary to assess with projects, with some kind of hands-on activity.
DevOps teaching with practical activities.
Prefer practical assessments to written tests in order to verify student lear"&amp;"ning on the subject.
Prefer assessment based on practical projects.
Evaluate through practical exercises.
The assessment must be practical.
Evaluate through practical challenges.")</f>
        <v>You can't assess students' DevOps learning with a test, it's necessary to assess with projects, with some kind of hands-on activity.
DevOps teaching with practical activities.
Prefer practical assessments to written tests in order to verify student learning on the subject.
Prefer assessment based on practical projects.
Evaluate through practical exercises.
The assessment must be practical.
Evaluate through practical challenges.</v>
      </c>
      <c r="F5" s="44" t="str">
        <f>IFERROR(__xludf.DUMMYFUNCTION("""COMPUTED_VALUE"""),"The assess should be with hands-on activity.")</f>
        <v>The assess should be with hands-on activity.</v>
      </c>
      <c r="G5" s="45" t="str">
        <f>if(codigoRDivergenteJuiz = "first",codigoRDivergenteCodigo1,if (codigoRDivergenteJuiz = "second",codigoRDivergenteCodigo2, if (codigoRDivergenteCodigo1 = "", codigoRDivergenteCodigo2, codigoRDivergenteCodigo1)))</f>
        <v>Assessment of learning with practical projects and activities.</v>
      </c>
      <c r="H5" s="45" t="str">
        <f>if(codigoRDivergenteJuiz = "first",codigoRDivergenteTema1,if (codigoRDivergenteJuiz = "second",codigoRDivergenteTema2, if (codigoRDivergenteCodigo1 = "", codigoRDivergenteTema2, codigoRDivergenteTema1)))</f>
        <v>assessment</v>
      </c>
    </row>
    <row r="6" ht="221.25" customHeight="1">
      <c r="A6" s="44">
        <f>IFERROR(__xludf.DUMMYFUNCTION("""COMPUTED_VALUE"""),7.0)</f>
        <v>7</v>
      </c>
      <c r="B6" s="44" t="str">
        <f>IFERROR(__xludf.DUMMYFUNCTION("""COMPUTED_VALUE"""),"R1 / R3")</f>
        <v>R1 / R3</v>
      </c>
      <c r="C6" s="44" t="str">
        <f>IFERROR(__xludf.DUMMYFUNCTION("""COMPUTED_VALUE"""),"recommendation")</f>
        <v>recommendation</v>
      </c>
      <c r="D6" s="44" t="str">
        <f>IFERROR(__xludf.DUMMYFUNCTION("""COMPUTED_VALUE"""),"I think a potential candidate is GNS3.")</f>
        <v>I think a potential candidate is GNS3.</v>
      </c>
      <c r="E6" s="44" t="str">
        <f>IFERROR(__xludf.DUMMYFUNCTION("""COMPUTED_VALUE"""),"The GNS3 tool is a potential candidate as a tool for teaching DevOps.")</f>
        <v>The GNS3 tool is a potential candidate as a tool for teaching DevOps.</v>
      </c>
      <c r="F6" s="44"/>
      <c r="G6" s="45" t="str">
        <f>if(codigoRDivergenteJuiz = "first",codigoRDivergenteCodigo1,if (codigoRDivergenteJuiz = "second",codigoRDivergenteCodigo2, if (codigoRDivergenteCodigo1 = "", codigoRDivergenteCodigo2, codigoRDivergenteCodigo1)))</f>
        <v>GNS3 as a DevOps Teaching Support Tool</v>
      </c>
      <c r="H6" s="45" t="str">
        <f>if(codigoRDivergenteJuiz = "first",codigoRDivergenteTema1,if (codigoRDivergenteJuiz = "second",codigoRDivergenteTema2, if (codigoRDivergenteCodigo1 = "", codigoRDivergenteTema2, codigoRDivergenteTema1)))</f>
        <v>tool / technology</v>
      </c>
    </row>
    <row r="7" ht="134.25" customHeight="1">
      <c r="A7" s="44">
        <f>IFERROR(__xludf.DUMMYFUNCTION("""COMPUTED_VALUE"""),8.0)</f>
        <v>8</v>
      </c>
      <c r="B7" s="44" t="str">
        <f>IFERROR(__xludf.DUMMYFUNCTION("""COMPUTED_VALUE"""),"R1 / R3")</f>
        <v>R1 / R3</v>
      </c>
      <c r="C7" s="44" t="str">
        <f>IFERROR(__xludf.DUMMYFUNCTION("""COMPUTED_VALUE"""),"recommendation")</f>
        <v>recommendation</v>
      </c>
      <c r="D7" s="44" t="str">
        <f>IFERROR(__xludf.DUMMYFUNCTION("""COMPUTED_VALUE"""),"All the DevOps tooling behind it like [...] the ansible or terraform here, or any of those other flavors of automation and deployment and stuff like that you can use.")</f>
        <v>All the DevOps tooling behind it like [...] the ansible or terraform here, or any of those other flavors of automation and deployment and stuff like that you can use.</v>
      </c>
      <c r="E7" s="44" t="str">
        <f>IFERROR(__xludf.DUMMYFUNCTION("""COMPUTED_VALUE"""),"Ansible as deployment automation tools can be used in teaching DevOps.")</f>
        <v>Ansible as deployment automation tools can be used in teaching DevOps.</v>
      </c>
      <c r="F7" s="44"/>
      <c r="G7" s="45" t="str">
        <f>if(codigoRDivergenteJuiz = "first",codigoRDivergenteCodigo1,if (codigoRDivergenteJuiz = "second",codigoRDivergenteCodigo2, if (codigoRDivergenteCodigo1 = "", codigoRDivergenteCodigo2, codigoRDivergenteCodigo1)))</f>
        <v>Use of Ansible, Terraform as a tool during DevOps teaching</v>
      </c>
      <c r="H7" s="45" t="str">
        <f>if(codigoRDivergenteJuiz = "first",codigoRDivergenteTema1,if (codigoRDivergenteJuiz = "second",codigoRDivergenteTema2, if (codigoRDivergenteCodigo1 = "", codigoRDivergenteTema2, codigoRDivergenteTema1)))</f>
        <v>tool / technology</v>
      </c>
    </row>
    <row r="8" ht="134.25" customHeight="1">
      <c r="A8" s="44">
        <f>IFERROR(__xludf.DUMMYFUNCTION("""COMPUTED_VALUE"""),9.0)</f>
        <v>9</v>
      </c>
      <c r="B8" s="44" t="str">
        <f>IFERROR(__xludf.DUMMYFUNCTION("""COMPUTED_VALUE"""),"R1 / R3")</f>
        <v>R1 / R3</v>
      </c>
      <c r="C8" s="44" t="str">
        <f>IFERROR(__xludf.DUMMYFUNCTION("""COMPUTED_VALUE"""),"recommendation")</f>
        <v>recommendation</v>
      </c>
      <c r="D8" s="44" t="str">
        <f>IFERROR(__xludf.DUMMYFUNCTION("""COMPUTED_VALUE"""),"For me, the approach, from the point of view of the teaching method, would be based on projects and practical activities throughout the course.
It will always be project-based.
Being able to evaluate the actions has to be a script of practical actions t"&amp;"hat the student has to carry out, and you will evaluate while that student is doing that there.
So, I think it's more fruitful, didactically, pedagogically, teaching in this way, with the most practical approach.
Development classes [...] want to unders"&amp;"tand better the issue of DevOps related to continuous delivery processes or how it translates into practice and into delivery tools and models that streamline application building.
Teach DevOps [...] how it applies in practice.
I cannot see a discipline"&amp;", a DevOps teaching that is not hands-on [...] That is not getting hands-on and making people at least exercise the tools.
There is much technology on the market [...] you cannot cover everything, right? However, at the same time, just giving the concept"&amp;", I do not think it is enough. So you have to make a choice. I will teach this here.
It needed to be some practical project [...] Not to be just in the theory part.
You cannot teach DevOps only in theory. You have to experience it. You have to have prac"&amp;"tical experimentation for that.
Build this entire journey based on practical, incremental activities or missions that are all correlated so that the lessons learned during these practical activities and revisiting the theory of knowledge can flow into a "&amp;"project that involves a set of decision-making, which also in addition to the subjects theoretically covered in the room.
I've tried to be very incremental. Um, first teach the value of tests, then write the script to build everything on your desk. You d"&amp;"on't need any you're alone. ... Then break it down into several components and build them one by one, then put an Artifactory in the middle. So you have the dependency. ... So you can imagine that each people in the group is like a different team in the w"&amp;"orld.")</f>
        <v>For me, the approach, from the point of view of the teaching method, would be based on projects and practical activities throughout the course.
It will always be project-based.
Being able to evaluate the actions has to be a script of practical actions that the student has to carry out, and you will evaluate while that student is doing that there.
So, I think it's more fruitful, didactically, pedagogically, teaching in this way, with the most practical approach.
Development classes [...] want to understand better the issue of DevOps related to continuous delivery processes or how it translates into practice and into delivery tools and models that streamline application building.
Teach DevOps [...] how it applies in practice.
I cannot see a discipline, a DevOps teaching that is not hands-on [...] That is not getting hands-on and making people at least exercise the tools.
There is much technology on the market [...] you cannot cover everything, right? However, at the same time, just giving the concept, I do not think it is enough. So you have to make a choice. I will teach this here.
It needed to be some practical project [...] Not to be just in the theory part.
You cannot teach DevOps only in theory. You have to experience it. You have to have practical experimentation for that.
Build this entire journey based on practical, incremental activities or missions that are all correlated so that the lessons learned during these practical activities and revisiting the theory of knowledge can flow into a project that involves a set of decision-making, which also in addition to the subjects theoretically covered in the room.
I've tried to be very incremental. Um, first teach the value of tests, then write the script to build everything on your desk. You don't need any you're alone. ... Then break it down into several components and build them one by one, then put an Artifactory in the middle. So you have the dependency. ... So you can imagine that each people in the group is like a different team in the world.</v>
      </c>
      <c r="E8" s="44" t="str">
        <f>IFERROR(__xludf.DUMMYFUNCTION("""COMPUTED_VALUE"""),"Incremental teaching method based on projects and practical activities.
DevOps teaching should be project-based.
Create script for practical devops activities.
Use a practical approach.
Teach continuous delivery in a more practical context for develop"&amp;"ment classes, using tools and delivery models.
Teach devops in a practical way by applying it.
DevOps disciplines should use hands-on activities.
Teaching must be practical, not just theoretical.
Teaching needs a practical project, not just theoretica"&amp;"l teaching.
Teaching devops should be practical, not just theoretical.
Build an incremental teaching journey based on activities and missions, always combining practical activities with theoretical knowledge.
Try to be very incremental. Everything on y"&amp;"our desk first. Splits into several components. Build them one by one. Start working in group.")</f>
        <v>Incremental teaching method based on projects and practical activities.
DevOps teaching should be project-based.
Create script for practical devops activities.
Use a practical approach.
Teach continuous delivery in a more practical context for development classes, using tools and delivery models.
Teach devops in a practical way by applying it.
DevOps disciplines should use hands-on activities.
Teaching must be practical, not just theoretical.
Teaching needs a practical project, not just theoretical teaching.
Teaching devops should be practical, not just theoretical.
Build an incremental teaching journey based on activities and missions, always combining practical activities with theoretical knowledge.
Try to be very incremental. Everything on your desk first. Splits into several components. Build them one by one. Start working in group.</v>
      </c>
      <c r="F8" s="44" t="str">
        <f>IFERROR(__xludf.DUMMYFUNCTION("""COMPUTED_VALUE"""),"Teaching method based on practical activities.")</f>
        <v>Teaching method based on practical activities.</v>
      </c>
      <c r="G8" s="45" t="str">
        <f>if(codigoRDivergenteJuiz = "first",codigoRDivergenteCodigo1,if (codigoRDivergenteJuiz = "second",codigoRDivergenteCodigo2, if (codigoRDivergenteCodigo1 = "", codigoRDivergenteCodigo2, codigoRDivergenteCodigo1)))</f>
        <v>Incremental teaching based on projects and practical activities.</v>
      </c>
      <c r="H8" s="45" t="str">
        <f>if(codigoRDivergenteJuiz = "first",codigoRDivergenteTema1,if (codigoRDivergenteJuiz = "second",codigoRDivergenteTema2, if (codigoRDivergenteCodigo1 = "", codigoRDivergenteTema2, codigoRDivergenteTema1)))</f>
        <v>strategies in course execution</v>
      </c>
    </row>
    <row r="9" ht="123.75" customHeight="1">
      <c r="A9" s="44">
        <f>IFERROR(__xludf.DUMMYFUNCTION("""COMPUTED_VALUE"""),10.0)</f>
        <v>10</v>
      </c>
      <c r="B9" s="44" t="str">
        <f>IFERROR(__xludf.DUMMYFUNCTION("""COMPUTED_VALUE"""),"R1 / R3")</f>
        <v>R1 / R3</v>
      </c>
      <c r="C9" s="44" t="str">
        <f>IFERROR(__xludf.DUMMYFUNCTION("""COMPUTED_VALUE"""),"recommendation")</f>
        <v>recommendation</v>
      </c>
      <c r="D9" s="44" t="str">
        <f>IFERROR(__xludf.DUMMYFUNCTION("""COMPUTED_VALUE"""),"The practice that should occupy eighty percent of the class there, at least.
The practical discipline has a balance between concept and practice, with the practice being the most important.
The concepts need to be objectively presented, but there is not"&amp;" much discussion about.
My classes are about an hour lecture. And then the other hour and a half is lab it's hands-on, you know, I give them a concept, let's go do it. And by doing it, that's where it really sticks.
First year I did a lot of concept on "&amp;"the whiteboard, um, and then went to exercise for the students to practice. It's not efficient.
That's why we build a class where we have a ratio of about one hour of classroom concept teaching on the whiteboard or something at three hours where they act"&amp;"ually type on the keyboard of practical session. I think that's important. Otherwise they don't see it. 
So all of us, we covered a bit in really in the course, but also the, I mean, the lectures, but also they practice that in the lab.")</f>
        <v>The practice that should occupy eighty percent of the class there, at least.
The practical discipline has a balance between concept and practice, with the practice being the most important.
The concepts need to be objectively presented, but there is not much discussion about.
My classes are about an hour lecture. And then the other hour and a half is lab it's hands-on, you know, I give them a concept, let's go do it. And by doing it, that's where it really sticks.
First year I did a lot of concept on the whiteboard, um, and then went to exercise for the students to practice. It's not efficient.
That's why we build a class where we have a ratio of about one hour of classroom concept teaching on the whiteboard or something at three hours where they actually type on the keyboard of practical session. I think that's important. Otherwise they don't see it. 
So all of us, we covered a bit in really in the course, but also the, I mean, the lectures, but also they practice that in the lab.</v>
      </c>
      <c r="E9" s="44" t="str">
        <f>IFERROR(__xludf.DUMMYFUNCTION("""COMPUTED_VALUE"""),"The practical part must occupy at least 80% of the class.
Balance the presentation of the concepts and the practicals.
Do not delve so deeply into discussions about the theoretical part of devops.
Teach each DevOps concept using one hour lecture follow"&amp;"ed by one hour and a half lab hands-on.
Is not efficient to have more theoretical part than practice part during the course.
One hour of classrom concept teaching and three hours of practical session.
Make use of labs and lectures.")</f>
        <v>The practical part must occupy at least 80% of the class.
Balance the presentation of the concepts and the practicals.
Do not delve so deeply into discussions about the theoretical part of devops.
Teach each DevOps concept using one hour lecture followed by one hour and a half lab hands-on.
Is not efficient to have more theoretical part than practice part during the course.
One hour of classrom concept teaching and three hours of practical session.
Make use of labs and lectures.</v>
      </c>
      <c r="F9" s="44" t="str">
        <f>IFERROR(__xludf.DUMMYFUNCTION("""COMPUTED_VALUE"""),"Focus more on the practical part compared to the theoretical part of DevOps.")</f>
        <v>Focus more on the practical part compared to the theoretical part of DevOps.</v>
      </c>
      <c r="G9" s="45" t="str">
        <f>if(codigoRDivergenteJuiz = "first",codigoRDivergenteCodigo1,if (codigoRDivergenteJuiz = "second",codigoRDivergenteCodigo2, if (codigoRDivergenteCodigo1 = "", codigoRDivergenteCodigo2, codigoRDivergenteCodigo1)))</f>
        <v>Non-deep theory class.</v>
      </c>
      <c r="H9" s="45" t="str">
        <f>if(codigoRDivergenteJuiz = "first",codigoRDivergenteTema1,if (codigoRDivergenteJuiz = "second",codigoRDivergenteTema2, if (codigoRDivergenteCodigo1 = "", codigoRDivergenteTema2, codigoRDivergenteTema1)))</f>
        <v>strategies in course execution</v>
      </c>
    </row>
    <row r="10" ht="123.75" customHeight="1">
      <c r="A10" s="44">
        <f>IFERROR(__xludf.DUMMYFUNCTION("""COMPUTED_VALUE"""),11.0)</f>
        <v>11</v>
      </c>
      <c r="B10" s="44" t="str">
        <f>IFERROR(__xludf.DUMMYFUNCTION("""COMPUTED_VALUE"""),"R1 / R3")</f>
        <v>R1 / R3</v>
      </c>
      <c r="C10" s="44" t="str">
        <f>IFERROR(__xludf.DUMMYFUNCTION("""COMPUTED_VALUE"""),"recommendation")</f>
        <v>recommendation</v>
      </c>
      <c r="D10" s="44" t="str">
        <f>IFERROR(__xludf.DUMMYFUNCTION("""COMPUTED_VALUE"""),"The strategy we used was to divide the workload in half, divide the workload in half [...] and occupy half of this workload with content that is more suited to the area of networks [...] And half of this with the one with content that has more aptitude fo"&amp;"r the programming area.
I believe that for DevOps, you have this balance [...] if you go to a course, that the focus is more development [...] Taking students there to see the other side [...] See Ops and the guys over there from Ops when you can have th"&amp;"e opportunity to see more of the Dev too.")</f>
        <v>The strategy we used was to divide the workload in half, divide the workload in half [...] and occupy half of this workload with content that is more suited to the area of networks [...] And half of this with the one with content that has more aptitude for the programming area.
I believe that for DevOps, you have this balance [...] if you go to a course, that the focus is more development [...] Taking students there to see the other side [...] See Ops and the guys over there from Ops when you can have the opportunity to see more of the Dev too.</v>
      </c>
      <c r="E10" s="44" t="str">
        <f>IFERROR(__xludf.DUMMYFUNCTION("""COMPUTED_VALUE"""),"Divide the workload of subjects that are related to networking and programming.
Seeking balance in teaching development and operation.")</f>
        <v>Divide the workload of subjects that are related to networking and programming.
Seeking balance in teaching development and operation.</v>
      </c>
      <c r="F10" s="44" t="str">
        <f>IFERROR(__xludf.DUMMYFUNCTION("""COMPUTED_VALUE"""),"Divide the workload of subjects that are related to networking and programming.")</f>
        <v>Divide the workload of subjects that are related to networking and programming.</v>
      </c>
      <c r="G10" s="45" t="str">
        <f>if(codigoRDivergenteJuiz = "first",codigoRDivergenteCodigo1,if (codigoRDivergenteJuiz = "second",codigoRDivergenteCodigo2, if (codigoRDivergenteCodigo1 = "", codigoRDivergenteCodigo2, codigoRDivergenteCodigo1)))</f>
        <v>Division between Dev and Ops disciplines.</v>
      </c>
      <c r="H10" s="45" t="str">
        <f>if(codigoRDivergenteJuiz = "first",codigoRDivergenteTema1,if (codigoRDivergenteJuiz = "second",codigoRDivergenteTema2, if (codigoRDivergenteCodigo1 = "", codigoRDivergenteTema2, codigoRDivergenteTema1)))</f>
        <v>curriculum</v>
      </c>
    </row>
    <row r="11" ht="123.75" customHeight="1">
      <c r="A11" s="44">
        <f>IFERROR(__xludf.DUMMYFUNCTION("""COMPUTED_VALUE"""),12.0)</f>
        <v>12</v>
      </c>
      <c r="B11" s="44" t="str">
        <f>IFERROR(__xludf.DUMMYFUNCTION("""COMPUTED_VALUE"""),"R1 / R3")</f>
        <v>R1 / R3</v>
      </c>
      <c r="C11" s="44" t="str">
        <f>IFERROR(__xludf.DUMMYFUNCTION("""COMPUTED_VALUE"""),"recommendation")</f>
        <v>recommendation</v>
      </c>
      <c r="D11" s="44" t="str">
        <f>IFERROR(__xludf.DUMMYFUNCTION("""COMPUTED_VALUE"""),"I had to delegate this responsibility to the student.
When you do not have resources in the structure you are linked to, as an institution, you have to delegate that the student really finds his ways.")</f>
        <v>I had to delegate this responsibility to the student.
When you do not have resources in the structure you are linked to, as an institution, you have to delegate that the student really finds his ways.</v>
      </c>
      <c r="E11" s="44" t="str">
        <f>IFERROR(__xludf.DUMMYFUNCTION("""COMPUTED_VALUE"""),"Delegating the responsibility for finding adequate infrastructure for the student when it is not possible to obtain the necessary resources from the institution.
Delegate responsibility to the student.")</f>
        <v>Delegating the responsibility for finding adequate infrastructure for the student when it is not possible to obtain the necessary resources from the institution.
Delegate responsibility to the student.</v>
      </c>
      <c r="F11" s="44" t="str">
        <f>IFERROR(__xludf.DUMMYFUNCTION("""COMPUTED_VALUE"""),"Delegate the responsibility for finding adequate infrastructure for the student.")</f>
        <v>Delegate the responsibility for finding adequate infrastructure for the student.</v>
      </c>
      <c r="G11" s="45" t="str">
        <f>if(codigoRDivergenteJuiz = "first",codigoRDivergenteCodigo1,if (codigoRDivergenteJuiz = "second",codigoRDivergenteCodigo2, if (codigoRDivergenteCodigo1 = "", codigoRDivergenteCodigo2, codigoRDivergenteCodigo1)))</f>
        <v>resources from the student's side instead of academy</v>
      </c>
      <c r="H11" s="45" t="str">
        <f>if(codigoRDivergenteJuiz = "first",codigoRDivergenteTema1,if (codigoRDivergenteJuiz = "second",codigoRDivergenteTema2, if (codigoRDivergenteCodigo1 = "", codigoRDivergenteTema2, codigoRDivergenteTema1)))</f>
        <v>environment setup</v>
      </c>
    </row>
    <row r="12">
      <c r="A12" s="44">
        <f>IFERROR(__xludf.DUMMYFUNCTION("""COMPUTED_VALUE"""),13.0)</f>
        <v>13</v>
      </c>
      <c r="B12" s="44" t="str">
        <f>IFERROR(__xludf.DUMMYFUNCTION("""COMPUTED_VALUE"""),"R1 / R3")</f>
        <v>R1 / R3</v>
      </c>
      <c r="C12" s="44" t="str">
        <f>IFERROR(__xludf.DUMMYFUNCTION("""COMPUTED_VALUE"""),"recommendation")</f>
        <v>recommendation</v>
      </c>
      <c r="D12" s="44" t="str">
        <f>IFERROR(__xludf.DUMMYFUNCTION("""COMPUTED_VALUE"""),"I like to base it on a textbook because I think a sequence is evident for the students, right? We can even choose some chapters, even making an essential part of this material [...] we research several things to set up our class. Still, having a backbone "&amp;"formed by literature I think it's always important.
 I was looking for books to use. And, um, you know, I started to look at the books from Jane Kim. Um, and essentially I found this DevOps handbook, which has really not written as a textbook, but it's, "&amp;"it covers it's, it's built around the three ways of DevOps. So the first way is the notion of flow. The second way is the notion of, um, feedback. And the third way is continual learning and experimentation.
So this book [DevOps Handbook] is very well do"&amp;"ne in this sense [...] it goes to the foundations of devops and gets to the different key ideas, right?
The lectures, um, for the first part it's okay. I think for, until the midterm to have just get essentially through the book.
The book has a lot of c"&amp;"ase study and examples like Facebook, Google, LinkedIn, uh, Netflix.")</f>
        <v>I like to base it on a textbook because I think a sequence is evident for the students, right? We can even choose some chapters, even making an essential part of this material [...] we research several things to set up our class. Still, having a backbone formed by literature I think it's always important.
 I was looking for books to use. And, um, you know, I started to look at the books from Jane Kim. Um, and essentially I found this DevOps handbook, which has really not written as a textbook, but it's, it covers it's, it's built around the three ways of DevOps. So the first way is the notion of flow. The second way is the notion of, um, feedback. And the third way is continual learning and experimentation.
So this book [DevOps Handbook] is very well done in this sense [...] it goes to the foundations of devops and gets to the different key ideas, right?
The lectures, um, for the first part it's okay. I think for, until the midterm to have just get essentially through the book.
The book has a lot of case study and examples like Facebook, Google, LinkedIn, uh, Netflix.</v>
      </c>
      <c r="E12" s="44" t="str">
        <f>IFERROR(__xludf.DUMMYFUNCTION("""COMPUTED_VALUE"""),"Using a textbook as a basis and to give students a better idea of the sequence of the course contents.
Take Gene Kim's book DevOps Handbook as a reference to prepare a DevOps class.
Devops Handbook goes to the foundations of DevOps and gets to the diffe"&amp;"rent key ideas.
Use DevOps Handbook to create the lectures.
Find books like DevOps Handbook that have industrial case studies about Facebook, Google, etc.")</f>
        <v>Using a textbook as a basis and to give students a better idea of the sequence of the course contents.
Take Gene Kim's book DevOps Handbook as a reference to prepare a DevOps class.
Devops Handbook goes to the foundations of DevOps and gets to the different key ideas.
Use DevOps Handbook to create the lectures.
Find books like DevOps Handbook that have industrial case studies about Facebook, Google, etc.</v>
      </c>
      <c r="F12" s="44" t="str">
        <f>IFERROR(__xludf.DUMMYFUNCTION("""COMPUTED_VALUE"""),"Use a textbook as a basis to guide the course classes.")</f>
        <v>Use a textbook as a basis to guide the course classes.</v>
      </c>
      <c r="G12" s="45" t="str">
        <f>if(codigoRDivergenteJuiz = "first",codigoRDivergenteCodigo1,if (codigoRDivergenteJuiz = "second",codigoRDivergenteCodigo2, if (codigoRDivergenteCodigo1 = "", codigoRDivergenteCodigo2, codigoRDivergenteCodigo1)))</f>
        <v>Use of a textbook.</v>
      </c>
      <c r="H12" s="45" t="str">
        <f>if(codigoRDivergenteJuiz = "first",codigoRDivergenteTema1,if (codigoRDivergenteJuiz = "second",codigoRDivergenteTema2, if (codigoRDivergenteCodigo1 = "", codigoRDivergenteTema2, codigoRDivergenteTema1)))</f>
        <v>class preparation</v>
      </c>
    </row>
    <row r="13">
      <c r="A13" s="44">
        <f>IFERROR(__xludf.DUMMYFUNCTION("""COMPUTED_VALUE"""),14.0)</f>
        <v>14</v>
      </c>
      <c r="B13" s="44" t="str">
        <f>IFERROR(__xludf.DUMMYFUNCTION("""COMPUTED_VALUE"""),"R1 / R3")</f>
        <v>R1 / R3</v>
      </c>
      <c r="C13" s="44" t="str">
        <f>IFERROR(__xludf.DUMMYFUNCTION("""COMPUTED_VALUE"""),"recommendation")</f>
        <v>recommendation</v>
      </c>
      <c r="D13" s="44" t="str">
        <f>IFERROR(__xludf.DUMMYFUNCTION("""COMPUTED_VALUE"""),"There are a [...] series of features to be developed, and [...] the student has been trained for this. But other aspects related more to putting the system into production, to be careful [...] after the procedure is operational, not focusing on factors re"&amp;"lated to the system's functionalities anymore, but directing to non-functional aspects, then the students they need to have a better sense of it.")</f>
        <v>There are a [...] series of features to be developed, and [...] the student has been trained for this. But other aspects related more to putting the system into production, to be careful [...] after the procedure is operational, not focusing on factors related to the system's functionalities anymore, but directing to non-functional aspects, then the students they need to have a better sense of it.</v>
      </c>
      <c r="E13" s="44" t="str">
        <f>IFERROR(__xludf.DUMMYFUNCTION("""COMPUTED_VALUE"""),"Work on improving students' skills related to non-functional requirements.")</f>
        <v>Work on improving students' skills related to non-functional requirements.</v>
      </c>
      <c r="F13" s="44"/>
      <c r="G13" s="45" t="str">
        <f>if(codigoRDivergenteJuiz = "first",codigoRDivergenteCodigo1,if (codigoRDivergenteJuiz = "second",codigoRDivergenteCodigo2, if (codigoRDivergenteCodigo1 = "", codigoRDivergenteCodigo2, codigoRDivergenteCodigo1)))</f>
        <v>Perfecting of skills with non-functional requirements</v>
      </c>
      <c r="H13" s="45" t="str">
        <f>if(codigoRDivergenteJuiz = "first",codigoRDivergenteTema1,if (codigoRDivergenteJuiz = "second",codigoRDivergenteTema2, if (codigoRDivergenteCodigo1 = "", codigoRDivergenteTema2, codigoRDivergenteTema1)))</f>
        <v>curriculum</v>
      </c>
    </row>
    <row r="14">
      <c r="A14" s="44">
        <f>IFERROR(__xludf.DUMMYFUNCTION("""COMPUTED_VALUE"""),15.0)</f>
        <v>15</v>
      </c>
      <c r="B14" s="44" t="str">
        <f>IFERROR(__xludf.DUMMYFUNCTION("""COMPUTED_VALUE"""),"R1 / R3")</f>
        <v>R1 / R3</v>
      </c>
      <c r="C14" s="44" t="str">
        <f>IFERROR(__xludf.DUMMYFUNCTION("""COMPUTED_VALUE"""),"recommendation")</f>
        <v>recommendation</v>
      </c>
      <c r="D14" s="44" t="str">
        <f>IFERROR(__xludf.DUMMYFUNCTION("""COMPUTED_VALUE"""),"The microservices tool is one of the tools I have been using with them. A device, an environment in which we put the students' solutions there and they can see more of the Continuous Integration part there.
These systems being made available and then wit"&amp;"h the creation of the DevOps tool from the IFRN cloud, the microservices system there, it was then possible for us to have this more practical view of the process as a whole. So, I have adopted it in all semesters, including, I have always asked students "&amp;"to work with this tool.
Having this system already in the air, I also believe that it is another gain, why? Because as you advance in the themes, you can already put ""look, this aspect here that we are working on, you will have already contemplated in t"&amp;"he system through this, this and this"".
When it comes to teaching devops concepts, like, continuous integration, there will be a tool.")</f>
        <v>The microservices tool is one of the tools I have been using with them. A device, an environment in which we put the students' solutions there and they can see more of the Continuous Integration part there.
These systems being made available and then with the creation of the DevOps tool from the IFRN cloud, the microservices system there, it was then possible for us to have this more practical view of the process as a whole. So, I have adopted it in all semesters, including, I have always asked students to work with this tool.
Having this system already in the air, I also believe that it is another gain, why? Because as you advance in the themes, you can already put "look, this aspect here that we are working on, you will have already contemplated in the system through this, this and this".
When it comes to teaching devops concepts, like, continuous integration, there will be a tool.</v>
      </c>
      <c r="E14" s="44" t="str">
        <f>IFERROR(__xludf.DUMMYFUNCTION("""COMPUTED_VALUE"""),"Use of a learning tool to facilitate understanding of the concept of Continuous Integration.
Using a learning tool helps in DevOps teaching.
Using a learning tool helps in DevOps teaching.
Use tools while explaining the continuous integration concept.")</f>
        <v>Use of a learning tool to facilitate understanding of the concept of Continuous Integration.
Using a learning tool helps in DevOps teaching.
Using a learning tool helps in DevOps teaching.
Use tools while explaining the continuous integration concept.</v>
      </c>
      <c r="F14" s="44" t="str">
        <f>IFERROR(__xludf.DUMMYFUNCTION("""COMPUTED_VALUE"""),"Use a learning tool to easy the DevOps teaching.")</f>
        <v>Use a learning tool to easy the DevOps teaching.</v>
      </c>
      <c r="G14" s="45" t="str">
        <f>if(codigoRDivergenteJuiz = "first",codigoRDivergenteCodigo1,if (codigoRDivergenteJuiz = "second",codigoRDivergenteCodigo2, if (codigoRDivergenteCodigo1 = "", codigoRDivergenteCodigo2, codigoRDivergenteCodigo1)))</f>
        <v>Use of a learning tool</v>
      </c>
      <c r="H14" s="45" t="str">
        <f>if(codigoRDivergenteJuiz = "first",codigoRDivergenteTema1,if (codigoRDivergenteJuiz = "second",codigoRDivergenteTema2, if (codigoRDivergenteCodigo1 = "", codigoRDivergenteTema2, codigoRDivergenteTema1)))</f>
        <v>tool / technology</v>
      </c>
    </row>
    <row r="15">
      <c r="A15" s="44">
        <f>IFERROR(__xludf.DUMMYFUNCTION("""COMPUTED_VALUE"""),16.0)</f>
        <v>16</v>
      </c>
      <c r="B15" s="44" t="str">
        <f>IFERROR(__xludf.DUMMYFUNCTION("""COMPUTED_VALUE"""),"R1 / R2")</f>
        <v>R1 / R2</v>
      </c>
      <c r="C15" s="44" t="str">
        <f>IFERROR(__xludf.DUMMYFUNCTION("""COMPUTED_VALUE"""),"recommendation")</f>
        <v>recommendation</v>
      </c>
      <c r="D15" s="44" t="str">
        <f>IFERROR(__xludf.DUMMYFUNCTION("""COMPUTED_VALUE"""),"The importance of actually having a discipline like this in the curriculum talking about these themes.
We are going through a matrix reformulation process,[...] this part of the workload and this discipline, really, the usefulness and one of the defenses"&amp;" that were made, was precisely that the discipline existed in the course, precisely because at another time, these topics would not be considered. So that's why it's important to have a discipline like that in the curriculum talking about these themes.
I"&amp;"n a course like ours, in development, having a discipline like this, I think it is important indeed.
")</f>
        <v>The importance of actually having a discipline like this in the curriculum talking about these themes.
We are going through a matrix reformulation process,[...] this part of the workload and this discipline, really, the usefulness and one of the defenses that were made, was precisely that the discipline existed in the course, precisely because at another time, these topics would not be considered. So that's why it's important to have a discipline like that in the curriculum talking about these themes.
In a course like ours, in development, having a discipline like this, I think it is important indeed.
</v>
      </c>
      <c r="E15" s="44" t="str">
        <f>IFERROR(__xludf.DUMMYFUNCTION("""COMPUTED_VALUE"""),"DevOps deserves a discipline in the curriculum.
Be concerned with the course's curriculum, maintaining and creating DevOps disciplines.
DevOps deserves a discipline in the curriculum of courses focused on software development.")</f>
        <v>DevOps deserves a discipline in the curriculum.
Be concerned with the course's curriculum, maintaining and creating DevOps disciplines.
DevOps deserves a discipline in the curriculum of courses focused on software development.</v>
      </c>
      <c r="F15" s="44" t="str">
        <f>IFERROR(__xludf.DUMMYFUNCTION("""COMPUTED_VALUE"""),"DevOps deserves a discipline in the curriculum.")</f>
        <v>DevOps deserves a discipline in the curriculum.</v>
      </c>
      <c r="G15" s="45" t="str">
        <f>if(codigoRDivergenteJuiz = "first",codigoRDivergenteCodigo1,if (codigoRDivergenteJuiz = "second",codigoRDivergenteCodigo2, if (codigoRDivergenteCodigo1 = "", codigoRDivergenteCodigo2, codigoRDivergenteCodigo1)))</f>
        <v>Necessity of a DevOps discipline</v>
      </c>
      <c r="H15" s="45" t="str">
        <f>if(codigoRDivergenteJuiz = "first",codigoRDivergenteTema1,if (codigoRDivergenteJuiz = "second",codigoRDivergenteTema2, if (codigoRDivergenteCodigo1 = "", codigoRDivergenteTema2, codigoRDivergenteTema1)))</f>
        <v>curriculum</v>
      </c>
    </row>
    <row r="16">
      <c r="A16" s="44">
        <f>IFERROR(__xludf.DUMMYFUNCTION("""COMPUTED_VALUE"""),17.0)</f>
        <v>17</v>
      </c>
      <c r="B16" s="44" t="str">
        <f>IFERROR(__xludf.DUMMYFUNCTION("""COMPUTED_VALUE"""),"R1 / R3")</f>
        <v>R1 / R3</v>
      </c>
      <c r="C16" s="44" t="str">
        <f>IFERROR(__xludf.DUMMYFUNCTION("""COMPUTED_VALUE"""),"recommendation")</f>
        <v>recommendation</v>
      </c>
      <c r="D16" s="44" t="str">
        <f>IFERROR(__xludf.DUMMYFUNCTION("""COMPUTED_VALUE"""),"We can assess teamwork in students, like those who are collaborating, those who are more overloaded, those who are perhaps less overloaded, those who develop and deliver more features, those who do not cooperate with teamwork.
The evaluation part [...] t"&amp;"he recommendation would be to try to come up [...] some project or some challenge in the project itself that involves collaboration between people. Be able to divide the class there, the students into groups and each one will attack a problem and then eve"&amp;"rything has to come together, right? So, watch them.")</f>
        <v>We can assess teamwork in students, like those who are collaborating, those who are more overloaded, those who are perhaps less overloaded, those who develop and deliver more features, those who do not cooperate with teamwork.
The evaluation part [...] the recommendation would be to try to come up [...] some project or some challenge in the project itself that involves collaboration between people. Be able to divide the class there, the students into groups and each one will attack a problem and then everything has to come together, right? So, watch them.</v>
      </c>
      <c r="E16" s="44" t="str">
        <f>IFERROR(__xludf.DUMMYFUNCTION("""COMPUTED_VALUE"""),"Evaluate level of participation and difficulty of students in teamwork.
Assess students through project and group exercises, more specifically the collaboration of each one within the group.")</f>
        <v>Evaluate level of participation and difficulty of students in teamwork.
Assess students through project and group exercises, more specifically the collaboration of each one within the group.</v>
      </c>
      <c r="F16" s="44" t="str">
        <f>IFERROR(__xludf.DUMMYFUNCTION("""COMPUTED_VALUE"""),"Evaluate level of participation and difficulty of students in teamwork.")</f>
        <v>Evaluate level of participation and difficulty of students in teamwork.</v>
      </c>
      <c r="G16" s="45" t="str">
        <f>if(codigoRDivergenteJuiz = "first",codigoRDivergenteCodigo1,if (codigoRDivergenteJuiz = "second",codigoRDivergenteCodigo2, if (codigoRDivergenteCodigo1 = "", codigoRDivergenteCodigo2, codigoRDivergenteCodigo1)))</f>
        <v>Evaluation of participation in teamwork</v>
      </c>
      <c r="H16" s="45" t="str">
        <f>if(codigoRDivergenteJuiz = "first",codigoRDivergenteTema1,if (codigoRDivergenteJuiz = "second",codigoRDivergenteTema2, if (codigoRDivergenteCodigo1 = "", codigoRDivergenteTema2, codigoRDivergenteTema1)))</f>
        <v>assessment</v>
      </c>
    </row>
    <row r="17">
      <c r="A17" s="44">
        <f>IFERROR(__xludf.DUMMYFUNCTION("""COMPUTED_VALUE"""),18.0)</f>
        <v>18</v>
      </c>
      <c r="B17" s="44" t="str">
        <f>IFERROR(__xludf.DUMMYFUNCTION("""COMPUTED_VALUE"""),"R2 / R3")</f>
        <v>R2 / R3</v>
      </c>
      <c r="C17" s="44" t="str">
        <f>IFERROR(__xludf.DUMMYFUNCTION("""COMPUTED_VALUE"""),"recommendation")</f>
        <v>recommendation</v>
      </c>
      <c r="D17" s="44" t="str">
        <f>IFERROR(__xludf.DUMMYFUNCTION("""COMPUTED_VALUE"""),"We can monitor this part of the evaluation a lot due to their activity. So part of it is the cloud system tool that allows us to do this monitoring.")</f>
        <v>We can monitor this part of the evaluation a lot due to their activity. So part of it is the cloud system tool that allows us to do this monitoring.</v>
      </c>
      <c r="E17" s="44" t="str">
        <f>IFERROR(__xludf.DUMMYFUNCTION("""COMPUTED_VALUE"""),"Monitoring of students through activities in a learning support environment.")</f>
        <v>Monitoring of students through activities in a learning support environment.</v>
      </c>
      <c r="F17" s="44"/>
      <c r="G17" s="45" t="str">
        <f>if(codigoRDivergenteJuiz = "first",codigoRDivergenteCodigo1,if (codigoRDivergenteJuiz = "second",codigoRDivergenteCodigo2, if (codigoRDivergenteCodigo1 = "", codigoRDivergenteCodigo2, codigoRDivergenteCodigo1)))</f>
        <v>Monitoring by a supportive learning environment.</v>
      </c>
      <c r="H17" s="45" t="str">
        <f>if(codigoRDivergenteJuiz = "first",codigoRDivergenteTema1,if (codigoRDivergenteJuiz = "second",codigoRDivergenteTema2, if (codigoRDivergenteCodigo1 = "", codigoRDivergenteTema2, codigoRDivergenteTema1)))</f>
        <v>tool / technology</v>
      </c>
    </row>
    <row r="18">
      <c r="A18" s="44">
        <f>IFERROR(__xludf.DUMMYFUNCTION("""COMPUTED_VALUE"""),19.0)</f>
        <v>19</v>
      </c>
      <c r="B18" s="44" t="str">
        <f>IFERROR(__xludf.DUMMYFUNCTION("""COMPUTED_VALUE"""),"R1 / R2")</f>
        <v>R1 / R2</v>
      </c>
      <c r="C18" s="44" t="str">
        <f>IFERROR(__xludf.DUMMYFUNCTION("""COMPUTED_VALUE"""),"recommendation")</f>
        <v>recommendation</v>
      </c>
      <c r="D18" s="44" t="str">
        <f>IFERROR(__xludf.DUMMYFUNCTION("""COMPUTED_VALUE"""),"Usually, they already arrive with the system, sometimes deployed in another environment, which is quite common for them to use this environment. Then we have to bring them in, asking them to use ours.")</f>
        <v>Usually, they already arrive with the system, sometimes deployed in another environment, which is quite common for them to use this environment. Then we have to bring them in, asking them to use ours.</v>
      </c>
      <c r="E18" s="44" t="str">
        <f>IFERROR(__xludf.DUMMYFUNCTION("""COMPUTED_VALUE"""),"Ask students to adopt the tools used by instructors.")</f>
        <v>Ask students to adopt the tools used by instructors.</v>
      </c>
      <c r="F18" s="44"/>
      <c r="G18" s="45" t="str">
        <f>if(codigoRDivergenteJuiz = "first",codigoRDivergenteCodigo1,if (codigoRDivergenteJuiz = "second",codigoRDivergenteCodigo2, if (codigoRDivergenteCodigo1 = "", codigoRDivergenteCodigo2, codigoRDivergenteCodigo1)))</f>
        <v>Adoption of tools from instructors   by students</v>
      </c>
      <c r="H18" s="45" t="str">
        <f>if(codigoRDivergenteJuiz = "first",codigoRDivergenteTema1,if (codigoRDivergenteJuiz = "second",codigoRDivergenteTema2, if (codigoRDivergenteCodigo1 = "", codigoRDivergenteTema2, codigoRDivergenteTema1)))</f>
        <v>tool / technology</v>
      </c>
    </row>
    <row r="19">
      <c r="A19" s="44">
        <f>IFERROR(__xludf.DUMMYFUNCTION("""COMPUTED_VALUE"""),20.0)</f>
        <v>20</v>
      </c>
      <c r="B19" s="44" t="str">
        <f>IFERROR(__xludf.DUMMYFUNCTION("""COMPUTED_VALUE"""),"R1 / R3")</f>
        <v>R1 / R3</v>
      </c>
      <c r="C19" s="44" t="str">
        <f>IFERROR(__xludf.DUMMYFUNCTION("""COMPUTED_VALUE"""),"recommendation")</f>
        <v>recommendation</v>
      </c>
      <c r="D19" s="44" t="str">
        <f>IFERROR(__xludf.DUMMYFUNCTION("""COMPUTED_VALUE"""),"Suppose the course is a development course or one that involves the operation part. In that case, it is essential to have a discipline that centralizes this information, a domain, perhaps, later on, that gathers these concepts, already preparing the stude"&amp;"nt more for the market.[...] a rather considerable workload to have this dynamic with the students.")</f>
        <v>Suppose the course is a development course or one that involves the operation part. In that case, it is essential to have a discipline that centralizes this information, a domain, perhaps, later on, that gathers these concepts, already preparing the student more for the market.[...] a rather considerable workload to have this dynamic with the students.</v>
      </c>
      <c r="E19" s="44" t="str">
        <f>IFERROR(__xludf.DUMMYFUNCTION("""COMPUTED_VALUE"""),"A discipline must have a considerable workload to centralize and harmonize development and operation information.")</f>
        <v>A discipline must have a considerable workload to centralize and harmonize development and operation information.</v>
      </c>
      <c r="F19" s="44"/>
      <c r="G19" s="45" t="str">
        <f>if(codigoRDivergenteJuiz = "first",codigoRDivergenteCodigo1,if (codigoRDivergenteJuiz = "second",codigoRDivergenteCodigo2, if (codigoRDivergenteCodigo1 = "", codigoRDivergenteCodigo2, codigoRDivergenteCodigo1)))</f>
        <v>DevOps discipline with the considerable workload.</v>
      </c>
      <c r="H19" s="45" t="str">
        <f>if(codigoRDivergenteJuiz = "first",codigoRDivergenteTema1,if (codigoRDivergenteJuiz = "second",codigoRDivergenteTema2, if (codigoRDivergenteCodigo1 = "", codigoRDivergenteTema2, codigoRDivergenteTema1)))</f>
        <v>curriculum</v>
      </c>
    </row>
    <row r="20">
      <c r="A20" s="44">
        <f>IFERROR(__xludf.DUMMYFUNCTION("""COMPUTED_VALUE"""),21.0)</f>
        <v>21</v>
      </c>
      <c r="B20" s="44" t="str">
        <f>IFERROR(__xludf.DUMMYFUNCTION("""COMPUTED_VALUE"""),"R2 / R3")</f>
        <v>R2 / R3</v>
      </c>
      <c r="C20" s="44" t="str">
        <f>IFERROR(__xludf.DUMMYFUNCTION("""COMPUTED_VALUE"""),"recommendation")</f>
        <v>recommendation</v>
      </c>
      <c r="D20" s="44" t="str">
        <f>IFERROR(__xludf.DUMMYFUNCTION("""COMPUTED_VALUE"""),"They use the system, and I always ask them to socialize. Now, of more remote education, we're doing that they associate what they did.  And when we are at this moment of socialization, the students can take advantage of the gain and knowledge that another"&amp;" team had in an aspect that, at times, they had not noticed.
 I teach them about social coding.
It's tough to get the students to be more social if you will, in their coding practices and do pair programming, uh, and follow the, get feature branch workf"&amp;"low. ")</f>
        <v>They use the system, and I always ask them to socialize. Now, of more remote education, we're doing that they associate what they did.  And when we are at this moment of socialization, the students can take advantage of the gain and knowledge that another team had in an aspect that, at times, they had not noticed.
 I teach them about social coding.
It's tough to get the students to be more social if you will, in their coding practices and do pair programming, uh, and follow the, get feature branch workflow. </v>
      </c>
      <c r="E20" s="44" t="str">
        <f>IFERROR(__xludf.DUMMYFUNCTION("""COMPUTED_VALUE"""),"Socializing knowledge acquired in practical activities is essential for learning.
Teach social coding.
Get the students to be more social in their coding practices and do pair programming ")</f>
        <v>Socializing knowledge acquired in practical activities is essential for learning.
Teach social coding.
Get the students to be more social in their coding practices and do pair programming </v>
      </c>
      <c r="F20" s="44" t="str">
        <f>IFERROR(__xludf.DUMMYFUNCTION("""COMPUTED_VALUE"""),"Teach social coding.")</f>
        <v>Teach social coding.</v>
      </c>
      <c r="G20" s="45" t="str">
        <f>if(codigoRDivergenteJuiz = "first",codigoRDivergenteCodigo1,if (codigoRDivergenteJuiz = "second",codigoRDivergenteCodigo2, if (codigoRDivergenteCodigo1 = "", codigoRDivergenteCodigo2, codigoRDivergenteCodigo1)))</f>
        <v>Socialization of knowledge of practical activities</v>
      </c>
      <c r="H20" s="45" t="str">
        <f>if(codigoRDivergenteJuiz = "first",codigoRDivergenteTema1,if (codigoRDivergenteJuiz = "second",codigoRDivergenteTema2, if (codigoRDivergenteCodigo1 = "", codigoRDivergenteTema2, codigoRDivergenteTema1)))</f>
        <v>strategies in course execution</v>
      </c>
    </row>
    <row r="21">
      <c r="A21" s="44">
        <f>IFERROR(__xludf.DUMMYFUNCTION("""COMPUTED_VALUE"""),22.0)</f>
        <v>22</v>
      </c>
      <c r="B21" s="44" t="str">
        <f>IFERROR(__xludf.DUMMYFUNCTION("""COMPUTED_VALUE"""),"R1 / R2")</f>
        <v>R1 / R2</v>
      </c>
      <c r="C21" s="44" t="str">
        <f>IFERROR(__xludf.DUMMYFUNCTION("""COMPUTED_VALUE"""),"recommendation")</f>
        <v>recommendation</v>
      </c>
      <c r="D21" s="44" t="str">
        <f>IFERROR(__xludf.DUMMYFUNCTION("""COMPUTED_VALUE"""),"They choose to [...] put this system on the air for a customer to see, right? In this aspect, the client is the teachers themselves who are evaluating.")</f>
        <v>They choose to [...] put this system on the air for a customer to see, right? In this aspect, the client is the teachers themselves who are evaluating.</v>
      </c>
      <c r="E21" s="44" t="str">
        <f>IFERROR(__xludf.DUMMYFUNCTION("""COMPUTED_VALUE"""),"Adopt a more professional approach in which teachers act as clients.")</f>
        <v>Adopt a more professional approach in which teachers act as clients.</v>
      </c>
      <c r="F21" s="44"/>
      <c r="G21" s="45" t="str">
        <f>if(codigoRDivergenteJuiz = "first",codigoRDivergenteCodigo1,if (codigoRDivergenteJuiz = "second",codigoRDivergenteCodigo2, if (codigoRDivergenteCodigo1 = "", codigoRDivergenteCodigo2, codigoRDivergenteCodigo1)))</f>
        <v>Teachers as clients</v>
      </c>
      <c r="H21" s="45" t="str">
        <f>if(codigoRDivergenteJuiz = "first",codigoRDivergenteTema1,if (codigoRDivergenteJuiz = "second",codigoRDivergenteTema2, if (codigoRDivergenteCodigo1 = "", codigoRDivergenteTema2, codigoRDivergenteTema1)))</f>
        <v>strategies in course execution</v>
      </c>
    </row>
    <row r="22">
      <c r="A22" s="44">
        <f>IFERROR(__xludf.DUMMYFUNCTION("""COMPUTED_VALUE"""),23.0)</f>
        <v>23</v>
      </c>
      <c r="B22" s="44" t="str">
        <f>IFERROR(__xludf.DUMMYFUNCTION("""COMPUTED_VALUE"""),"R1 / R3")</f>
        <v>R1 / R3</v>
      </c>
      <c r="C22" s="44" t="str">
        <f>IFERROR(__xludf.DUMMYFUNCTION("""COMPUTED_VALUE"""),"recommendation")</f>
        <v>recommendation</v>
      </c>
      <c r="D22" s="44" t="str">
        <f>IFERROR(__xludf.DUMMYFUNCTION("""COMPUTED_VALUE"""),"The aspects that we address about continuous integration, [...] use of the tools we use in the environment, on a day-to-day basis, facilitate development that speeds up delivery; this is one of the topics we have. In the discipline, I believe that these t"&amp;"hemes should be part of their curriculum; they should contact this theme there.")</f>
        <v>The aspects that we address about continuous integration, [...] use of the tools we use in the environment, on a day-to-day basis, facilitate development that speeds up delivery; this is one of the topics we have. In the discipline, I believe that these themes should be part of their curriculum; they should contact this theme there.</v>
      </c>
      <c r="E22" s="44" t="str">
        <f>IFERROR(__xludf.DUMMYFUNCTION("""COMPUTED_VALUE"""),"The Continuous Integration and industry tools must be in the curricula.")</f>
        <v>The Continuous Integration and industry tools must be in the curricula.</v>
      </c>
      <c r="F22" s="44"/>
      <c r="G22" s="45" t="str">
        <f>if(codigoRDivergenteJuiz = "first",codigoRDivergenteCodigo1,if (codigoRDivergenteJuiz = "second",codigoRDivergenteCodigo2, if (codigoRDivergenteCodigo1 = "", codigoRDivergenteCodigo2, codigoRDivergenteCodigo1)))</f>
        <v>Continuous Integration and industrial tools at the curriculum</v>
      </c>
      <c r="H22" s="45" t="str">
        <f>if(codigoRDivergenteJuiz = "first",codigoRDivergenteTema1,if (codigoRDivergenteJuiz = "second",codigoRDivergenteTema2, if (codigoRDivergenteCodigo1 = "", codigoRDivergenteTema2, codigoRDivergenteTema1)))</f>
        <v>curriculum</v>
      </c>
    </row>
    <row r="23">
      <c r="A23" s="44">
        <f>IFERROR(__xludf.DUMMYFUNCTION("""COMPUTED_VALUE"""),24.0)</f>
        <v>24</v>
      </c>
      <c r="B23" s="44" t="str">
        <f>IFERROR(__xludf.DUMMYFUNCTION("""COMPUTED_VALUE"""),"R1 / R2")</f>
        <v>R1 / R2</v>
      </c>
      <c r="C23" s="44" t="str">
        <f>IFERROR(__xludf.DUMMYFUNCTION("""COMPUTED_VALUE"""),"recommendation")</f>
        <v>recommendation</v>
      </c>
      <c r="D23" s="44" t="str">
        <f>IFERROR(__xludf.DUMMYFUNCTION("""COMPUTED_VALUE"""),"But as there isn't, we find different materials; we have several publications.")</f>
        <v>But as there isn't, we find different materials; we have several publications.</v>
      </c>
      <c r="E23" s="44" t="str">
        <f>IFERROR(__xludf.DUMMYFUNCTION("""COMPUTED_VALUE"""),"Combine the various materials and publications available to make up for the lack of a unified, complete, and high-level material.")</f>
        <v>Combine the various materials and publications available to make up for the lack of a unified, complete, and high-level material.</v>
      </c>
      <c r="F23" s="44"/>
      <c r="G23" s="45" t="str">
        <f>if(codigoRDivergenteJuiz = "first",codigoRDivergenteCodigo1,if (codigoRDivergenteJuiz = "second",codigoRDivergenteCodigo2, if (codigoRDivergenteCodigo1 = "", codigoRDivergenteCodigo2, codigoRDivergenteCodigo1)))</f>
        <v>Union of various materials and publications available</v>
      </c>
      <c r="H23" s="45" t="str">
        <f>if(codigoRDivergenteJuiz = "first",codigoRDivergenteTema1,if (codigoRDivergenteJuiz = "second",codigoRDivergenteTema2, if (codigoRDivergenteCodigo1 = "", codigoRDivergenteTema2, codigoRDivergenteTema1)))</f>
        <v>class preparation</v>
      </c>
    </row>
    <row r="24">
      <c r="A24" s="44">
        <f>IFERROR(__xludf.DUMMYFUNCTION("""COMPUTED_VALUE"""),25.0)</f>
        <v>25</v>
      </c>
      <c r="B24" s="44" t="str">
        <f>IFERROR(__xludf.DUMMYFUNCTION("""COMPUTED_VALUE"""),"R1 / R2")</f>
        <v>R1 / R2</v>
      </c>
      <c r="C24" s="44" t="str">
        <f>IFERROR(__xludf.DUMMYFUNCTION("""COMPUTED_VALUE"""),"recommendation")</f>
        <v>recommendation</v>
      </c>
      <c r="D24" s="44" t="str">
        <f>IFERROR(__xludf.DUMMYFUNCTION("""COMPUTED_VALUE"""),"[...] With the addition of our Project of Software Development team of professor Sales, he has access, so, more within the tool, he already knows the most diverse aspects. It was already possible for us to solve several difficulties.[...]")</f>
        <v>[...] With the addition of our Project of Software Development team of professor Sales, he has access, so, more within the tool, he already knows the most diverse aspects. It was already possible for us to solve several difficulties.[...]</v>
      </c>
      <c r="E24" s="44" t="str">
        <f>IFERROR(__xludf.DUMMYFUNCTION("""COMPUTED_VALUE"""),"When using a tool to help teach, you must have a good command of it and the necessary permissions/accompaniment of someone with such permissions to deal well with the possible difficulties during its use in the discipline.")</f>
        <v>When using a tool to help teach, you must have a good command of it and the necessary permissions/accompaniment of someone with such permissions to deal well with the possible difficulties during its use in the discipline.</v>
      </c>
      <c r="F24" s="44"/>
      <c r="G24" s="45" t="str">
        <f>if(codigoRDivergenteJuiz = "first",codigoRDivergenteCodigo1,if (codigoRDivergenteJuiz = "second",codigoRDivergenteCodigo2, if (codigoRDivergenteCodigo1 = "", codigoRDivergenteCodigo2, codigoRDivergenteCodigo1)))</f>
        <v>good mastery of the tools with the necessary permissions</v>
      </c>
      <c r="H24" s="45" t="str">
        <f>if(codigoRDivergenteJuiz = "first",codigoRDivergenteTema1,if (codigoRDivergenteJuiz = "second",codigoRDivergenteTema2, if (codigoRDivergenteCodigo1 = "", codigoRDivergenteTema2, codigoRDivergenteTema1)))</f>
        <v>tool / technology</v>
      </c>
    </row>
    <row r="25">
      <c r="A25" s="44">
        <f>IFERROR(__xludf.DUMMYFUNCTION("""COMPUTED_VALUE"""),26.0)</f>
        <v>26</v>
      </c>
      <c r="B25" s="44" t="str">
        <f>IFERROR(__xludf.DUMMYFUNCTION("""COMPUTED_VALUE"""),"R1 / R3")</f>
        <v>R1 / R3</v>
      </c>
      <c r="C25" s="44" t="str">
        <f>IFERROR(__xludf.DUMMYFUNCTION("""COMPUTED_VALUE"""),"recommendation")</f>
        <v>recommendation</v>
      </c>
      <c r="D25" s="44" t="str">
        <f>IFERROR(__xludf.DUMMYFUNCTION("""COMPUTED_VALUE"""),"The same DevOps discipline now applies at the institution where I teach concerning classes focused on security and vulnerability management and courses focused on application development and construction.")</f>
        <v>The same DevOps discipline now applies at the institution where I teach concerning classes focused on security and vulnerability management and courses focused on application development and construction.</v>
      </c>
      <c r="E25" s="44" t="str">
        <f>IFERROR(__xludf.DUMMYFUNCTION("""COMPUTED_VALUE"""),"You can use the same discipline of DevOps for operation groups focused on safety and development groups.")</f>
        <v>You can use the same discipline of DevOps for operation groups focused on safety and development groups.</v>
      </c>
      <c r="F25" s="44"/>
      <c r="G25" s="45" t="str">
        <f>if(codigoRDivergenteJuiz = "first",codigoRDivergenteCodigo1,if (codigoRDivergenteJuiz = "second",codigoRDivergenteCodigo2, if (codigoRDivergenteCodigo1 = "", codigoRDivergenteCodigo2, codigoRDivergenteCodigo1)))</f>
        <v>Identical DevOps discipline for  operation and development classes</v>
      </c>
      <c r="H25" s="45" t="str">
        <f>if(codigoRDivergenteJuiz = "first",codigoRDivergenteTema1,if (codigoRDivergenteJuiz = "second",codigoRDivergenteTema2, if (codigoRDivergenteCodigo1 = "", codigoRDivergenteTema2, codigoRDivergenteTema1)))</f>
        <v>curriculum</v>
      </c>
    </row>
    <row r="26">
      <c r="A26" s="44">
        <f>IFERROR(__xludf.DUMMYFUNCTION("""COMPUTED_VALUE"""),27.0)</f>
        <v>27</v>
      </c>
      <c r="B26" s="44" t="str">
        <f>IFERROR(__xludf.DUMMYFUNCTION("""COMPUTED_VALUE"""),"R2 / R3")</f>
        <v>R2 / R3</v>
      </c>
      <c r="C26" s="44" t="str">
        <f>IFERROR(__xludf.DUMMYFUNCTION("""COMPUTED_VALUE"""),"recommendation")</f>
        <v>recommendation</v>
      </c>
      <c r="D26" s="44" t="str">
        <f>IFERROR(__xludf.DUMMYFUNCTION("""COMPUTED_VALUE"""),"In DevOps [...], the security teams are much more in understanding what it represents from the point of view of vulnerability management and architecture, from the network concerning the cloud.")</f>
        <v>In DevOps [...], the security teams are much more in understanding what it represents from the point of view of vulnerability management and architecture, from the network concerning the cloud.</v>
      </c>
      <c r="E26" s="44" t="str">
        <f>IFERROR(__xludf.DUMMYFUNCTION("""COMPUTED_VALUE"""),"Teach the part of cloud vulnerability, architecture, and network management to the security classes in DevOps.")</f>
        <v>Teach the part of cloud vulnerability, architecture, and network management to the security classes in DevOps.</v>
      </c>
      <c r="F26" s="44"/>
      <c r="G26" s="45" t="str">
        <f>if(codigoRDivergenteJuiz = "first",codigoRDivergenteCodigo1,if (codigoRDivergenteJuiz = "second",codigoRDivergenteCodigo2, if (codigoRDivergenteCodigo1 = "", codigoRDivergenteCodigo2, codigoRDivergenteCodigo1)))</f>
        <v>Vulnerability management teaching to DevOps security classes.</v>
      </c>
      <c r="H26" s="45" t="str">
        <f>if(codigoRDivergenteJuiz = "first",codigoRDivergenteTema1,if (codigoRDivergenteJuiz = "second",codigoRDivergenteTema2, if (codigoRDivergenteCodigo1 = "", codigoRDivergenteTema2, codigoRDivergenteTema1)))</f>
        <v>curriculum</v>
      </c>
    </row>
    <row r="27">
      <c r="A27" s="44">
        <f>IFERROR(__xludf.DUMMYFUNCTION("""COMPUTED_VALUE"""),29.0)</f>
        <v>29</v>
      </c>
      <c r="B27" s="44" t="str">
        <f>IFERROR(__xludf.DUMMYFUNCTION("""COMPUTED_VALUE"""),"R1 / R3")</f>
        <v>R1 / R3</v>
      </c>
      <c r="C27" s="44" t="str">
        <f>IFERROR(__xludf.DUMMYFUNCTION("""COMPUTED_VALUE"""),"recommendation")</f>
        <v>recommendation</v>
      </c>
      <c r="D27" s="44" t="str">
        <f>IFERROR(__xludf.DUMMYFUNCTION("""COMPUTED_VALUE"""),"The recommendation is to understand the learning context of the class.
Adapt the menu according to the student profile you have.")</f>
        <v>The recommendation is to understand the learning context of the class.
Adapt the menu according to the student profile you have.</v>
      </c>
      <c r="E27" s="44" t="str">
        <f>IFERROR(__xludf.DUMMYFUNCTION("""COMPUTED_VALUE"""),"Identify the most compatible DevOps scope for each class.
Adapt the course according to the profile of students.")</f>
        <v>Identify the most compatible DevOps scope for each class.
Adapt the course according to the profile of students.</v>
      </c>
      <c r="F27" s="44" t="str">
        <f>IFERROR(__xludf.DUMMYFUNCTION("""COMPUTED_VALUE"""),"Identify the most compatible DevOps scope for each class.")</f>
        <v>Identify the most compatible DevOps scope for each class.</v>
      </c>
      <c r="G27" s="45" t="str">
        <f>if(codigoRDivergenteJuiz = "first",codigoRDivergenteCodigo1,if (codigoRDivergenteJuiz = "second",codigoRDivergenteCodigo2, if (codigoRDivergenteCodigo1 = "", codigoRDivergenteCodigo2, codigoRDivergenteCodigo1)))</f>
        <v>DevOps scope more compatible with each class</v>
      </c>
      <c r="H27" s="45" t="str">
        <f>if(codigoRDivergenteJuiz = "first",codigoRDivergenteTema1,if (codigoRDivergenteJuiz = "second",codigoRDivergenteTema2, if (codigoRDivergenteCodigo1 = "", codigoRDivergenteTema2, codigoRDivergenteTema1)))</f>
        <v>class preparation</v>
      </c>
    </row>
    <row r="28" ht="56.25" customHeight="1">
      <c r="A28" s="44">
        <f>IFERROR(__xludf.DUMMYFUNCTION("""COMPUTED_VALUE"""),30.0)</f>
        <v>30</v>
      </c>
      <c r="B28" s="44" t="str">
        <f>IFERROR(__xludf.DUMMYFUNCTION("""COMPUTED_VALUE"""),"R2 / R3")</f>
        <v>R2 / R3</v>
      </c>
      <c r="C28" s="44" t="str">
        <f>IFERROR(__xludf.DUMMYFUNCTION("""COMPUTED_VALUE"""),"recommendation")</f>
        <v>recommendation</v>
      </c>
      <c r="D28" s="44" t="str">
        <f>IFERROR(__xludf.DUMMYFUNCTION("""COMPUTED_VALUE"""),"Having a unique mechanism and an initial step, the final step you want to reach within this test, makes it much easier when you teach, when you do, especially for examples.
Explain how the methodology can be applied, with examples and even tools.
I am n"&amp;"ot going to deliver a ready-made recipe. I am going to use different tools. diverse methodologies that are also tools for them to try to apply within their process.
The lab is like in the lab, because it's a very practical ...   we've implemented an appl"&amp;"ication, uh, a web application, which, uh, in, currently we are using the application we use is a banking application. It is the online banking where people can go in and create an account or transfer between accounts and do all those kind of thing.
In s"&amp;"ome topics, maybe it's introducing a bit more. So say that you're getting in the topic in the, in the lecture where, um, containers are, are relevant and then deployment is relevant. Then maybe the way is to discuss a bit more maybe than use Kubernetes an"&amp;"d Docker, give concrete examples and stuff like that that supports the reading that they have done.")</f>
        <v>Having a unique mechanism and an initial step, the final step you want to reach within this test, makes it much easier when you teach, when you do, especially for examples.
Explain how the methodology can be applied, with examples and even tools.
I am not going to deliver a ready-made recipe. I am going to use different tools. diverse methodologies that are also tools for them to try to apply within their process.
The lab is like in the lab, because it's a very practical ...   we've implemented an application, uh, a web application, which, uh, in, currently we are using the application we use is a banking application. It is the online banking where people can go in and create an account or transfer between accounts and do all those kind of thing.
In some topics, maybe it's introducing a bit more. So say that you're getting in the topic in the, in the lecture where, um, containers are, are relevant and then deployment is relevant. Then maybe the way is to discuss a bit more maybe than use Kubernetes and Docker, give concrete examples and stuff like that that supports the reading that they have done.</v>
      </c>
      <c r="E28" s="44" t="str">
        <f>IFERROR(__xludf.DUMMYFUNCTION("""COMPUTED_VALUE"""),"Make an example to the student in a practical context from the initial stage to the final step.
During the explanation of how to apply devops methodology, make use of example including tools.
Use different tools and methodologies.
Provide sample applic"&amp;"ation in the labs.
Show concrete examples when you are presenting some tool like Kubernetes and Docker.")</f>
        <v>Make an example to the student in a practical context from the initial stage to the final step.
During the explanation of how to apply devops methodology, make use of example including tools.
Use different tools and methodologies.
Provide sample application in the labs.
Show concrete examples when you are presenting some tool like Kubernetes and Docker.</v>
      </c>
      <c r="F28" s="44" t="str">
        <f>IFERROR(__xludf.DUMMYFUNCTION("""COMPUTED_VALUE"""),"Teach using examples.")</f>
        <v>Teach using examples.</v>
      </c>
      <c r="G28" s="45" t="str">
        <f>if(codigoRDivergenteJuiz = "first",codigoRDivergenteCodigo1,if (codigoRDivergenteJuiz = "second",codigoRDivergenteCodigo2, if (codigoRDivergenteCodigo1 = "", codigoRDivergenteCodigo2, codigoRDivergenteCodigo1)))</f>
        <v>Practice with well-defined example steps and contexts.</v>
      </c>
      <c r="H28" s="45" t="str">
        <f>if(codigoRDivergenteJuiz = "first",codigoRDivergenteTema1,if (codigoRDivergenteJuiz = "second",codigoRDivergenteTema2, if (codigoRDivergenteCodigo1 = "", codigoRDivergenteTema2, codigoRDivergenteTema1)))</f>
        <v>strategies in course execution</v>
      </c>
    </row>
    <row r="29">
      <c r="A29" s="44">
        <f>IFERROR(__xludf.DUMMYFUNCTION("""COMPUTED_VALUE"""),32.0)</f>
        <v>32</v>
      </c>
      <c r="B29" s="44" t="str">
        <f>IFERROR(__xludf.DUMMYFUNCTION("""COMPUTED_VALUE"""),"R1 / R3")</f>
        <v>R1 / R3</v>
      </c>
      <c r="C29" s="44" t="str">
        <f>IFERROR(__xludf.DUMMYFUNCTION("""COMPUTED_VALUE"""),"recommendation")</f>
        <v>recommendation</v>
      </c>
      <c r="D29" s="44" t="str">
        <f>IFERROR(__xludf.DUMMYFUNCTION("""COMPUTED_VALUE"""),"Present concepts that are well established in the community, such as axes, [...] in the DevOps process.
I simply want them to be able to set up some kind of a pipeline and understand how it works.")</f>
        <v>Present concepts that are well established in the community, such as axes, [...] in the DevOps process.
I simply want them to be able to set up some kind of a pipeline and understand how it works.</v>
      </c>
      <c r="E29" s="44" t="str">
        <f>IFERROR(__xludf.DUMMYFUNCTION("""COMPUTED_VALUE"""),"Introduce well-established concepts by the DevOps community, such as the DevOps pipeline process.
Teach how to set up a pipeline and explain how it works.")</f>
        <v>Introduce well-established concepts by the DevOps community, such as the DevOps pipeline process.
Teach how to set up a pipeline and explain how it works.</v>
      </c>
      <c r="F29" s="44" t="str">
        <f>IFERROR(__xludf.DUMMYFUNCTION("""COMPUTED_VALUE"""),"Introduce well-established concepts by the DevOps community, such as the DevOps pipeline process.")</f>
        <v>Introduce well-established concepts by the DevOps community, such as the DevOps pipeline process.</v>
      </c>
      <c r="G29" s="45" t="str">
        <f>if(codigoRDivergenteJuiz = "first",codigoRDivergenteCodigo1,if (codigoRDivergenteJuiz = "second",codigoRDivergenteCodigo2, if (codigoRDivergenteCodigo1 = "", codigoRDivergenteCodigo2, codigoRDivergenteCodigo1)))</f>
        <v>Teaching of well-established concepts like the DevOps pipeline process</v>
      </c>
      <c r="H29" s="45" t="str">
        <f>if(codigoRDivergenteJuiz = "first",codigoRDivergenteTema1,if (codigoRDivergenteJuiz = "second",codigoRDivergenteTema2, if (codigoRDivergenteCodigo1 = "", codigoRDivergenteTema2, codigoRDivergenteTema1)))</f>
        <v>devops concepts</v>
      </c>
    </row>
    <row r="30">
      <c r="A30" s="44">
        <f>IFERROR(__xludf.DUMMYFUNCTION("""COMPUTED_VALUE"""),33.0)</f>
        <v>33</v>
      </c>
      <c r="B30" s="44" t="str">
        <f>IFERROR(__xludf.DUMMYFUNCTION("""COMPUTED_VALUE"""),"R2 / R3")</f>
        <v>R2 / R3</v>
      </c>
      <c r="C30" s="44" t="str">
        <f>IFERROR(__xludf.DUMMYFUNCTION("""COMPUTED_VALUE"""),"recommendation")</f>
        <v>recommendation</v>
      </c>
      <c r="D30" s="44" t="str">
        <f>IFERROR(__xludf.DUMMYFUNCTION("""COMPUTED_VALUE"""),"Present [...] cases on how this translates, [...] eliminating the silos between operations and development.")</f>
        <v>Present [...] cases on how this translates, [...] eliminating the silos between operations and development.</v>
      </c>
      <c r="E30" s="44" t="str">
        <f>IFERROR(__xludf.DUMMYFUNCTION("""COMPUTED_VALUE"""),"Present the use case of devops, for example, the elimination of silos among the development team.
Identify the market use cases of devops such as the Google case and the relationship between DevOps and the SRE professional to illustrate the importance of"&amp;" DevOps concepts.
Try to use case study together labs.
Use lectures to show case studies and emphasize in some of the DevOps concepts.")</f>
        <v>Present the use case of devops, for example, the elimination of silos among the development team.
Identify the market use cases of devops such as the Google case and the relationship between DevOps and the SRE professional to illustrate the importance of DevOps concepts.
Try to use case study together labs.
Use lectures to show case studies and emphasize in some of the DevOps concepts.</v>
      </c>
      <c r="F30" s="44" t="str">
        <f>IFERROR(__xludf.DUMMYFUNCTION("""COMPUTED_VALUE"""),"Show use cases of DevOps.")</f>
        <v>Show use cases of DevOps.</v>
      </c>
      <c r="G30" s="45" t="str">
        <f>if(codigoRDivergenteJuiz = "first",codigoRDivergenteCodigo1,if (codigoRDivergenteJuiz = "second",codigoRDivergenteCodigo2, if (codigoRDivergenteCodigo1 = "", codigoRDivergenteCodigo2, codigoRDivergenteCodigo1)))</f>
        <v>Use case sampling, eliminating silos between development and operations teams.</v>
      </c>
      <c r="H30" s="45" t="str">
        <f>if(codigoRDivergenteJuiz = "first",codigoRDivergenteTema1,if (codigoRDivergenteJuiz = "second",codigoRDivergenteTema2, if (codigoRDivergenteCodigo1 = "", codigoRDivergenteTema2, codigoRDivergenteTema1)))</f>
        <v>strategies in course execution</v>
      </c>
    </row>
    <row r="31">
      <c r="A31" s="44">
        <f>IFERROR(__xludf.DUMMYFUNCTION("""COMPUTED_VALUE"""),34.0)</f>
        <v>34</v>
      </c>
      <c r="B31" s="44" t="str">
        <f>IFERROR(__xludf.DUMMYFUNCTION("""COMPUTED_VALUE"""),"R1 / R2")</f>
        <v>R1 / R2</v>
      </c>
      <c r="C31" s="44" t="str">
        <f>IFERROR(__xludf.DUMMYFUNCTION("""COMPUTED_VALUE"""),"recommendation")</f>
        <v>recommendation</v>
      </c>
      <c r="D31" s="24" t="str">
        <f>IFERROR(__xludf.DUMMYFUNCTION("""COMPUTED_VALUE"""),"Always start with culture before moving on to teaching or tool-based demonstration.")</f>
        <v>Always start with culture before moving on to teaching or tool-based demonstration.</v>
      </c>
      <c r="E31" s="24" t="str">
        <f>IFERROR(__xludf.DUMMYFUNCTION("""COMPUTED_VALUE"""),"Start teaching DevOps from the culture. Only then demonstrate with tools.")</f>
        <v>Start teaching DevOps from the culture. Only then demonstrate with tools.</v>
      </c>
      <c r="F31" s="24"/>
      <c r="G31" s="45" t="str">
        <f>if(codigoRDivergenteJuiz = "first",codigoRDivergenteCodigo1,if (codigoRDivergenteJuiz = "second",codigoRDivergenteCodigo2, if (codigoRDivergenteCodigo1 = "", codigoRDivergenteCodigo2, codigoRDivergenteCodigo1)))</f>
        <v>teaching from culture, tools next</v>
      </c>
      <c r="H31" s="45" t="str">
        <f>if(codigoRDivergenteJuiz = "first",codigoRDivergenteTema1,if (codigoRDivergenteJuiz = "second",codigoRDivergenteTema2, if (codigoRDivergenteCodigo1 = "", codigoRDivergenteTema2, codigoRDivergenteTema1)))</f>
        <v>strategies in course execution</v>
      </c>
    </row>
    <row r="32">
      <c r="A32" s="44">
        <f>IFERROR(__xludf.DUMMYFUNCTION("""COMPUTED_VALUE"""),35.0)</f>
        <v>35</v>
      </c>
      <c r="B32" s="44" t="str">
        <f>IFERROR(__xludf.DUMMYFUNCTION("""COMPUTED_VALUE"""),"R1 / R3")</f>
        <v>R1 / R3</v>
      </c>
      <c r="C32" s="44" t="str">
        <f>IFERROR(__xludf.DUMMYFUNCTION("""COMPUTED_VALUE"""),"recommendation")</f>
        <v>recommendation</v>
      </c>
      <c r="D32" s="24" t="str">
        <f>IFERROR(__xludf.DUMMYFUNCTION("""COMPUTED_VALUE"""),"Build a cohesive [...] laboratory in a specific setting that can better demonstrate the concept being taught there.
So, the recommendation is to abuse the use of online solutions, which facilitate this process, but at the same time, stop the journey [..."&amp;"] So, the recommendation is to abuse the use of online solutions, which facilitate this process, but at the same time, stop the journey.")</f>
        <v>Build a cohesive [...] laboratory in a specific setting that can better demonstrate the concept being taught there.
So, the recommendation is to abuse the use of online solutions, which facilitate this process, but at the same time, stop the journey [...] So, the recommendation is to abuse the use of online solutions, which facilitate this process, but at the same time, stop the journey.</v>
      </c>
      <c r="E32" s="44" t="str">
        <f>IFERROR(__xludf.DUMMYFUNCTION("""COMPUTED_VALUE"""),"Delimit a specific set of tools to build a scenario in order to demonstrate a concept to be taught.
Standardize the use of tools in a well-defined setting.")</f>
        <v>Delimit a specific set of tools to build a scenario in order to demonstrate a concept to be taught.
Standardize the use of tools in a well-defined setting.</v>
      </c>
      <c r="F32" s="44" t="str">
        <f>IFERROR(__xludf.DUMMYFUNCTION("""COMPUTED_VALUE"""),"Delimit a specific set of tools to build a scenario.")</f>
        <v>Delimit a specific set of tools to build a scenario.</v>
      </c>
      <c r="G32" s="45" t="str">
        <f>if(codigoRDivergenteJuiz = "first",codigoRDivergenteCodigo1,if (codigoRDivergenteJuiz = "second",codigoRDivergenteCodigo2, if (codigoRDivergenteCodigo1 = "", codigoRDivergenteCodigo2, codigoRDivergenteCodigo1)))</f>
        <v>Creation of teaching scenario based on specific set of tools</v>
      </c>
      <c r="H32" s="45" t="str">
        <f>if(codigoRDivergenteJuiz = "first",codigoRDivergenteTema1,if (codigoRDivergenteJuiz = "second",codigoRDivergenteTema2, if (codigoRDivergenteCodigo1 = "", codigoRDivergenteTema2, codigoRDivergenteTema1)))</f>
        <v>tool / technology</v>
      </c>
    </row>
    <row r="33">
      <c r="A33" s="44">
        <f>IFERROR(__xludf.DUMMYFUNCTION("""COMPUTED_VALUE"""),36.0)</f>
        <v>36</v>
      </c>
      <c r="B33" s="44" t="str">
        <f>IFERROR(__xludf.DUMMYFUNCTION("""COMPUTED_VALUE"""),"R2 / R3")</f>
        <v>R2 / R3</v>
      </c>
      <c r="C33" s="44" t="str">
        <f>IFERROR(__xludf.DUMMYFUNCTION("""COMPUTED_VALUE"""),"recommendation")</f>
        <v>recommendation</v>
      </c>
      <c r="D33" s="24" t="str">
        <f>IFERROR(__xludf.DUMMYFUNCTION("""COMPUTED_VALUE"""),"If it's a case where I don't have access to almost anything, I need to go to a cloud to take a class with the student, even if it doesn't involve the course itself. I need to do everything remote.
Everyone is already using Google or Amazon, with their Ku"&amp;"bernetes environments available for you to use.
The environment setup is key. What I would love to do is have an environment in the cloud. That's always consistent. That would kind of be the best.
The recommendation is we just get them off their local m"&amp;"achines and get them working off cloud servers or something like that. So that at least a, you can kind of script the stuff be if it gets messed up, there's no risk. You just tear it down and build a new one.
The third lab, that's what we do since last w"&amp;"inter. We didn't do it last summer, did deploy on, on, on AWS. So we have, we have built accounts on Amazon, so they can go all the way.
I think maybe the, um, the using external cloud services would give you the better in terms of DevOps philosophy, let"&amp;"'s say, because then you're really pushing and you bring stuff outside of the academy ecosystem.")</f>
        <v>If it's a case where I don't have access to almost anything, I need to go to a cloud to take a class with the student, even if it doesn't involve the course itself. I need to do everything remote.
Everyone is already using Google or Amazon, with their Kubernetes environments available for you to use.
The environment setup is key. What I would love to do is have an environment in the cloud. That's always consistent. That would kind of be the best.
The recommendation is we just get them off their local machines and get them working off cloud servers or something like that. So that at least a, you can kind of script the stuff be if it gets messed up, there's no risk. You just tear it down and build a new one.
The third lab, that's what we do since last winter. We didn't do it last summer, did deploy on, on, on AWS. So we have, we have built accounts on Amazon, so they can go all the way.
I think maybe the, um, the using external cloud services would give you the better in terms of DevOps philosophy, let's say, because then you're really pushing and you bring stuff outside of the academy ecosystem.</v>
      </c>
      <c r="E33" s="44" t="str">
        <f>IFERROR(__xludf.DUMMYFUNCTION("""COMPUTED_VALUE"""),"For a scenario with limited resources, it is recommended to make use of public cloud services.
Use available cloud services (AWS, Google) with Kubernetes.
Do environment setup in the cloud is the best option because they are always consistent.
Get stud"&amp;"ents off their local machines and get them working off cloud servers.
Make the students experiment how to use a cloud provider like AWS.
Using external cloud services would give you the better in terms of DevOps philosophy, because then you're really pu"&amp;"shing and you bring stuff outside of the academy ecosystem.")</f>
        <v>For a scenario with limited resources, it is recommended to make use of public cloud services.
Use available cloud services (AWS, Google) with Kubernetes.
Do environment setup in the cloud is the best option because they are always consistent.
Get students off their local machines and get them working off cloud servers.
Make the students experiment how to use a cloud provider like AWS.
Using external cloud services would give you the better in terms of DevOps philosophy, because then you're really pushing and you bring stuff outside of the academy ecosystem.</v>
      </c>
      <c r="F33" s="44" t="str">
        <f>IFERROR(__xludf.DUMMYFUNCTION("""COMPUTED_VALUE"""),"Use cloud provider services.")</f>
        <v>Use cloud provider services.</v>
      </c>
      <c r="G33" s="45" t="str">
        <f>if(codigoRDivergenteJuiz = "first",codigoRDivergenteCodigo1,if (codigoRDivergenteJuiz = "second",codigoRDivergenteCodigo2, if (codigoRDivergenteCodigo1 = "", codigoRDivergenteCodigo2, codigoRDivergenteCodigo1)))</f>
        <v>cloud provider services</v>
      </c>
      <c r="H33" s="45" t="str">
        <f>if(codigoRDivergenteJuiz = "first",codigoRDivergenteTema1,if (codigoRDivergenteJuiz = "second",codigoRDivergenteTema2, if (codigoRDivergenteCodigo1 = "", codigoRDivergenteTema2, codigoRDivergenteTema1)))</f>
        <v>tool / technology</v>
      </c>
    </row>
    <row r="34">
      <c r="A34" s="44">
        <f>IFERROR(__xludf.DUMMYFUNCTION("""COMPUTED_VALUE"""),37.0)</f>
        <v>37</v>
      </c>
      <c r="B34" s="44" t="str">
        <f>IFERROR(__xludf.DUMMYFUNCTION("""COMPUTED_VALUE"""),"R1 / R2")</f>
        <v>R1 / R2</v>
      </c>
      <c r="C34" s="44" t="str">
        <f>IFERROR(__xludf.DUMMYFUNCTION("""COMPUTED_VALUE"""),"recommendation")</f>
        <v>recommendation</v>
      </c>
      <c r="D34" s="44" t="str">
        <f>IFERROR(__xludf.DUMMYFUNCTION("""COMPUTED_VALUE"""),"Put the student in an efficient context; he can see in class a tool that he has probably seen someone using in the company or has heard of. This makes for much better immersion in class.
So, suppose someone had a more traumatic experience at such a stage"&amp;" of the delivery process. In that case, you know how to use it at the right time with them and impersonate with them, talk, look, as you told me in that part, a solution that might work for you, again, because there is no ready-made solution, it would be "&amp;"to apply this technology to try to mitigate or resolve it.
I prefer to take it out during class to show the day-to-day blocks delivered in the end. However, the recommendation is to use the infrastructure blocks to feed your course, as didactics. Do you "&amp;"speak, look, remember the block we had? The dependency, the software is made in Java 8, and we tried to compile a machine that had Java 15. Do you see this problem? How do we solve it? We analyze, run some process analysis frameworks because we can use an"&amp;"y language as a tool, but use it as an experience.
  I spent a couple of discussing about the concepts discussing about the issues.")</f>
        <v>Put the student in an efficient context; he can see in class a tool that he has probably seen someone using in the company or has heard of. This makes for much better immersion in class.
So, suppose someone had a more traumatic experience at such a stage of the delivery process. In that case, you know how to use it at the right time with them and impersonate with them, talk, look, as you told me in that part, a solution that might work for you, again, because there is no ready-made solution, it would be to apply this technology to try to mitigate or resolve it.
I prefer to take it out during class to show the day-to-day blocks delivered in the end. However, the recommendation is to use the infrastructure blocks to feed your course, as didactics. Do you speak, look, remember the block we had? The dependency, the software is made in Java 8, and we tried to compile a machine that had Java 15. Do you see this problem? How do we solve it? We analyze, run some process analysis frameworks because we can use any language as a tool, but use it as an experience.
  I spent a couple of discussing about the concepts discussing about the issues.</v>
      </c>
      <c r="E34" s="44" t="str">
        <f>IFERROR(__xludf.DUMMYFUNCTION("""COMPUTED_VALUE"""),"Search for references from practical contexts experienced by students to easy the understanding, using popular tools.
During the explanations, make use of the difficulties, opinions and experiences faced by the students, pointing out solutions using Devo"&amp;"ps.
Use the difficulties with infrastructure in favor of learning, conducting discussions among students.
Promotes discussions about DevOps concepts and related issues.")</f>
        <v>Search for references from practical contexts experienced by students to easy the understanding, using popular tools.
During the explanations, make use of the difficulties, opinions and experiences faced by the students, pointing out solutions using Devops.
Use the difficulties with infrastructure in favor of learning, conducting discussions among students.
Promotes discussions about DevOps concepts and related issues.</v>
      </c>
      <c r="F34" s="44" t="str">
        <f>IFERROR(__xludf.DUMMYFUNCTION("""COMPUTED_VALUE"""),"Promotes discussions about DevOps concepts and related issues.")</f>
        <v>Promotes discussions about DevOps concepts and related issues.</v>
      </c>
      <c r="G34" s="45" t="str">
        <f>if(codigoRDivergenteJuiz = "first",codigoRDivergenteCodigo1,if (codigoRDivergenteJuiz = "second",codigoRDivergenteCodigo2, if (codigoRDivergenteCodigo1 = "", codigoRDivergenteCodigo2, codigoRDivergenteCodigo1)))</f>
        <v>References from practical context lived by students</v>
      </c>
      <c r="H34" s="45" t="str">
        <f>if(codigoRDivergenteJuiz = "first",codigoRDivergenteTema1,if (codigoRDivergenteJuiz = "second",codigoRDivergenteTema2, if (codigoRDivergenteCodigo1 = "", codigoRDivergenteTema2, codigoRDivergenteTema1)))</f>
        <v>strategies in course execution</v>
      </c>
    </row>
    <row r="35">
      <c r="A35" s="44">
        <f>IFERROR(__xludf.DUMMYFUNCTION("""COMPUTED_VALUE"""),38.0)</f>
        <v>38</v>
      </c>
      <c r="B35" s="44" t="str">
        <f>IFERROR(__xludf.DUMMYFUNCTION("""COMPUTED_VALUE"""),"R1 / R3")</f>
        <v>R1 / R3</v>
      </c>
      <c r="C35" s="44" t="str">
        <f>IFERROR(__xludf.DUMMYFUNCTION("""COMPUTED_VALUE"""),"recommendation")</f>
        <v>recommendation</v>
      </c>
      <c r="D35" s="44" t="str">
        <f>IFERROR(__xludf.DUMMYFUNCTION("""COMPUTED_VALUE"""),"This menu will have some possibilities to create mutations in this menu because the DevOps concept is very open; right, it encompasses different areas between development, security, and operations.")</f>
        <v>This menu will have some possibilities to create mutations in this menu because the DevOps concept is very open; right, it encompasses different areas between development, security, and operations.</v>
      </c>
      <c r="E35" s="44" t="str">
        <f>IFERROR(__xludf.DUMMYFUNCTION("""COMPUTED_VALUE"""),"Create mutations in the menu due to the breadth of DevOps encompassing the development, operation, and security part.")</f>
        <v>Create mutations in the menu due to the breadth of DevOps encompassing the development, operation, and security part.</v>
      </c>
      <c r="F35" s="44"/>
      <c r="G35" s="45" t="str">
        <f>if(codigoRDivergenteJuiz = "first",codigoRDivergenteCodigo1,if (codigoRDivergenteJuiz = "second",codigoRDivergenteCodigo2, if (codigoRDivergenteCodigo1 = "", codigoRDivergenteCodigo2, codigoRDivergenteCodigo1)))</f>
        <v>menu varying percentage of development, operation and security</v>
      </c>
      <c r="H35" s="45" t="str">
        <f>if(codigoRDivergenteJuiz = "first",codigoRDivergenteTema1,if (codigoRDivergenteJuiz = "second",codigoRDivergenteTema2, if (codigoRDivergenteCodigo1 = "", codigoRDivergenteTema2, codigoRDivergenteTema1)))</f>
        <v>curriculum</v>
      </c>
    </row>
    <row r="36">
      <c r="A36" s="44">
        <f>IFERROR(__xludf.DUMMYFUNCTION("""COMPUTED_VALUE"""),39.0)</f>
        <v>39</v>
      </c>
      <c r="B36" s="44" t="str">
        <f>IFERROR(__xludf.DUMMYFUNCTION("""COMPUTED_VALUE"""),"R2 / R3")</f>
        <v>R2 / R3</v>
      </c>
      <c r="C36" s="44" t="str">
        <f>IFERROR(__xludf.DUMMYFUNCTION("""COMPUTED_VALUE"""),"recommendation")</f>
        <v>recommendation</v>
      </c>
      <c r="D36" s="44" t="str">
        <f>IFERROR(__xludf.DUMMYFUNCTION("""COMPUTED_VALUE"""),"This curriculum, a part of it, do you understand? With about forty percent, about sixty percent fixed, which is culture, main historical characteristics of how it came about, what does culture represent, what it changes about development processes, securi"&amp;"ty operations. The changeable part is the tools, where you will apply them or what matches you to the students within the classroom in the course syllabus.")</f>
        <v>This curriculum, a part of it, do you understand? With about forty percent, about sixty percent fixed, which is culture, main historical characteristics of how it came about, what does culture represent, what it changes about development processes, security operations. The changeable part is the tools, where you will apply them or what matches you to the students within the classroom in the course syllabus.</v>
      </c>
      <c r="E36" s="44" t="str">
        <f>IFERROR(__xludf.DUMMYFUNCTION("""COMPUTED_VALUE"""),"Half of the curriculum with DevOps concepts/culture. Half the curriculum with tools.")</f>
        <v>Half of the curriculum with DevOps concepts/culture. Half the curriculum with tools.</v>
      </c>
      <c r="F36" s="44"/>
      <c r="G36" s="45" t="str">
        <f>if(codigoRDivergenteJuiz = "first",codigoRDivergenteCodigo1,if (codigoRDivergenteJuiz = "second",codigoRDivergenteCodigo2, if (codigoRDivergenteCodigo1 = "", codigoRDivergenteCodigo2, codigoRDivergenteCodigo1)))</f>
        <v>Dedication on 50% for DevOps culture and 50% for tools on the curriculum</v>
      </c>
      <c r="H36" s="45" t="str">
        <f>if(codigoRDivergenteJuiz = "first",codigoRDivergenteTema1,if (codigoRDivergenteJuiz = "second",codigoRDivergenteTema2, if (codigoRDivergenteCodigo1 = "", codigoRDivergenteTema2, codigoRDivergenteTema1)))</f>
        <v>curriculum</v>
      </c>
    </row>
    <row r="37">
      <c r="A37" s="44">
        <f>IFERROR(__xludf.DUMMYFUNCTION("""COMPUTED_VALUE"""),40.0)</f>
        <v>40</v>
      </c>
      <c r="B37" s="44" t="str">
        <f>IFERROR(__xludf.DUMMYFUNCTION("""COMPUTED_VALUE"""),"R1 / R2")</f>
        <v>R1 / R2</v>
      </c>
      <c r="C37" s="44" t="str">
        <f>IFERROR(__xludf.DUMMYFUNCTION("""COMPUTED_VALUE"""),"recommendation")</f>
        <v>recommendation</v>
      </c>
      <c r="D37" s="44" t="str">
        <f>IFERROR(__xludf.DUMMYFUNCTION("""COMPUTED_VALUE"""),"For a project management class [...], I often had to introduce [...] based on direct analogies or analogies with other scenarios he has already encountered in the product management part to understand what I was speaking.")</f>
        <v>For a project management class [...], I often had to introduce [...] based on direct analogies or analogies with other scenarios he has already encountered in the product management part to understand what I was speaking.</v>
      </c>
      <c r="E37" s="44" t="str">
        <f>IFERROR(__xludf.DUMMYFUNCTION("""COMPUTED_VALUE"""),"For project management class, it is necessary to introduce DevOps through direct analogies or using scenarios known to them during teaching.")</f>
        <v>For project management class, it is necessary to introduce DevOps through direct analogies or using scenarios known to them during teaching.</v>
      </c>
      <c r="F37" s="44"/>
      <c r="G37" s="45" t="str">
        <f>if(codigoRDivergenteJuiz = "first",codigoRDivergenteCodigo1,if (codigoRDivergenteJuiz = "second",codigoRDivergenteCodigo2, if (codigoRDivergenteCodigo1 = "", codigoRDivergenteCodigo2, codigoRDivergenteCodigo1)))</f>
        <v>Teaching through known direct analogies to project management classes</v>
      </c>
      <c r="H37" s="45" t="str">
        <f>if(codigoRDivergenteJuiz = "first",codigoRDivergenteTema1,if (codigoRDivergenteJuiz = "second",codigoRDivergenteTema2, if (codigoRDivergenteCodigo1 = "", codigoRDivergenteTema2, codigoRDivergenteTema1)))</f>
        <v>strategies in course execution</v>
      </c>
    </row>
    <row r="38">
      <c r="A38" s="44">
        <f>IFERROR(__xludf.DUMMYFUNCTION("""COMPUTED_VALUE"""),41.0)</f>
        <v>41</v>
      </c>
      <c r="B38" s="44" t="str">
        <f>IFERROR(__xludf.DUMMYFUNCTION("""COMPUTED_VALUE"""),"R1 / R3")</f>
        <v>R1 / R3</v>
      </c>
      <c r="C38" s="44" t="str">
        <f>IFERROR(__xludf.DUMMYFUNCTION("""COMPUTED_VALUE"""),"recommendation")</f>
        <v>recommendation</v>
      </c>
      <c r="D38" s="24" t="str">
        <f>IFERROR(__xludf.DUMMYFUNCTION("""COMPUTED_VALUE"""),"Always focus on culture, the tools are excellent, they attract a student, they create a practical scenario, but oh, DevOps implementation errors in practice are mainly caused by companies and professionals who do not interpret this as a culture.
More imp"&amp;"ortant [...] is to understand that concepts such as observability, development culture, communication, sharing are core. They are the core of what is proposed in relation to DevOps.
Teach the DevOps culture: respect the individualities of your team, not "&amp;"looking to blame anyone but for solutions.
The only way to teach culture, the only way to experience culture is to immerse the students in the culture. [...] one of the examples I give to my students is I say, you know, I took three years of Spanish in h"&amp;"igh school and I don't speak a word of Spanish, but I bet if I spent a summer in Spain, I would come back speaking, fluent Spanish. So I tell them: ""this class is your summer in Spain"", right? We are going to live DevOps. We're going to experience DevOp"&amp;"s. And that's the only way you can properly teach it.
Working as an agile team and using the DevOps tools, but most importantly, living the DevOps culture.
Like, what do you teach in a DevOps course? Like, do you teach just technologies like Kubernetes "&amp;"and Docker? And, and I kept saying, no, this is not why I went back to university. I don't want to be just teaching techniques and tools because these will change over time.
")</f>
        <v>Always focus on culture, the tools are excellent, they attract a student, they create a practical scenario, but oh, DevOps implementation errors in practice are mainly caused by companies and professionals who do not interpret this as a culture.
More important [...] is to understand that concepts such as observability, development culture, communication, sharing are core. They are the core of what is proposed in relation to DevOps.
Teach the DevOps culture: respect the individualities of your team, not looking to blame anyone but for solutions.
The only way to teach culture, the only way to experience culture is to immerse the students in the culture. [...] one of the examples I give to my students is I say, you know, I took three years of Spanish in high school and I don't speak a word of Spanish, but I bet if I spent a summer in Spain, I would come back speaking, fluent Spanish. So I tell them: "this class is your summer in Spain", right? We are going to live DevOps. We're going to experience DevOps. And that's the only way you can properly teach it.
Working as an agile team and using the DevOps tools, but most importantly, living the DevOps culture.
Like, what do you teach in a DevOps course? Like, do you teach just technologies like Kubernetes and Docker? And, and I kept saying, no, this is not why I went back to university. I don't want to be just teaching techniques and tools because these will change over time.
</v>
      </c>
      <c r="E38" s="24" t="str">
        <f>IFERROR(__xludf.DUMMYFUNCTION("""COMPUTED_VALUE"""),"Emphasize the importance of the DevOps culture and propagate it.
It is important to teach concepts such as observability and other cultural aspects such as sharing and communication.
Teach the DevOps culture: respect the individualities of your team, no"&amp;"t looking for blame, but for solutions.
Live DevOps and its culture is the best way to learn it.
Living DevOps culture is more important than just learning DevOps tools.
Don't teach a DevOps course only focusing on tools and technologies because it cha"&amp;"nges over time.")</f>
        <v>Emphasize the importance of the DevOps culture and propagate it.
It is important to teach concepts such as observability and other cultural aspects such as sharing and communication.
Teach the DevOps culture: respect the individualities of your team, not looking for blame, but for solutions.
Live DevOps and its culture is the best way to learn it.
Living DevOps culture is more important than just learning DevOps tools.
Don't teach a DevOps course only focusing on tools and technologies because it changes over time.</v>
      </c>
      <c r="F38" s="24" t="str">
        <f>IFERROR(__xludf.DUMMYFUNCTION("""COMPUTED_VALUE"""),"Teach the DevOps mindset.")</f>
        <v>Teach the DevOps mindset.</v>
      </c>
      <c r="G38" s="45" t="str">
        <f>if(codigoRDivergenteJuiz = "first",codigoRDivergenteCodigo1,if (codigoRDivergenteJuiz = "second",codigoRDivergenteCodigo2, if (codigoRDivergenteCodigo1 = "", codigoRDivergenteCodigo2, codigoRDivergenteCodigo1)))</f>
        <v>Teaching of Culture DevOps</v>
      </c>
      <c r="H38" s="45" t="str">
        <f>if(codigoRDivergenteJuiz = "first",codigoRDivergenteTema1,if (codigoRDivergenteJuiz = "second",codigoRDivergenteTema2, if (codigoRDivergenteCodigo1 = "", codigoRDivergenteTema2, codigoRDivergenteTema1)))</f>
        <v>devops concepts</v>
      </c>
    </row>
    <row r="39">
      <c r="A39" s="44">
        <f>IFERROR(__xludf.DUMMYFUNCTION("""COMPUTED_VALUE"""),43.0)</f>
        <v>43</v>
      </c>
      <c r="B39" s="44" t="str">
        <f>IFERROR(__xludf.DUMMYFUNCTION("""COMPUTED_VALUE"""),"R1 / R2")</f>
        <v>R1 / R2</v>
      </c>
      <c r="C39" s="44" t="str">
        <f>IFERROR(__xludf.DUMMYFUNCTION("""COMPUTED_VALUE"""),"recommendation")</f>
        <v>recommendation</v>
      </c>
      <c r="D39" s="44" t="str">
        <f>IFERROR(__xludf.DUMMYFUNCTION("""COMPUTED_VALUE"""),"And DevOps a lot in seeing this; they have different backgrounds, have other life stories, experiences that marked them in different ways and knowing when to present a new tool, listen to what these people have.
So I let them know that if you asked me th"&amp;"e same question a second time, I promise I won't answer it the same way. I'll try to find some different way to make that connection with you. Right? So that you understand it, given the background that you have. Given the skills that you have. Uh, so aga"&amp;"in, I try to immerse them in this culture.")</f>
        <v>And DevOps a lot in seeing this; they have different backgrounds, have other life stories, experiences that marked them in different ways and knowing when to present a new tool, listen to what these people have.
So I let them know that if you asked me the same question a second time, I promise I won't answer it the same way. I'll try to find some different way to make that connection with you. Right? So that you understand it, given the background that you have. Given the skills that you have. Uh, so again, I try to immerse them in this culture.</v>
      </c>
      <c r="E39" s="44" t="str">
        <f>IFERROR(__xludf.DUMMYFUNCTION("""COMPUTED_VALUE"""),"We seek a communication between students and teachers, where attention is paid to the students' opinions.
Teaching customized based on students background.")</f>
        <v>We seek a communication between students and teachers, where attention is paid to the students' opinions.
Teaching customized based on students background.</v>
      </c>
      <c r="F39" s="44" t="str">
        <f>IFERROR(__xludf.DUMMYFUNCTION("""COMPUTED_VALUE"""),"Customize the teaching based on students background.")</f>
        <v>Customize the teaching based on students background.</v>
      </c>
      <c r="G39" s="45" t="str">
        <f>if(codigoRDivergenteJuiz = "first",codigoRDivergenteCodigo1,if (codigoRDivergenteJuiz = "second",codigoRDivergenteCodigo2, if (codigoRDivergenteCodigo1 = "", codigoRDivergenteCodigo2, codigoRDivergenteCodigo1)))</f>
        <v>Culture of communication between student and teacher</v>
      </c>
      <c r="H39" s="45" t="str">
        <f>if(codigoRDivergenteJuiz = "first",codigoRDivergenteTema1,if (codigoRDivergenteJuiz = "second",codigoRDivergenteTema2, if (codigoRDivergenteCodigo1 = "", codigoRDivergenteTema2, codigoRDivergenteTema1)))</f>
        <v>strategies in course execution</v>
      </c>
    </row>
    <row r="40">
      <c r="A40" s="44">
        <f>IFERROR(__xludf.DUMMYFUNCTION("""COMPUTED_VALUE"""),44.0)</f>
        <v>44</v>
      </c>
      <c r="B40" s="44" t="str">
        <f>IFERROR(__xludf.DUMMYFUNCTION("""COMPUTED_VALUE"""),"R1 / R3")</f>
        <v>R1 / R3</v>
      </c>
      <c r="C40" s="44" t="str">
        <f>IFERROR(__xludf.DUMMYFUNCTION("""COMPUTED_VALUE"""),"recommendation")</f>
        <v>recommendation</v>
      </c>
      <c r="D40" s="44" t="str">
        <f>IFERROR(__xludf.DUMMYFUNCTION("""COMPUTED_VALUE"""),"Nor use VM virtual machines because the virtual machine demands hardware resources. And it's not always that you have availability to upload two virtual machines on the student's device.")</f>
        <v>Nor use VM virtual machines because the virtual machine demands hardware resources. And it's not always that you have availability to upload two virtual machines on the student's device.</v>
      </c>
      <c r="E40" s="44" t="str">
        <f>IFERROR(__xludf.DUMMYFUNCTION("""COMPUTED_VALUE"""),"Avoid using virtual machines because they demand hardware resources, which are not always available on the students' devices.")</f>
        <v>Avoid using virtual machines because they demand hardware resources, which are not always available on the students' devices.</v>
      </c>
      <c r="F40" s="44"/>
      <c r="G40" s="45" t="str">
        <f>if(codigoRDivergenteJuiz = "first",codigoRDivergenteCodigo1,if (codigoRDivergenteJuiz = "second",codigoRDivergenteCodigo2, if (codigoRDivergenteCodigo1 = "", codigoRDivergenteCodigo2, codigoRDivergenteCodigo1)))</f>
        <v>Necessary great resource using virtual machines </v>
      </c>
      <c r="H40" s="45" t="str">
        <f>if(codigoRDivergenteJuiz = "first",codigoRDivergenteTema1,if (codigoRDivergenteJuiz = "second",codigoRDivergenteTema2, if (codigoRDivergenteCodigo1 = "", codigoRDivergenteTema2, codigoRDivergenteTema1)))</f>
        <v>tool / technology</v>
      </c>
    </row>
    <row r="41">
      <c r="A41" s="44">
        <f>IFERROR(__xludf.DUMMYFUNCTION("""COMPUTED_VALUE"""),45.0)</f>
        <v>45</v>
      </c>
      <c r="B41" s="44" t="str">
        <f>IFERROR(__xludf.DUMMYFUNCTION("""COMPUTED_VALUE"""),"R2 / R3")</f>
        <v>R2 / R3</v>
      </c>
      <c r="C41" s="44" t="str">
        <f>IFERROR(__xludf.DUMMYFUNCTION("""COMPUTED_VALUE"""),"recommendation")</f>
        <v>recommendation</v>
      </c>
      <c r="D41" s="44" t="str">
        <f>IFERROR(__xludf.DUMMYFUNCTION("""COMPUTED_VALUE"""),"All the devops tooling behind it like [...] the ansible or terraform here, or any of those other flavors of automaters and deployment and stuff like that you can use.
I am going to upload the environment here on AWS using Terraform. So, provision the stu"&amp;"dents' machines with TerraForm, explain to the students what you are doing, at the right time, on schedule, but decouple the need for the infrastructure.")</f>
        <v>All the devops tooling behind it like [...] the ansible or terraform here, or any of those other flavors of automaters and deployment and stuff like that you can use.
I am going to upload the environment here on AWS using Terraform. So, provision the students' machines with TerraForm, explain to the students what you are doing, at the right time, on schedule, but decouple the need for the infrastructure.</v>
      </c>
      <c r="E41" s="44" t="str">
        <f>IFERROR(__xludf.DUMMYFUNCTION("""COMPUTED_VALUE"""),"Terraform as a deployment automation tool can be used in teaching devops.
Use Terraform as a provisioning tool (Infrastructure as Code).")</f>
        <v>Terraform as a deployment automation tool can be used in teaching devops.
Use Terraform as a provisioning tool (Infrastructure as Code).</v>
      </c>
      <c r="F41" s="44" t="str">
        <f>IFERROR(__xludf.DUMMYFUNCTION("""COMPUTED_VALUE"""),"Terraform as a deployment provisioning tool can be used in teaching devops.")</f>
        <v>Terraform as a deployment provisioning tool can be used in teaching devops.</v>
      </c>
      <c r="G41" s="45" t="str">
        <f>if(codigoRDivergenteJuiz = "first",codigoRDivergenteCodigo1,if (codigoRDivergenteJuiz = "second",codigoRDivergenteCodigo2, if (codigoRDivergenteCodigo1 = "", codigoRDivergenteCodigo2, codigoRDivergenteCodigo1)))</f>
        <v>Use the Terraform tool.</v>
      </c>
      <c r="H41" s="45" t="str">
        <f>if(codigoRDivergenteJuiz = "first",codigoRDivergenteTema1,if (codigoRDivergenteJuiz = "second",codigoRDivergenteTema2, if (codigoRDivergenteCodigo1 = "", codigoRDivergenteTema2, codigoRDivergenteTema1)))</f>
        <v>tool / technology</v>
      </c>
    </row>
    <row r="42">
      <c r="A42" s="44">
        <f>IFERROR(__xludf.DUMMYFUNCTION("""COMPUTED_VALUE"""),46.0)</f>
        <v>46</v>
      </c>
      <c r="B42" s="44" t="str">
        <f>IFERROR(__xludf.DUMMYFUNCTION("""COMPUTED_VALUE"""),"R1 / R2")</f>
        <v>R1 / R2</v>
      </c>
      <c r="C42" s="44" t="str">
        <f>IFERROR(__xludf.DUMMYFUNCTION("""COMPUTED_VALUE"""),"recommendation")</f>
        <v>recommendation</v>
      </c>
      <c r="D42" s="44" t="str">
        <f>IFERROR(__xludf.DUMMYFUNCTION("""COMPUTED_VALUE"""),"To put your hand on something, at least once every, depends a lot [...] on the schedule, but every, I'll put it every eight hours is a very subjective metric, but if you give something practical every eight hours with examples for the student to interact,"&amp;" so you don't stay in a lecture for hours on end talking, it's essential to know how to divide and balance.
He has up to twenty, twenty-five minutes, he has your attention. So, if you cannot break that, alternate the tone of voice you speak, interact wit"&amp;"h him. If you just talk, you quickly lose the student after twenty minutes.
We need to adapt to the environment and try, every twenty to thirty minutes, to interact with the student so that he does something to keep his attention [...] Always propose cha"&amp;"llenges.")</f>
        <v>To put your hand on something, at least once every, depends a lot [...] on the schedule, but every, I'll put it every eight hours is a very subjective metric, but if you give something practical every eight hours with examples for the student to interact, so you don't stay in a lecture for hours on end talking, it's essential to know how to divide and balance.
He has up to twenty, twenty-five minutes, he has your attention. So, if you cannot break that, alternate the tone of voice you speak, interact with him. If you just talk, you quickly lose the student after twenty minutes.
We need to adapt to the environment and try, every twenty to thirty minutes, to interact with the student so that he does something to keep his attention [...] Always propose challenges.</v>
      </c>
      <c r="E42" s="44" t="str">
        <f>IFERROR(__xludf.DUMMYFUNCTION("""COMPUTED_VALUE"""),"Use practical examples regularly for the student to interact.
Interact with the student and break the tone of voice every 20 minutes, inhibiting their loss of attention.
Interact with the student to keep him alert, proposing challenges, for example.")</f>
        <v>Use practical examples regularly for the student to interact.
Interact with the student and break the tone of voice every 20 minutes, inhibiting their loss of attention.
Interact with the student to keep him alert, proposing challenges, for example.</v>
      </c>
      <c r="F42" s="44" t="str">
        <f>IFERROR(__xludf.DUMMYFUNCTION("""COMPUTED_VALUE"""),"Interact with the students.")</f>
        <v>Interact with the students.</v>
      </c>
      <c r="G42" s="45" t="str">
        <f>if(codigoRDivergenteJuiz = "first",codigoRDivergenteCodigo1,if (codigoRDivergenteJuiz = "second",codigoRDivergenteCodigo2, if (codigoRDivergenteCodigo1 = "", codigoRDivergenteCodigo2, codigoRDivergenteCodigo1)))</f>
        <v>Iteration with students through practical examples</v>
      </c>
      <c r="H42" s="45" t="str">
        <f>if(codigoRDivergenteJuiz = "first",codigoRDivergenteTema1,if (codigoRDivergenteJuiz = "second",codigoRDivergenteTema2, if (codigoRDivergenteCodigo1 = "", codigoRDivergenteTema2, codigoRDivergenteTema1)))</f>
        <v>strategies in course execution</v>
      </c>
    </row>
    <row r="43">
      <c r="A43" s="44">
        <f>IFERROR(__xludf.DUMMYFUNCTION("""COMPUTED_VALUE"""),48.0)</f>
        <v>48</v>
      </c>
      <c r="B43" s="44" t="str">
        <f>IFERROR(__xludf.DUMMYFUNCTION("""COMPUTED_VALUE"""),"R2 / R3")</f>
        <v>R2 / R3</v>
      </c>
      <c r="C43" s="44" t="str">
        <f>IFERROR(__xludf.DUMMYFUNCTION("""COMPUTED_VALUE"""),"recommendation")</f>
        <v>recommendation</v>
      </c>
      <c r="D43" s="44" t="str">
        <f>IFERROR(__xludf.DUMMYFUNCTION("""COMPUTED_VALUE"""),"So, I think it's essential for you to break both the tone of voice, the didactics you're using, put examples, you'll explain something theoretical, like Lean, for example, does an exercise that simulates the Lean process, not in software, it can even be w"&amp;"ith software, it can be with blocks, use Trello, interact with the student because if you spend more than twenty minutes talking, anyway, any situation, even in a typical lecture, you lose the student, you lose the audience.")</f>
        <v>So, I think it's essential for you to break both the tone of voice, the didactics you're using, put examples, you'll explain something theoretical, like Lean, for example, does an exercise that simulates the Lean process, not in software, it can even be with software, it can be with blocks, use Trello, interact with the student because if you spend more than twenty minutes talking, anyway, any situation, even in a typical lecture, you lose the student, you lose the audience.</v>
      </c>
      <c r="E43" s="44" t="str">
        <f>IFERROR(__xludf.DUMMYFUNCTION("""COMPUTED_VALUE"""),"Use examples with students to teach theory. For instance, we are using blocks or Trello to teach Lean.")</f>
        <v>Use examples with students to teach theory. For instance, we are using blocks or Trello to teach Lean.</v>
      </c>
      <c r="F43" s="44"/>
      <c r="G43" s="45" t="str">
        <f>if(codigoRDivergenteJuiz = "first",codigoRDivergenteCodigo1,if (codigoRDivergenteJuiz = "second",codigoRDivergenteCodigo2, if (codigoRDivergenteCodigo1 = "", codigoRDivergenteCodigo2, codigoRDivergenteCodigo1)))</f>
        <v>Use of blocks or trello for Lean teaching.</v>
      </c>
      <c r="H43" s="45" t="str">
        <f>if(codigoRDivergenteJuiz = "first",codigoRDivergenteTema1,if (codigoRDivergenteJuiz = "second",codigoRDivergenteTema2, if (codigoRDivergenteCodigo1 = "", codigoRDivergenteTema2, codigoRDivergenteTema1)))</f>
        <v>strategies in course execution</v>
      </c>
    </row>
    <row r="44">
      <c r="A44" s="44">
        <f>IFERROR(__xludf.DUMMYFUNCTION("""COMPUTED_VALUE"""),49.0)</f>
        <v>49</v>
      </c>
      <c r="B44" s="44" t="str">
        <f>IFERROR(__xludf.DUMMYFUNCTION("""COMPUTED_VALUE"""),"R1 / R2")</f>
        <v>R1 / R2</v>
      </c>
      <c r="C44" s="44" t="str">
        <f>IFERROR(__xludf.DUMMYFUNCTION("""COMPUTED_VALUE"""),"recommendation")</f>
        <v>recommendation</v>
      </c>
      <c r="D44" s="44" t="str">
        <f>IFERROR(__xludf.DUMMYFUNCTION("""COMPUTED_VALUE"""),"Suppose it's a class that, specifically, we were given the needs and characteristics before, such as access limitations, limited software installation on the machine. In that case, I prepare the class, and we have the schedule as a whole, which is ready; "&amp;"it has a beginning, middle, and an end.
If you are going to teach a software build class, for example, or unit testing, you need to assume that your class is in a certain place, let us say. You need to assume that your class is made up of developers, has"&amp;" a bit of knowledge and such, or you need to assume that your class does not have that much experience.")</f>
        <v>Suppose it's a class that, specifically, we were given the needs and characteristics before, such as access limitations, limited software installation on the machine. In that case, I prepare the class, and we have the schedule as a whole, which is ready; it has a beginning, middle, and an end.
If you are going to teach a software build class, for example, or unit testing, you need to assume that your class is in a certain place, let us say. You need to assume that your class is made up of developers, has a bit of knowledge and such, or you need to assume that your class does not have that much experience.</v>
      </c>
      <c r="E44" s="44" t="str">
        <f>IFERROR(__xludf.DUMMYFUNCTION("""COMPUTED_VALUE"""),"Seek to know in advance the needs and limitations of the class, such as installing software, for example, to create a more efficient schedule.
Identify the students' initial level of knowledge to do the course. For example, check if students can run unit"&amp;" tests that will be used in the software build class.")</f>
        <v>Seek to know in advance the needs and limitations of the class, such as installing software, for example, to create a more efficient schedule.
Identify the students' initial level of knowledge to do the course. For example, check if students can run unit tests that will be used in the software build class.</v>
      </c>
      <c r="F44" s="44" t="str">
        <f>IFERROR(__xludf.DUMMYFUNCTION("""COMPUTED_VALUE"""),"Seek to know in advance the needs and limitations of the class.")</f>
        <v>Seek to know in advance the needs and limitations of the class.</v>
      </c>
      <c r="G44" s="45" t="str">
        <f>if(codigoRDivergenteJuiz = "first",codigoRDivergenteCodigo1,if (codigoRDivergenteJuiz = "second",codigoRDivergenteCodigo2, if (codigoRDivergenteCodigo1 = "", codigoRDivergenteCodigo2, codigoRDivergenteCodigo1)))</f>
        <v>knowledge of the needs and limitations of the class</v>
      </c>
      <c r="H44" s="45" t="str">
        <f>if(codigoRDivergenteJuiz = "first",codigoRDivergenteTema1,if (codigoRDivergenteJuiz = "second",codigoRDivergenteTema2, if (codigoRDivergenteCodigo1 = "", codigoRDivergenteTema2, codigoRDivergenteTema1)))</f>
        <v>class preparation</v>
      </c>
    </row>
    <row r="45">
      <c r="A45" s="44">
        <f>IFERROR(__xludf.DUMMYFUNCTION("""COMPUTED_VALUE"""),51.0)</f>
        <v>51</v>
      </c>
      <c r="B45" s="44" t="str">
        <f>IFERROR(__xludf.DUMMYFUNCTION("""COMPUTED_VALUE"""),"R2 / R3")</f>
        <v>R2 / R3</v>
      </c>
      <c r="C45" s="44" t="str">
        <f>IFERROR(__xludf.DUMMYFUNCTION("""COMPUTED_VALUE"""),"recommendation")</f>
        <v>recommendation</v>
      </c>
      <c r="D45" s="44" t="str">
        <f>IFERROR(__xludf.DUMMYFUNCTION("""COMPUTED_VALUE"""),"If it's a mixed class, we send students a document that shows them beforehand, right? What are the prerequisites for him to take the course, software, software versions, how to install, well documented.")</f>
        <v>If it's a mixed class, we send students a document that shows them beforehand, right? What are the prerequisites for him to take the course, software, software versions, how to install, well documented.</v>
      </c>
      <c r="E45" s="44" t="str">
        <f>IFERROR(__xludf.DUMMYFUNCTION("""COMPUTED_VALUE"""),"Share course prerequisites with students in advance.")</f>
        <v>Share course prerequisites with students in advance.</v>
      </c>
      <c r="F45" s="44"/>
      <c r="G45" s="45" t="str">
        <f>if(codigoRDivergenteJuiz = "first",codigoRDivergenteCodigo1,if (codigoRDivergenteJuiz = "second",codigoRDivergenteCodigo2, if (codigoRDivergenteCodigo1 = "", codigoRDivergenteCodigo2, codigoRDivergenteCodigo1)))</f>
        <v>Prerequisites available beforehand.</v>
      </c>
      <c r="H45" s="45" t="str">
        <f>if(codigoRDivergenteJuiz = "first",codigoRDivergenteTema1,if (codigoRDivergenteJuiz = "second",codigoRDivergenteTema2, if (codigoRDivergenteCodigo1 = "", codigoRDivergenteTema2, codigoRDivergenteTema1)))</f>
        <v>class preparation</v>
      </c>
    </row>
    <row r="46">
      <c r="A46" s="44">
        <f>IFERROR(__xludf.DUMMYFUNCTION("""COMPUTED_VALUE"""),52.0)</f>
        <v>52</v>
      </c>
      <c r="B46" s="44" t="str">
        <f>IFERROR(__xludf.DUMMYFUNCTION("""COMPUTED_VALUE"""),"R1 / R2")</f>
        <v>R1 / R2</v>
      </c>
      <c r="C46" s="44" t="str">
        <f>IFERROR(__xludf.DUMMYFUNCTION("""COMPUTED_VALUE"""),"recommendation")</f>
        <v>recommendation</v>
      </c>
      <c r="D46" s="24" t="str">
        <f>IFERROR(__xludf.DUMMYFUNCTION("""COMPUTED_VALUE"""),"These are documents that we send in separate stages of the course [...]. We break the infrastructure documents to do the Kaisen process within Lean-to unify the documentation so that the student understands the difficulty he faced and the problem he faces"&amp;" daily.
But it's been billed according to the right guidelines that we want them to use. So they can borrow heavily from the sample. They can see sample testifies, sample integration test, sample Docker files, componentization, et cetera.
We're building"&amp;" a couple of tutorials so that, you know, the ones that have less experience with certainly the testing can look at it.")</f>
        <v>These are documents that we send in separate stages of the course [...]. We break the infrastructure documents to do the Kaisen process within Lean-to unify the documentation so that the student understands the difficulty he faced and the problem he faces daily.
But it's been billed according to the right guidelines that we want them to use. So they can borrow heavily from the sample. They can see sample testifies, sample integration test, sample Docker files, componentization, et cetera.
We're building a couple of tutorials so that, you know, the ones that have less experience with certainly the testing can look at it.</v>
      </c>
      <c r="E46" s="24" t="str">
        <f>IFERROR(__xludf.DUMMYFUNCTION("""COMPUTED_VALUE"""),"Create student support examples and guidelines, breaks into parts to go through the steps gradually.
Create examples and guidelines to help students develop their solution based on it.
We're building a couple of tutorials so that the ones that have less"&amp;" experience can look at it.")</f>
        <v>Create student support examples and guidelines, breaks into parts to go through the steps gradually.
Create examples and guidelines to help students develop their solution based on it.
We're building a couple of tutorials so that the ones that have less experience can look at it.</v>
      </c>
      <c r="F46" s="24" t="str">
        <f>IFERROR(__xludf.DUMMYFUNCTION("""COMPUTED_VALUE"""),"Create tutorials to help students.")</f>
        <v>Create tutorials to help students.</v>
      </c>
      <c r="G46" s="45" t="str">
        <f>if(codigoRDivergenteJuiz = "first",codigoRDivergenteCodigo1,if (codigoRDivergenteJuiz = "second",codigoRDivergenteCodigo2, if (codigoRDivergenteCodigo1 = "", codigoRDivergenteCodigo2, codigoRDivergenteCodigo1)))</f>
        <v>Separation in parts of support document for infrastructure configuration</v>
      </c>
      <c r="H46" s="45" t="str">
        <f>if(codigoRDivergenteJuiz = "first",codigoRDivergenteTema1,if (codigoRDivergenteJuiz = "second",codigoRDivergenteTema2, if (codigoRDivergenteCodigo1 = "", codigoRDivergenteTema2, codigoRDivergenteTema1)))</f>
        <v>environment setup</v>
      </c>
    </row>
    <row r="47">
      <c r="A47" s="44">
        <f>IFERROR(__xludf.DUMMYFUNCTION("""COMPUTED_VALUE"""),53.0)</f>
        <v>53</v>
      </c>
      <c r="B47" s="44" t="str">
        <f>IFERROR(__xludf.DUMMYFUNCTION("""COMPUTED_VALUE"""),"R1 / R3")</f>
        <v>R1 / R3</v>
      </c>
      <c r="C47" s="44" t="str">
        <f>IFERROR(__xludf.DUMMYFUNCTION("""COMPUTED_VALUE"""),"recommendation")</f>
        <v>recommendation</v>
      </c>
      <c r="D47" s="24" t="str">
        <f>IFERROR(__xludf.DUMMYFUNCTION("""COMPUTED_VALUE"""),"So we break the infrastructure documents to do the Kaisen process within Lean-to unify the documentation so that the student understands the difficulty he faced and the difficulty he will meet daily.
So we employ someone in our team, a couple of people w"&amp;"ho work on implementing that, and we created some issues in the application, like some bugs.")</f>
        <v>So we break the infrastructure documents to do the Kaisen process within Lean-to unify the documentation so that the student understands the difficulty he faced and the difficulty he will meet daily.
So we employ someone in our team, a couple of people who work on implementing that, and we created some issues in the application, like some bugs.</v>
      </c>
      <c r="E47" s="24" t="str">
        <f>IFERROR(__xludf.DUMMYFUNCTION("""COMPUTED_VALUE"""),"Simulate real problems that the student will likely face in their daily lives.
Try to simulate a real scenario employing someone in the group to insert issues and bugs in students project.")</f>
        <v>Simulate real problems that the student will likely face in their daily lives.
Try to simulate a real scenario employing someone in the group to insert issues and bugs in students project.</v>
      </c>
      <c r="F47" s="24" t="str">
        <f>IFERROR(__xludf.DUMMYFUNCTION("""COMPUTED_VALUE"""),"Simulate real problems with the students.")</f>
        <v>Simulate real problems with the students.</v>
      </c>
      <c r="G47" s="45" t="str">
        <f>if(codigoRDivergenteJuiz = "first",codigoRDivergenteCodigo1,if (codigoRDivergenteJuiz = "second",codigoRDivergenteCodigo2, if (codigoRDivergenteCodigo1 = "", codigoRDivergenteCodigo2, codigoRDivergenteCodigo1)))</f>
        <v>real problems common in the industry</v>
      </c>
      <c r="H47" s="45" t="str">
        <f>if(codigoRDivergenteJuiz = "first",codigoRDivergenteTema1,if (codigoRDivergenteJuiz = "second",codigoRDivergenteTema2, if (codigoRDivergenteCodigo1 = "", codigoRDivergenteTema2, codigoRDivergenteTema1)))</f>
        <v>strategies in course execution</v>
      </c>
    </row>
    <row r="48">
      <c r="A48" s="44">
        <f>IFERROR(__xludf.DUMMYFUNCTION("""COMPUTED_VALUE"""),54.0)</f>
        <v>54</v>
      </c>
      <c r="B48" s="44" t="str">
        <f>IFERROR(__xludf.DUMMYFUNCTION("""COMPUTED_VALUE"""),"R2 / R3")</f>
        <v>R2 / R3</v>
      </c>
      <c r="C48" s="44" t="str">
        <f>IFERROR(__xludf.DUMMYFUNCTION("""COMPUTED_VALUE"""),"recommendation")</f>
        <v>recommendation</v>
      </c>
      <c r="D48" s="24" t="str">
        <f>IFERROR(__xludf.DUMMYFUNCTION("""COMPUTED_VALUE"""),"From a didactic point of view, we leave one or two hours before each day; there is a specific infra team to answer any student's doubts.")</f>
        <v>From a didactic point of view, we leave one or two hours before each day; there is a specific infra team to answer any student's doubts.</v>
      </c>
      <c r="E48" s="24" t="str">
        <f>IFERROR(__xludf.DUMMYFUNCTION("""COMPUTED_VALUE"""),"There is a specific support team to answer students' questions about the related infrastructure part.")</f>
        <v>There is a specific support team to answer students' questions about the related infrastructure part.</v>
      </c>
      <c r="F48" s="24"/>
      <c r="G48" s="45" t="str">
        <f>if(codigoRDivergenteJuiz = "first",codigoRDivergenteCodigo1,if (codigoRDivergenteJuiz = "second",codigoRDivergenteCodigo2, if (codigoRDivergenteCodigo1 = "", codigoRDivergenteCodigo2, codigoRDivergenteCodigo1)))</f>
        <v>Specific support team for infrastructure doubts.</v>
      </c>
      <c r="H48" s="45" t="str">
        <f>if(codigoRDivergenteJuiz = "first",codigoRDivergenteTema1,if (codigoRDivergenteJuiz = "second",codigoRDivergenteTema2, if (codigoRDivergenteCodigo1 = "", codigoRDivergenteTema2, codigoRDivergenteTema1)))</f>
        <v>class preparation</v>
      </c>
    </row>
    <row r="49">
      <c r="A49" s="44">
        <f>IFERROR(__xludf.DUMMYFUNCTION("""COMPUTED_VALUE"""),55.0)</f>
        <v>55</v>
      </c>
      <c r="B49" s="44" t="str">
        <f>IFERROR(__xludf.DUMMYFUNCTION("""COMPUTED_VALUE"""),"R1 / R2")</f>
        <v>R1 / R2</v>
      </c>
      <c r="C49" s="44" t="str">
        <f>IFERROR(__xludf.DUMMYFUNCTION("""COMPUTED_VALUE"""),"recommendation")</f>
        <v>recommendation</v>
      </c>
      <c r="D49" s="24" t="str">
        <f>IFERROR(__xludf.DUMMYFUNCTION("""COMPUTED_VALUE"""),"Realize how much you deviate because the student has a particular problem and loses his didactics a little. So, knowing how to limit it too, then work with the student, talk, look, and talk more calmly, because this situation is particular. There has to b"&amp;"e a breakpoint because otherwise, you'll lose the other students.")</f>
        <v>Realize how much you deviate because the student has a particular problem and loses his didactics a little. So, knowing how to limit it too, then work with the student, talk, look, and talk more calmly, because this situation is particular. There has to be a breakpoint because otherwise, you'll lose the other students.</v>
      </c>
      <c r="E49" s="24" t="str">
        <f>IFERROR(__xludf.DUMMYFUNCTION("""COMPUTED_VALUE"""),"Avoid messing around with specific problems faced by students, dealing in a personalized way at the right time.")</f>
        <v>Avoid messing around with specific problems faced by students, dealing in a personalized way at the right time.</v>
      </c>
      <c r="F49" s="24"/>
      <c r="G49" s="45" t="str">
        <f>if(codigoRDivergenteJuiz = "first",codigoRDivergenteCodigo1,if (codigoRDivergenteJuiz = "second",codigoRDivergenteCodigo2, if (codigoRDivergenteCodigo1 = "", codigoRDivergenteCodigo2, codigoRDivergenteCodigo1)))</f>
        <v>Customization of Specific Problem Discussions Faced by Students</v>
      </c>
      <c r="H49" s="45" t="str">
        <f>if(codigoRDivergenteJuiz = "first",codigoRDivergenteTema1,if (codigoRDivergenteJuiz = "second",codigoRDivergenteTema2, if (codigoRDivergenteCodigo1 = "", codigoRDivergenteTema2, codigoRDivergenteTema1)))</f>
        <v>strategies in course execution</v>
      </c>
    </row>
    <row r="50">
      <c r="A50" s="44">
        <f>IFERROR(__xludf.DUMMYFUNCTION("""COMPUTED_VALUE"""),56.0)</f>
        <v>56</v>
      </c>
      <c r="B50" s="44" t="str">
        <f>IFERROR(__xludf.DUMMYFUNCTION("""COMPUTED_VALUE"""),"R1 / R3")</f>
        <v>R1 / R3</v>
      </c>
      <c r="C50" s="44" t="str">
        <f>IFERROR(__xludf.DUMMYFUNCTION("""COMPUTED_VALUE"""),"recommendation")</f>
        <v>recommendation</v>
      </c>
      <c r="D50" s="24" t="str">
        <f>IFERROR(__xludf.DUMMYFUNCTION("""COMPUTED_VALUE"""),"A task tracking tool. Then it can be Notion or Trello; I think it's essential.")</f>
        <v>A task tracking tool. Then it can be Notion or Trello; I think it's essential.</v>
      </c>
      <c r="E50" s="24" t="str">
        <f>IFERROR(__xludf.DUMMYFUNCTION("""COMPUTED_VALUE"""),"Use a task tracking tool like Trello or Notion.")</f>
        <v>Use a task tracking tool like Trello or Notion.</v>
      </c>
      <c r="F50" s="24"/>
      <c r="G50" s="45" t="str">
        <f>if(codigoRDivergenteJuiz = "first",codigoRDivergenteCodigo1,if (codigoRDivergenteJuiz = "second",codigoRDivergenteCodigo2, if (codigoRDivergenteCodigo1 = "", codigoRDivergenteCodigo2, codigoRDivergenteCodigo1)))</f>
        <v>Task Tracking Tools</v>
      </c>
      <c r="H50" s="45" t="str">
        <f>if(codigoRDivergenteJuiz = "first",codigoRDivergenteTema1,if (codigoRDivergenteJuiz = "second",codigoRDivergenteTema2, if (codigoRDivergenteCodigo1 = "", codigoRDivergenteTema2, codigoRDivergenteTema1)))</f>
        <v>tool / technology</v>
      </c>
    </row>
    <row r="51">
      <c r="A51" s="44">
        <f>IFERROR(__xludf.DUMMYFUNCTION("""COMPUTED_VALUE"""),57.0)</f>
        <v>57</v>
      </c>
      <c r="B51" s="44" t="str">
        <f>IFERROR(__xludf.DUMMYFUNCTION("""COMPUTED_VALUE"""),"R2 / R3")</f>
        <v>R2 / R3</v>
      </c>
      <c r="C51" s="44" t="str">
        <f>IFERROR(__xludf.DUMMYFUNCTION("""COMPUTED_VALUE"""),"recommendation")</f>
        <v>recommendation</v>
      </c>
      <c r="D51" s="24" t="str">
        <f>IFERROR(__xludf.DUMMYFUNCTION("""COMPUTED_VALUE"""),"There must always be two tools, the stream that would be the zoom, Google Meet, any device that does that, Webex I don't know, it depends on the company.
Because of the remote learning  [...] I've been teaching my classes on zoom.")</f>
        <v>There must always be two tools, the stream that would be the zoom, Google Meet, any device that does that, Webex I don't know, it depends on the company.
Because of the remote learning  [...] I've been teaching my classes on zoom.</v>
      </c>
      <c r="E51" s="24" t="str">
        <f>IFERROR(__xludf.DUMMYFUNCTION("""COMPUTED_VALUE"""),"Use a streaming tool like Zoom, Google Meet, or Webex in remote learning scenario.
Use Zoom in remote learning scenario.")</f>
        <v>Use a streaming tool like Zoom, Google Meet, or Webex in remote learning scenario.
Use Zoom in remote learning scenario.</v>
      </c>
      <c r="F51" s="24" t="str">
        <f>IFERROR(__xludf.DUMMYFUNCTION("""COMPUTED_VALUE"""),"Use streaming tool like Zoom in remote learning scenario.")</f>
        <v>Use streaming tool like Zoom in remote learning scenario.</v>
      </c>
      <c r="G51" s="45" t="str">
        <f>if(codigoRDivergenteJuiz = "first",codigoRDivergenteCodigo1,if (codigoRDivergenteJuiz = "second",codigoRDivergenteCodigo2, if (codigoRDivergenteCodigo1 = "", codigoRDivergenteCodigo2, codigoRDivergenteCodigo1)))</f>
        <v>Use a Stream Tool as Zoom, Google Meet or WebEx</v>
      </c>
      <c r="H51" s="45" t="str">
        <f>if(codigoRDivergenteJuiz = "first",codigoRDivergenteTema1,if (codigoRDivergenteJuiz = "second",codigoRDivergenteTema2, if (codigoRDivergenteCodigo1 = "", codigoRDivergenteTema2, codigoRDivergenteTema1)))</f>
        <v>tool / technology</v>
      </c>
    </row>
    <row r="52">
      <c r="A52" s="44">
        <f>IFERROR(__xludf.DUMMYFUNCTION("""COMPUTED_VALUE"""),58.0)</f>
        <v>58</v>
      </c>
      <c r="B52" s="44" t="str">
        <f>IFERROR(__xludf.DUMMYFUNCTION("""COMPUTED_VALUE"""),"R1 / R2")</f>
        <v>R1 / R2</v>
      </c>
      <c r="C52" s="44" t="str">
        <f>IFERROR(__xludf.DUMMYFUNCTION("""COMPUTED_VALUE"""),"recommendation")</f>
        <v>recommendation</v>
      </c>
      <c r="D52" s="24" t="str">
        <f>IFERROR(__xludf.DUMMYFUNCTION("""COMPUTED_VALUE"""),"I prefer Notion even though I work for Trello's company; I prefer Notion for a reason. I can export it in Markdown and directly version all documentation. So, for each day of the course, all the commands that we run or the additional content, I list them,"&amp;" interact with them, and interact together.")</f>
        <v>I prefer Notion even though I work for Trello's company; I prefer Notion for a reason. I can export it in Markdown and directly version all documentation. So, for each day of the course, all the commands that we run or the additional content, I list them, interact with them, and interact together.</v>
      </c>
      <c r="E52" s="24" t="str">
        <f>IFERROR(__xludf.DUMMYFUNCTION("""COMPUTED_VALUE"""),"The Notion tool allows exporting to Markdown, enabling the versioning of documentation for each day of the course: all executed commands and additional content.")</f>
        <v>The Notion tool allows exporting to Markdown, enabling the versioning of documentation for each day of the course: all executed commands and additional content.</v>
      </c>
      <c r="F52" s="24"/>
      <c r="G52" s="45" t="str">
        <f>if(codigoRDivergenteJuiz = "first",codigoRDivergenteCodigo1,if (codigoRDivergenteJuiz = "second",codigoRDivergenteCodigo2, if (codigoRDivergenteCodigo1 = "", codigoRDivergenteCodigo2, codigoRDivergenteCodigo1)))</f>
        <v>Exportation to Markdown and Version from the Notion</v>
      </c>
      <c r="H52" s="45" t="str">
        <f>if(codigoRDivergenteJuiz = "first",codigoRDivergenteTema1,if (codigoRDivergenteJuiz = "second",codigoRDivergenteTema2, if (codigoRDivergenteCodigo1 = "", codigoRDivergenteTema2, codigoRDivergenteTema1)))</f>
        <v>tool / technology</v>
      </c>
    </row>
    <row r="53">
      <c r="A53" s="44">
        <f>IFERROR(__xludf.DUMMYFUNCTION("""COMPUTED_VALUE"""),59.0)</f>
        <v>59</v>
      </c>
      <c r="B53" s="44" t="str">
        <f>IFERROR(__xludf.DUMMYFUNCTION("""COMPUTED_VALUE"""),"R1 / R3")</f>
        <v>R1 / R3</v>
      </c>
      <c r="C53" s="44" t="str">
        <f>IFERROR(__xludf.DUMMYFUNCTION("""COMPUTED_VALUE"""),"recommendation")</f>
        <v>recommendation</v>
      </c>
      <c r="D53" s="24" t="str">
        <f>IFERROR(__xludf.DUMMYFUNCTION("""COMPUTED_VALUE"""),"And a code repository, you can GitLab, Github, which you can share with students, this situation.
They use GitHub. .. The only thing we really need is that the students give us, uh, access to their accounts.
This course has a very specific structure, wh"&amp;"ich is not usual. Uh, the structure is that, uh, everything. Um, I think you have access to our GitHub repository and everything is, uh, available.
Everything in this course was, uh, was, uh, done through the GitHub repository, there are many issues, the"&amp;"re are many pull requests and the discussions between TAs and the students and grading everything is there.
The student had to have the code that goes so git as a version control system, uh, GitHub GitLab, the, we had a Bitbucket on-premise also, uh, dep"&amp;"loyed inside the school.")</f>
        <v>And a code repository, you can GitLab, Github, which you can share with students, this situation.
They use GitHub. .. The only thing we really need is that the students give us, uh, access to their accounts.
This course has a very specific structure, which is not usual. Uh, the structure is that, uh, everything. Um, I think you have access to our GitHub repository and everything is, uh, available.
Everything in this course was, uh, was, uh, done through the GitHub repository, there are many issues, there are many pull requests and the discussions between TAs and the students and grading everything is there.
The student had to have the code that goes so git as a version control system, uh, GitHub GitLab, the, we had a Bitbucket on-premise also, uh, deployed inside the school.</v>
      </c>
      <c r="E53" s="24" t="str">
        <f>IFERROR(__xludf.DUMMYFUNCTION("""COMPUTED_VALUE"""),"Use a code repository tool like Gitlab or Github.
Use Github with access to students accounts repositories.
Make public access the content of the course using the GitHub.
Use Github to record grading, pull requests and discussions between teacher assis"&amp;"tants and the students.
Use github, gitlab or bitbucket as version control system tools adopted by the course.")</f>
        <v>Use a code repository tool like Gitlab or Github.
Use Github with access to students accounts repositories.
Make public access the content of the course using the GitHub.
Use Github to record grading, pull requests and discussions between teacher assistants and the students.
Use github, gitlab or bitbucket as version control system tools adopted by the course.</v>
      </c>
      <c r="F53" s="24" t="str">
        <f>IFERROR(__xludf.DUMMYFUNCTION("""COMPUTED_VALUE"""),"Use a code repository tool like Github.")</f>
        <v>Use a code repository tool like Github.</v>
      </c>
      <c r="G53" s="45" t="str">
        <f>if(codigoRDivergenteJuiz = "first",codigoRDivergenteCodigo1,if (codigoRDivergenteJuiz = "second",codigoRDivergenteCodigo2, if (codigoRDivergenteCodigo1 = "", codigoRDivergenteCodigo2, codigoRDivergenteCodigo1)))</f>
        <v>Use of code versioning tools</v>
      </c>
      <c r="H53" s="45" t="str">
        <f>if(codigoRDivergenteJuiz = "first",codigoRDivergenteTema1,if (codigoRDivergenteJuiz = "second",codigoRDivergenteTema2, if (codigoRDivergenteCodigo1 = "", codigoRDivergenteTema2, codigoRDivergenteTema1)))</f>
        <v>tool / technology</v>
      </c>
    </row>
    <row r="54">
      <c r="A54" s="44">
        <f>IFERROR(__xludf.DUMMYFUNCTION("""COMPUTED_VALUE"""),60.0)</f>
        <v>60</v>
      </c>
      <c r="B54" s="44" t="str">
        <f>IFERROR(__xludf.DUMMYFUNCTION("""COMPUTED_VALUE"""),"R2 / R3")</f>
        <v>R2 / R3</v>
      </c>
      <c r="C54" s="44" t="str">
        <f>IFERROR(__xludf.DUMMYFUNCTION("""COMPUTED_VALUE"""),"recommendation")</f>
        <v>recommendation</v>
      </c>
      <c r="D54" s="24" t="str">
        <f>IFERROR(__xludf.DUMMYFUNCTION("""COMPUTED_VALUE"""),"We usually use Jenkins as an integration tool because it's open-source, it's everywhere, despite having other devices that do the job even better, but it's spread out, it's ancient.
The software [...] built with Jenkins.
Jenkins, you do not pay anything"&amp;", you install it on your server, and it has gone.
They need Jenkins. So either you tell them to go install Jenkins, or what I've done is I say, Hey, here's a Docker image for Jenkins.
Now I realize every day that I need testing and continuous, I mean, J"&amp;"enkins is my friend.
And, and, uh, so in terms of the continuous integration server, and there are many different services available, but can we use Jenkins because it is a, it is free and, and a lot of companies are using, but there are some other optio"&amp;"ns that can be used.
Let's go for something that we have more control on, uh, using for tools like Jenkins and and a stuff like Docker or Kubernetes was kind of good in a way to, uh, support the deployment and the, uh, like the building plus deployment s"&amp;"tuff.")</f>
        <v>We usually use Jenkins as an integration tool because it's open-source, it's everywhere, despite having other devices that do the job even better, but it's spread out, it's ancient.
The software [...] built with Jenkins.
Jenkins, you do not pay anything, you install it on your server, and it has gone.
They need Jenkins. So either you tell them to go install Jenkins, or what I've done is I say, Hey, here's a Docker image for Jenkins.
Now I realize every day that I need testing and continuous, I mean, Jenkins is my friend.
And, and, uh, so in terms of the continuous integration server, and there are many different services available, but can we use Jenkins because it is a, it is free and, and a lot of companies are using, but there are some other options that can be used.
Let's go for something that we have more control on, uh, using for tools like Jenkins and and a stuff like Docker or Kubernetes was kind of good in a way to, uh, support the deployment and the, uh, like the building plus deployment stuff.</v>
      </c>
      <c r="E54" s="24" t="str">
        <f>IFERROR(__xludf.DUMMYFUNCTION("""COMPUTED_VALUE"""),"Use a Continuous Integration tool. in particular, Jenkins is open source and very widespread. 
Use Jenkins to do continuous integration.
Use Jenkins.
Uses Jenkins through a Docker image.
Jenkins can be chosen as DevOps tool.
Jenkins can be use as con"&amp;"tinuous integration tool because it is free and lot of companies use it.
Use tools like Jenkins to have more control on support the deployment.")</f>
        <v>Use a Continuous Integration tool. in particular, Jenkins is open source and very widespread. 
Use Jenkins to do continuous integration.
Use Jenkins.
Uses Jenkins through a Docker image.
Jenkins can be chosen as DevOps tool.
Jenkins can be use as continuous integration tool because it is free and lot of companies use it.
Use tools like Jenkins to have more control on support the deployment.</v>
      </c>
      <c r="F54" s="24" t="str">
        <f>IFERROR(__xludf.DUMMYFUNCTION("""COMPUTED_VALUE"""),"Use Jenkins tool.")</f>
        <v>Use Jenkins tool.</v>
      </c>
      <c r="G54" s="45" t="str">
        <f>if(codigoRDivergenteJuiz = "first",codigoRDivergenteCodigo1,if (codigoRDivergenteJuiz = "second",codigoRDivergenteCodigo2, if (codigoRDivergenteCodigo1 = "", codigoRDivergenteCodigo2, codigoRDivergenteCodigo1)))</f>
        <v>Use of Jenkins.</v>
      </c>
      <c r="H54" s="45" t="str">
        <f>if(codigoRDivergenteJuiz = "first",codigoRDivergenteTema1,if (codigoRDivergenteJuiz = "second",codigoRDivergenteTema2, if (codigoRDivergenteCodigo1 = "", codigoRDivergenteTema2, codigoRDivergenteTema1)))</f>
        <v>tool / technology</v>
      </c>
    </row>
    <row r="55">
      <c r="A55" s="44">
        <f>IFERROR(__xludf.DUMMYFUNCTION("""COMPUTED_VALUE"""),61.0)</f>
        <v>61</v>
      </c>
      <c r="B55" s="44" t="str">
        <f>IFERROR(__xludf.DUMMYFUNCTION("""COMPUTED_VALUE"""),"R1 / R2")</f>
        <v>R1 / R2</v>
      </c>
      <c r="C55" s="44" t="str">
        <f>IFERROR(__xludf.DUMMYFUNCTION("""COMPUTED_VALUE"""),"recommendation")</f>
        <v>recommendation</v>
      </c>
      <c r="D55" s="24" t="str">
        <f>IFERROR(__xludf.DUMMYFUNCTION("""COMPUTED_VALUE"""),"Notion or Trello [...], you need to have a two-way tool where you and the student interact. Not a Gist, for example, because the Gist, although you can only release it because the student needs to put their feedback there too. [...] There are some tasks t"&amp;"hat we set up there, a post mortem of the process that fails; I need a feedback tool that the student can also interact with.")</f>
        <v>Notion or Trello [...], you need to have a two-way tool where you and the student interact. Not a Gist, for example, because the Gist, although you can only release it because the student needs to put their feedback there too. [...] There are some tasks that we set up there, a post mortem of the process that fails; I need a feedback tool that the student can also interact with.</v>
      </c>
      <c r="E55" s="24" t="str">
        <f>IFERROR(__xludf.DUMMYFUNCTION("""COMPUTED_VALUE"""),"Notion and Trello allow student and teacher interaction in two ways. Gist does not allow it.")</f>
        <v>Notion and Trello allow student and teacher interaction in two ways. Gist does not allow it.</v>
      </c>
      <c r="F55" s="24"/>
      <c r="G55" s="45" t="str">
        <f>if(codigoRDivergenteJuiz = "first",codigoRDivergenteCodigo1,if (codigoRDivergenteJuiz = "second",codigoRDivergenteCodigo2, if (codigoRDivergenteCodigo1 = "", codigoRDivergenteCodigo2, codigoRDivergenteCodigo1)))</f>
        <v>Notion and Trello allow two-way iteration but Gist only one</v>
      </c>
      <c r="H55" s="45" t="str">
        <f>if(codigoRDivergenteJuiz = "first",codigoRDivergenteTema1,if (codigoRDivergenteJuiz = "second",codigoRDivergenteTema2, if (codigoRDivergenteCodigo1 = "", codigoRDivergenteTema2, codigoRDivergenteTema1)))</f>
        <v>tool / technology</v>
      </c>
    </row>
    <row r="56">
      <c r="A56" s="44">
        <f>IFERROR(__xludf.DUMMYFUNCTION("""COMPUTED_VALUE"""),62.0)</f>
        <v>62</v>
      </c>
      <c r="B56" s="44" t="str">
        <f>IFERROR(__xludf.DUMMYFUNCTION("""COMPUTED_VALUE"""),"R1 / R3")</f>
        <v>R1 / R3</v>
      </c>
      <c r="C56" s="44" t="str">
        <f>IFERROR(__xludf.DUMMYFUNCTION("""COMPUTED_VALUE"""),"recommendation")</f>
        <v>recommendation</v>
      </c>
      <c r="D56" s="24" t="str">
        <f>IFERROR(__xludf.DUMMYFUNCTION("""COMPUTED_VALUE"""),"So, I usually recommend it to instructors; I recommend it to students when they share it with me. Decrease the FPF rate of screen sharing because that's a lock. Zoom uses what it can if you don't limit it. So, we restrict ten FPS, for example, so that I d"&amp;"on't consume too much of my or the student's CPU because I sometimes have to correct the exercise on his side.")</f>
        <v>So, I usually recommend it to instructors; I recommend it to students when they share it with me. Decrease the FPF rate of screen sharing because that's a lock. Zoom uses what it can if you don't limit it. So, we restrict ten FPS, for example, so that I don't consume too much of my or the student's CPU because I sometimes have to correct the exercise on his side.</v>
      </c>
      <c r="E56" s="24" t="str">
        <f>IFERROR(__xludf.DUMMYFUNCTION("""COMPUTED_VALUE"""),"Limit the zoom FPS rate to 10, avoiding excessive student and instructor resource consumption.")</f>
        <v>Limit the zoom FPS rate to 10, avoiding excessive student and instructor resource consumption.</v>
      </c>
      <c r="F56" s="24"/>
      <c r="G56" s="45" t="str">
        <f>if(codigoRDivergenteJuiz = "first",codigoRDivergenteCodigo1,if (codigoRDivergenteJuiz = "second",codigoRDivergenteCodigo2, if (codigoRDivergenteCodigo1 = "", codigoRDivergenteCodigo2, codigoRDivergenteCodigo1)))</f>
        <v>Mitigation of excessive resource consumption by limiting the fps zoom rate</v>
      </c>
      <c r="H56" s="45" t="str">
        <f>if(codigoRDivergenteJuiz = "first",codigoRDivergenteTema1,if (codigoRDivergenteJuiz = "second",codigoRDivergenteTema2, if (codigoRDivergenteCodigo1 = "", codigoRDivergenteTema2, codigoRDivergenteTema1)))</f>
        <v>tool / technology</v>
      </c>
    </row>
    <row r="57">
      <c r="A57" s="44">
        <f>IFERROR(__xludf.DUMMYFUNCTION("""COMPUTED_VALUE"""),63.0)</f>
        <v>63</v>
      </c>
      <c r="B57" s="44" t="str">
        <f>IFERROR(__xludf.DUMMYFUNCTION("""COMPUTED_VALUE"""),"R2 / R3")</f>
        <v>R2 / R3</v>
      </c>
      <c r="C57" s="44" t="str">
        <f>IFERROR(__xludf.DUMMYFUNCTION("""COMPUTED_VALUE"""),"recommendation")</f>
        <v>recommendation</v>
      </c>
      <c r="D57" s="24" t="str">
        <f>IFERROR(__xludf.DUMMYFUNCTION("""COMPUTED_VALUE"""),"It would help if you observed each student and, and then, you have to listen a lot, too, what was the difficulty he had and where he arrived. So, then, we do a final assessment per student, but our perception of it. If he did well, if he had a lot of doub"&amp;"t, what was the point that generated the most suspicion for him?
I tell them, I am not going to grade you on what you submit. I'm going to grade you on how you got there because getting there is not the point. It's the journey, right? That's the point. ["&amp;"...] I teach them that every failure is a learning opportunity. If you fail and you learn something, you get credit. It's not a failure because you've learned something, we're here to learn.
You can't just grade what they submit. You have to watch how th"&amp;"ey're working.
For the assessment, as I said, I give them a lot of leeway in the beginning. Um, they can make mistakes on their Kanban board and still get full credit if they know what the mistakes are that they made. However, in later sprints, if they m"&amp;"ake the same mistakes, then I start taking points off.  So I give them time to learn, uh, so that they feel that they can make a few mistakes, take a few risks, um, and not get penalized for it.
 If there's problems, I'll tell you where there's problems "&amp;"and you can go fix it, go get it, right. Go, go make it, do what it's supposed to do. You know, because in industry we're, we don't just get a one and done shot. We keep at it until it works. And so I bring that to the table and I think that provides a li"&amp;"ttle less pressure on students.
I tend not to get quite as hyper-focused on right versus wrong answers. ... so treating it as, as more of an assessment of maybe architecture, if you will, or an assessment of approach, as opposed to this is right, this is"&amp;" wrong. Uh, I think that's been fairly well received.
So people need to feel comfortable sharing, if they've made a mistake or not thinking that they're gonna have their headquarters. Right. Um, so when talking about that, if students have never worked i"&amp;"n the context where, you know, people are blaming each other and stuff, it's difficult to understand I, to, to be concrete. And this is so crucial.")</f>
        <v>It would help if you observed each student and, and then, you have to listen a lot, too, what was the difficulty he had and where he arrived. So, then, we do a final assessment per student, but our perception of it. If he did well, if he had a lot of doubt, what was the point that generated the most suspicion for him?
I tell them, I am not going to grade you on what you submit. I'm going to grade you on how you got there because getting there is not the point. It's the journey, right? That's the point. [...] I teach them that every failure is a learning opportunity. If you fail and you learn something, you get credit. It's not a failure because you've learned something, we're here to learn.
You can't just grade what they submit. You have to watch how they're working.
For the assessment, as I said, I give them a lot of leeway in the beginning. Um, they can make mistakes on their Kanban board and still get full credit if they know what the mistakes are that they made. However, in later sprints, if they make the same mistakes, then I start taking points off.  So I give them time to learn, uh, so that they feel that they can make a few mistakes, take a few risks, um, and not get penalized for it.
 If there's problems, I'll tell you where there's problems and you can go fix it, go get it, right. Go, go make it, do what it's supposed to do. You know, because in industry we're, we don't just get a one and done shot. We keep at it until it works. And so I bring that to the table and I think that provides a little less pressure on students.
I tend not to get quite as hyper-focused on right versus wrong answers. ... so treating it as, as more of an assessment of maybe architecture, if you will, or an assessment of approach, as opposed to this is right, this is wrong. Uh, I think that's been fairly well received.
So people need to feel comfortable sharing, if they've made a mistake or not thinking that they're gonna have their headquarters. Right. Um, so when talking about that, if students have never worked in the context where, you know, people are blaming each other and stuff, it's difficult to understand I, to, to be concrete. And this is so crucial.</v>
      </c>
      <c r="E57" s="24" t="str">
        <f>IFERROR(__xludf.DUMMYFUNCTION("""COMPUTED_VALUE"""),"Individually assess the student's progress throughout the course.
Grade students based on their learning journey and mistakes, not on what they submit. What's important is how they get there, because every failure is learning opportunity.
Grade based ho"&amp;"w the students working their tasks and not only what they are submitting.
For the assessment, the students can make mistakes in the beginning without fear of being penalized.
Students can fix their code problems. In industry, we keep coding until it wor"&amp;"ks. It also provides a little less pressure on students.
Do not focus your assessment on right versus wrong answers.
Create an environment that students feel comfortable with sharing about their mistakes and learn how with their teammates.")</f>
        <v>Individually assess the student's progress throughout the course.
Grade students based on their learning journey and mistakes, not on what they submit. What's important is how they get there, because every failure is learning opportunity.
Grade based how the students working their tasks and not only what they are submitting.
For the assessment, the students can make mistakes in the beginning without fear of being penalized.
Students can fix their code problems. In industry, we keep coding until it works. It also provides a little less pressure on students.
Do not focus your assessment on right versus wrong answers.
Create an environment that students feel comfortable with sharing about their mistakes and learn how with their teammates.</v>
      </c>
      <c r="F57" s="24" t="str">
        <f>IFERROR(__xludf.DUMMYFUNCTION("""COMPUTED_VALUE"""),"Grade students based on their learning journey and mistakes. What's important is how they get there, because every failure is learning opportunity.")</f>
        <v>Grade students based on their learning journey and mistakes. What's important is how they get there, because every failure is learning opportunity.</v>
      </c>
      <c r="G57" s="45" t="str">
        <f>if(codigoRDivergenteJuiz = "first",codigoRDivergenteCodigo1,if (codigoRDivergenteJuiz = "second",codigoRDivergenteCodigo2, if (codigoRDivergenteCodigo1 = "", codigoRDivergenteCodigo2, codigoRDivergenteCodigo1)))</f>
        <v>Individual assessment of students.</v>
      </c>
      <c r="H57" s="45" t="str">
        <f>if(codigoRDivergenteJuiz = "first",codigoRDivergenteTema1,if (codigoRDivergenteJuiz = "second",codigoRDivergenteTema2, if (codigoRDivergenteCodigo1 = "", codigoRDivergenteTema2, codigoRDivergenteTema1)))</f>
        <v>assessment</v>
      </c>
    </row>
    <row r="58">
      <c r="A58" s="44">
        <f>IFERROR(__xludf.DUMMYFUNCTION("""COMPUTED_VALUE"""),64.0)</f>
        <v>64</v>
      </c>
      <c r="B58" s="44" t="str">
        <f>IFERROR(__xludf.DUMMYFUNCTION("""COMPUTED_VALUE"""),"R1 / R2")</f>
        <v>R1 / R2</v>
      </c>
      <c r="C58" s="44" t="str">
        <f>IFERROR(__xludf.DUMMYFUNCTION("""COMPUTED_VALUE"""),"recommendation")</f>
        <v>recommendation</v>
      </c>
      <c r="D58" s="24" t="str">
        <f>IFERROR(__xludf.DUMMYFUNCTION("""COMPUTED_VALUE"""),"They also assess the course at the end; we send you a link and recommend you do this, consider some topics to take the NPS; I think the NPS is the universal metric for assessment, I don't know if you put it under the puts under the radar, the Net Promoter"&amp;" Score, from zero to ten, where zero to zero to seven is Detractor, eight is passive, nine to ten is promoter based on a set of questions that you cannot induce the student.
When people come in to do this, this, this feedback with the students, understan"&amp;"d, the students also talk to a person who is not me, who on the last day, I leave, it is a recommendation I give, I leave the conference to leave the students at ease, talking to this person, they make a mistake during the training and the person got anno"&amp;"yed, and with you inside, they will be a little, a little afraid to expose, although it is also by email.
You need to get the feedback, you don't get the feedback, right? So, and when we, when the students do the student evaluation, of course don't write"&amp;" much. So it's much easier if you can trigger this question.")</f>
        <v>They also assess the course at the end; we send you a link and recommend you do this, consider some topics to take the NPS; I think the NPS is the universal metric for assessment, I don't know if you put it under the puts under the radar, the Net Promoter Score, from zero to ten, where zero to zero to seven is Detractor, eight is passive, nine to ten is promoter based on a set of questions that you cannot induce the student.
When people come in to do this, this, this feedback with the students, understand, the students also talk to a person who is not me, who on the last day, I leave, it is a recommendation I give, I leave the conference to leave the students at ease, talking to this person, they make a mistake during the training and the person got annoyed, and with you inside, they will be a little, a little afraid to expose, although it is also by email.
You need to get the feedback, you don't get the feedback, right? So, and when we, when the students do the student evaluation, of course don't write much. So it's much easier if you can trigger this question.</v>
      </c>
      <c r="E58" s="24" t="str">
        <f>IFERROR(__xludf.DUMMYFUNCTION("""COMPUTED_VALUE"""),"Evaluate the course, performing an NPS (Net Promoter Score) with students.
Teachers and monitors must not be present at the time of course evaluation by students.
Do not try to get feedback before a student assessment, as the student may feel fearful.")</f>
        <v>Evaluate the course, performing an NPS (Net Promoter Score) with students.
Teachers and monitors must not be present at the time of course evaluation by students.
Do not try to get feedback before a student assessment, as the student may feel fearful.</v>
      </c>
      <c r="F58" s="24" t="str">
        <f>IFERROR(__xludf.DUMMYFUNCTION("""COMPUTED_VALUE"""),"Evaluate the course.")</f>
        <v>Evaluate the course.</v>
      </c>
      <c r="G58" s="45" t="str">
        <f>if(codigoRDivergenteJuiz = "first",codigoRDivergenteCodigo1,if (codigoRDivergenteJuiz = "second",codigoRDivergenteCodigo2, if (codigoRDivergenteCodigo1 = "", codigoRDivergenteCodigo2, codigoRDivergenteCodigo1)))</f>
        <v>NPS as a form of course evaluation with students</v>
      </c>
      <c r="H58" s="45" t="str">
        <f>if(codigoRDivergenteJuiz = "first",codigoRDivergenteTema1,if (codigoRDivergenteJuiz = "second",codigoRDivergenteTema2, if (codigoRDivergenteCodigo1 = "", codigoRDivergenteTema2, codigoRDivergenteTema1)))</f>
        <v>assessment</v>
      </c>
    </row>
    <row r="59">
      <c r="A59" s="44">
        <f>IFERROR(__xludf.DUMMYFUNCTION("""COMPUTED_VALUE"""),66.0)</f>
        <v>66</v>
      </c>
      <c r="B59" s="44" t="str">
        <f>IFERROR(__xludf.DUMMYFUNCTION("""COMPUTED_VALUE"""),"R2 / R3")</f>
        <v>R2 / R3</v>
      </c>
      <c r="C59" s="44" t="str">
        <f>IFERROR(__xludf.DUMMYFUNCTION("""COMPUTED_VALUE"""),"recommendation")</f>
        <v>recommendation</v>
      </c>
      <c r="D59" s="24" t="str">
        <f>IFERROR(__xludf.DUMMYFUNCTION("""COMPUTED_VALUE"""),"If possible, record at least one training for an autoscopy at the end. See if you have any language addiction, if there were any process that didn't fit the way you imagined, that would work, because when you're talking and doing, sometimes, there's a det"&amp;"ail that it shouldn't.")</f>
        <v>If possible, record at least one training for an autoscopy at the end. See if you have any language addiction, if there were any process that didn't fit the way you imagined, that would work, because when you're talking and doing, sometimes, there's a detail that it shouldn't.</v>
      </c>
      <c r="E59" s="24" t="str">
        <f>IFERROR(__xludf.DUMMYFUNCTION("""COMPUTED_VALUE"""),"Record a training for the teacher to assess language addiction and whether the class flowed as planned.")</f>
        <v>Record a training for the teacher to assess language addiction and whether the class flowed as planned.</v>
      </c>
      <c r="F59" s="24"/>
      <c r="G59" s="45" t="str">
        <f>if(codigoRDivergenteJuiz = "first",codigoRDivergenteCodigo1,if (codigoRDivergenteJuiz = "second",codigoRDivergenteCodigo2, if (codigoRDivergenteCodigo1 = "", codigoRDivergenteCodigo2, codigoRDivergenteCodigo1)))</f>
        <v>Class evaluation through training recording.</v>
      </c>
      <c r="H59" s="45" t="str">
        <f>if(codigoRDivergenteJuiz = "first",codigoRDivergenteTema1,if (codigoRDivergenteJuiz = "second",codigoRDivergenteTema2, if (codigoRDivergenteCodigo1 = "", codigoRDivergenteTema2, codigoRDivergenteTema1)))</f>
        <v>assessment</v>
      </c>
    </row>
    <row r="60">
      <c r="A60" s="44">
        <f>IFERROR(__xludf.DUMMYFUNCTION("""COMPUTED_VALUE"""),67.0)</f>
        <v>67</v>
      </c>
      <c r="B60" s="44" t="str">
        <f>IFERROR(__xludf.DUMMYFUNCTION("""COMPUTED_VALUE"""),"R1 / R2")</f>
        <v>R1 / R2</v>
      </c>
      <c r="C60" s="44" t="str">
        <f>IFERROR(__xludf.DUMMYFUNCTION("""COMPUTED_VALUE"""),"recommendation")</f>
        <v>recommendation</v>
      </c>
      <c r="D60" s="24" t="str">
        <f>IFERROR(__xludf.DUMMYFUNCTION("""COMPUTED_VALUE"""),"Mixing, theoretical and practical [...] is essential.")</f>
        <v>Mixing, theoretical and practical [...] is essential.</v>
      </c>
      <c r="E60" s="24" t="str">
        <f>IFERROR(__xludf.DUMMYFUNCTION("""COMPUTED_VALUE"""),"It is essential to mix the teaching of the theoretical part and the practical part of DevOps.")</f>
        <v>It is essential to mix the teaching of the theoretical part and the practical part of DevOps.</v>
      </c>
      <c r="F60" s="24"/>
      <c r="G60" s="45" t="str">
        <f>if(codigoRDivergenteJuiz = "first",codigoRDivergenteCodigo1,if (codigoRDivergenteJuiz = "second",codigoRDivergenteCodigo2, if (codigoRDivergenteCodigo1 = "", codigoRDivergenteCodigo2, codigoRDivergenteCodigo1)))</f>
        <v>Theoretical and practical education mix</v>
      </c>
      <c r="H60" s="45" t="str">
        <f>if(codigoRDivergenteJuiz = "first",codigoRDivergenteTema1,if (codigoRDivergenteJuiz = "second",codigoRDivergenteTema2, if (codigoRDivergenteCodigo1 = "", codigoRDivergenteTema2, codigoRDivergenteTema1)))</f>
        <v>curriculum</v>
      </c>
    </row>
    <row r="61">
      <c r="A61" s="44">
        <f>IFERROR(__xludf.DUMMYFUNCTION("""COMPUTED_VALUE"""),68.0)</f>
        <v>68</v>
      </c>
      <c r="B61" s="44" t="str">
        <f>IFERROR(__xludf.DUMMYFUNCTION("""COMPUTED_VALUE"""),"R1 / R3")</f>
        <v>R1 / R3</v>
      </c>
      <c r="C61" s="44" t="str">
        <f>IFERROR(__xludf.DUMMYFUNCTION("""COMPUTED_VALUE"""),"recommendation")</f>
        <v>recommendation</v>
      </c>
      <c r="D61" s="24" t="str">
        <f>IFERROR(__xludf.DUMMYFUNCTION("""COMPUTED_VALUE"""),"We need to talk about the theoretical part about Lean, which is the Toyota method, Kaisen is also very important, Agile which is significantly linked to the DevOps process.")</f>
        <v>We need to talk about the theoretical part about Lean, which is the Toyota method, Kaisen is also very important, Agile which is significantly linked to the DevOps process.</v>
      </c>
      <c r="E61" s="24" t="str">
        <f>IFERROR(__xludf.DUMMYFUNCTION("""COMPUTED_VALUE"""),"In the theoretical part of DevOps, Lean, Kaisen, and Agile should be taught.")</f>
        <v>In the theoretical part of DevOps, Lean, Kaisen, and Agile should be taught.</v>
      </c>
      <c r="F61" s="24"/>
      <c r="G61" s="45" t="str">
        <f>if(codigoRDivergenteJuiz = "first",codigoRDivergenteCodigo1,if (codigoRDivergenteJuiz = "second",codigoRDivergenteCodigo2, if (codigoRDivergenteCodigo1 = "", codigoRDivergenteCodigo2, codigoRDivergenteCodigo1)))</f>
        <v>teaching from Lean, Kaisen and Agile on the theoretical part</v>
      </c>
      <c r="H61" s="45" t="str">
        <f>if(codigoRDivergenteJuiz = "first",codigoRDivergenteTema1,if (codigoRDivergenteJuiz = "second",codigoRDivergenteTema2, if (codigoRDivergenteCodigo1 = "", codigoRDivergenteTema2, codigoRDivergenteTema1)))</f>
        <v>curriculum</v>
      </c>
    </row>
    <row r="62">
      <c r="A62" s="44">
        <f>IFERROR(__xludf.DUMMYFUNCTION("""COMPUTED_VALUE"""),69.0)</f>
        <v>69</v>
      </c>
      <c r="B62" s="44" t="str">
        <f>IFERROR(__xludf.DUMMYFUNCTION("""COMPUTED_VALUE"""),"R2 / R3")</f>
        <v>R2 / R3</v>
      </c>
      <c r="C62" s="44" t="str">
        <f>IFERROR(__xludf.DUMMYFUNCTION("""COMPUTED_VALUE"""),"recommendation")</f>
        <v>recommendation</v>
      </c>
      <c r="D62" s="24" t="str">
        <f>IFERROR(__xludf.DUMMYFUNCTION("""COMPUTED_VALUE"""),"What is practical, from the menu, is to make an end-to-end software, [...] But, end-to-end, and the end, which is monitoring.")</f>
        <v>What is practical, from the menu, is to make an end-to-end software, [...] But, end-to-end, and the end, which is monitoring.</v>
      </c>
      <c r="E62" s="24" t="str">
        <f>IFERROR(__xludf.DUMMYFUNCTION("""COMPUTED_VALUE"""),"Make software from start to finish, going through the DevOps steps to the monitoring step.")</f>
        <v>Make software from start to finish, going through the DevOps steps to the monitoring step.</v>
      </c>
      <c r="F62" s="24"/>
      <c r="G62" s="45" t="str">
        <f>if(codigoRDivergenteJuiz = "first",codigoRDivergenteCodigo1,if (codigoRDivergenteJuiz = "second",codigoRDivergenteCodigo2, if (codigoRDivergenteCodigo1 = "", codigoRDivergenteCodigo2, codigoRDivergenteCodigo1)))</f>
        <v>Development of software across all steps from DevOps.</v>
      </c>
      <c r="H62" s="45" t="str">
        <f>if(codigoRDivergenteJuiz = "first",codigoRDivergenteTema1,if (codigoRDivergenteJuiz = "second",codigoRDivergenteTema2, if (codigoRDivergenteCodigo1 = "", codigoRDivergenteTema2, codigoRDivergenteTema1)))</f>
        <v>curriculum</v>
      </c>
    </row>
    <row r="63">
      <c r="A63" s="44">
        <f>IFERROR(__xludf.DUMMYFUNCTION("""COMPUTED_VALUE"""),70.0)</f>
        <v>70</v>
      </c>
      <c r="B63" s="44" t="str">
        <f>IFERROR(__xludf.DUMMYFUNCTION("""COMPUTED_VALUE"""),"R1 / R2")</f>
        <v>R1 / R2</v>
      </c>
      <c r="C63" s="44" t="str">
        <f>IFERROR(__xludf.DUMMYFUNCTION("""COMPUTED_VALUE"""),"recommendation")</f>
        <v>recommendation</v>
      </c>
      <c r="D63" s="24" t="str">
        <f>IFERROR(__xludf.DUMMYFUNCTION("""COMPUTED_VALUE"""),"Software build [...] deliver this to a VM, somehow, in the best way you understand, which is possible in your suite [...] You can provide it with Docker.")</f>
        <v>Software build [...] deliver this to a VM, somehow, in the best way you understand, which is possible in your suite [...] You can provide it with Docker.</v>
      </c>
      <c r="E63" s="24" t="str">
        <f>IFERROR(__xludf.DUMMYFUNCTION("""COMPUTED_VALUE"""),"Perform continuous delivery through virtual machines or with Docker.")</f>
        <v>Perform continuous delivery through virtual machines or with Docker.</v>
      </c>
      <c r="F63" s="24"/>
      <c r="G63" s="45" t="str">
        <f>if(codigoRDivergenteJuiz = "first",codigoRDivergenteCodigo1,if (codigoRDivergenteJuiz = "second",codigoRDivergenteCodigo2, if (codigoRDivergenteCodigo1 = "", codigoRDivergenteCodigo2, codigoRDivergenteCodigo1)))</f>
        <v>Continuous delivery through virtual machine or docker</v>
      </c>
      <c r="H63" s="45" t="str">
        <f>if(codigoRDivergenteJuiz = "first",codigoRDivergenteTema1,if (codigoRDivergenteJuiz = "second",codigoRDivergenteTema2, if (codigoRDivergenteCodigo1 = "", codigoRDivergenteTema2, codigoRDivergenteTema1)))</f>
        <v>tool / technology</v>
      </c>
    </row>
    <row r="64">
      <c r="A64" s="44">
        <f>IFERROR(__xludf.DUMMYFUNCTION("""COMPUTED_VALUE"""),71.0)</f>
        <v>71</v>
      </c>
      <c r="B64" s="44" t="str">
        <f>IFERROR(__xludf.DUMMYFUNCTION("""COMPUTED_VALUE"""),"R1 / R3")</f>
        <v>R1 / R3</v>
      </c>
      <c r="C64" s="44" t="str">
        <f>IFERROR(__xludf.DUMMYFUNCTION("""COMPUTED_VALUE"""),"recommendation")</f>
        <v>recommendation</v>
      </c>
      <c r="D64" s="24" t="str">
        <f>IFERROR(__xludf.DUMMYFUNCTION("""COMPUTED_VALUE"""),"The software [...] a monitoring tool, in the end, for you to look at. [...] Look at a Grafana, for example, with Prometheus, which is free software, like that.")</f>
        <v>The software [...] a monitoring tool, in the end, for you to look at. [...] Look at a Grafana, for example, with Prometheus, which is free software, like that.</v>
      </c>
      <c r="E64" s="24" t="str">
        <f>IFERROR(__xludf.DUMMYFUNCTION("""COMPUTED_VALUE"""),"Use Grafana and Prometheus as monitoring tools.")</f>
        <v>Use Grafana and Prometheus as monitoring tools.</v>
      </c>
      <c r="F64" s="24"/>
      <c r="G64" s="45" t="str">
        <f>if(codigoRDivergenteJuiz = "first",codigoRDivergenteCodigo1,if (codigoRDivergenteJuiz = "second",codigoRDivergenteCodigo2, if (codigoRDivergenteCodigo1 = "", codigoRDivergenteCodigo2, codigoRDivergenteCodigo1)))</f>
        <v>Grafana and Prometheus as monitoring tools</v>
      </c>
      <c r="H64" s="45" t="str">
        <f>if(codigoRDivergenteJuiz = "first",codigoRDivergenteTema1,if (codigoRDivergenteJuiz = "second",codigoRDivergenteTema2, if (codigoRDivergenteCodigo1 = "", codigoRDivergenteTema2, codigoRDivergenteTema1)))</f>
        <v>tool / technology</v>
      </c>
    </row>
    <row r="65">
      <c r="A65" s="44">
        <f>IFERROR(__xludf.DUMMYFUNCTION("""COMPUTED_VALUE"""),72.0)</f>
        <v>72</v>
      </c>
      <c r="B65" s="44" t="str">
        <f>IFERROR(__xludf.DUMMYFUNCTION("""COMPUTED_VALUE"""),"R2 / R3")</f>
        <v>R2 / R3</v>
      </c>
      <c r="C65" s="44" t="str">
        <f>IFERROR(__xludf.DUMMYFUNCTION("""COMPUTED_VALUE"""),"recommendation")</f>
        <v>recommendation</v>
      </c>
      <c r="D65" s="24" t="str">
        <f>IFERROR(__xludf.DUMMYFUNCTION("""COMPUTED_VALUE"""),"Of the menu is to make an end-to-end software, to understand the software in its conception. We already deliver this to the student, ready. Because we're not going to create the software from scratch, because the code is already kind of polished, it's a c"&amp;"ode from a forum in Java, where we have some features that depend on the machine to do the build, so we're going to decouple.")</f>
        <v>Of the menu is to make an end-to-end software, to understand the software in its conception. We already deliver this to the student, ready. Because we're not going to create the software from scratch, because the code is already kind of polished, it's a code from a forum in Java, where we have some features that depend on the machine to do the build, so we're going to decouple.</v>
      </c>
      <c r="E65" s="24" t="str">
        <f>IFERROR(__xludf.DUMMYFUNCTION("""COMPUTED_VALUE"""),"Use a complete example project from places such as a java discussion forum.")</f>
        <v>Use a complete example project from places such as a java discussion forum.</v>
      </c>
      <c r="F65" s="24"/>
      <c r="G65" s="45" t="str">
        <f>if(codigoRDivergenteJuiz = "first",codigoRDivergenteCodigo1,if (codigoRDivergenteJuiz = "second",codigoRDivergenteCodigo2, if (codigoRDivergenteCodigo1 = "", codigoRDivergenteCodigo2, codigoRDivergenteCodigo1)))</f>
        <v>Exemplification from forum projects.</v>
      </c>
      <c r="H65" s="45" t="str">
        <f>if(codigoRDivergenteJuiz = "first",codigoRDivergenteTema1,if (codigoRDivergenteJuiz = "second",codigoRDivergenteTema2, if (codigoRDivergenteCodigo1 = "", codigoRDivergenteTema2, codigoRDivergenteTema1)))</f>
        <v>strategies in course execution</v>
      </c>
    </row>
    <row r="66">
      <c r="A66" s="44">
        <f>IFERROR(__xludf.DUMMYFUNCTION("""COMPUTED_VALUE"""),73.0)</f>
        <v>73</v>
      </c>
      <c r="B66" s="44" t="str">
        <f>IFERROR(__xludf.DUMMYFUNCTION("""COMPUTED_VALUE"""),"R1 / R2")</f>
        <v>R1 / R2</v>
      </c>
      <c r="C66" s="44" t="str">
        <f>IFERROR(__xludf.DUMMYFUNCTION("""COMPUTED_VALUE"""),"recommendation")</f>
        <v>recommendation</v>
      </c>
      <c r="D66" s="24" t="str">
        <f>IFERROR(__xludf.DUMMYFUNCTION("""COMPUTED_VALUE"""),"So, the first thing, uncouple the database connection that is versioned in the source code. You can still version the String os; although it's not the best practice, you don't have to comment out the code to change the environment because TomCat will read"&amp;" it from there. Versioning in a git, using a continuous integration like Jenkins, for example, and a constant deploy, a continuous delivery with, it can be with an Ansible, it can be with any tool you deliver or in a VM or the Cloud.")</f>
        <v>So, the first thing, uncouple the database connection that is versioned in the source code. You can still version the String os; although it's not the best practice, you don't have to comment out the code to change the environment because TomCat will read it from there. Versioning in a git, using a continuous integration like Jenkins, for example, and a constant deploy, a continuous delivery with, it can be with an Ansible, it can be with any tool you deliver or in a VM or the Cloud.</v>
      </c>
      <c r="E66" s="24" t="str">
        <f>IFERROR(__xludf.DUMMYFUNCTION("""COMPUTED_VALUE"""),"Carry out the following practical activities during the course: the first step is to decouple the database connection from the system code, then version the code with Git, insert continuous integration with Jenkins, and finish with constant delivery using"&amp;" public cloud services or tools with Ansible.")</f>
        <v>Carry out the following practical activities during the course: the first step is to decouple the database connection from the system code, then version the code with Git, insert continuous integration with Jenkins, and finish with constant delivery using public cloud services or tools with Ansible.</v>
      </c>
      <c r="F66" s="24"/>
      <c r="G66" s="45" t="str">
        <f>if(codigoRDivergenteJuiz = "first",codigoRDivergenteCodigo1,if (codigoRDivergenteJuiz = "second",codigoRDivergenteCodigo2, if (codigoRDivergenteCodigo1 = "", codigoRDivergenteCodigo2, codigoRDivergenteCodigo1)))</f>
        <v>Practical activities in the course: bank decoupling, versioning, integration and continuous delivery</v>
      </c>
      <c r="H66" s="45" t="str">
        <f>if(codigoRDivergenteJuiz = "first",codigoRDivergenteTema1,if (codigoRDivergenteJuiz = "second",codigoRDivergenteTema2, if (codigoRDivergenteCodigo1 = "", codigoRDivergenteTema2, codigoRDivergenteTema1)))</f>
        <v>curriculum</v>
      </c>
    </row>
    <row r="67">
      <c r="A67" s="44">
        <f>IFERROR(__xludf.DUMMYFUNCTION("""COMPUTED_VALUE"""),74.0)</f>
        <v>74</v>
      </c>
      <c r="B67" s="44" t="str">
        <f>IFERROR(__xludf.DUMMYFUNCTION("""COMPUTED_VALUE"""),"R1 / R3")</f>
        <v>R1 / R3</v>
      </c>
      <c r="C67" s="44" t="str">
        <f>IFERROR(__xludf.DUMMYFUNCTION("""COMPUTED_VALUE"""),"recommendation")</f>
        <v>recommendation</v>
      </c>
      <c r="D67" s="24" t="str">
        <f>IFERROR(__xludf.DUMMYFUNCTION("""COMPUTED_VALUE"""),"Make it very clear, pedagogically, that I think it involves an exemplary sound configuration so that the student can hear you well, always with the camera open, even if the student doesn't open it, because he can't, but let him see you, that he feels this"&amp;" approach as much as possible.")</f>
        <v>Make it very clear, pedagogically, that I think it involves an exemplary sound configuration so that the student can hear you well, always with the camera open, even if the student doesn't open it, because he can't, but let him see you, that he feels this approach as much as possible.</v>
      </c>
      <c r="E67" s="24" t="str">
        <f>IFERROR(__xludf.DUMMYFUNCTION("""COMPUTED_VALUE"""),"Provide a comfortable learning environment for the student, such as remote teaching, which requires adequate audio and video equipment.")</f>
        <v>Provide a comfortable learning environment for the student, such as remote teaching, which requires adequate audio and video equipment.</v>
      </c>
      <c r="F67" s="24"/>
      <c r="G67" s="45" t="str">
        <f>if(codigoRDivergenteJuiz = "first",codigoRDivergenteCodigo1,if (codigoRDivergenteJuiz = "second",codigoRDivergenteCodigo2, if (codigoRDivergenteCodigo1 = "", codigoRDivergenteCodigo2, codigoRDivergenteCodigo1)))</f>
        <v>Comfortable student learning environment in remote</v>
      </c>
      <c r="H67" s="45" t="str">
        <f>if(codigoRDivergenteJuiz = "first",codigoRDivergenteTema1,if (codigoRDivergenteJuiz = "second",codigoRDivergenteTema2, if (codigoRDivergenteCodigo1 = "", codigoRDivergenteTema2, codigoRDivergenteTema1)))</f>
        <v>strategies in course execution</v>
      </c>
    </row>
    <row r="68">
      <c r="A68" s="44">
        <f>IFERROR(__xludf.DUMMYFUNCTION("""COMPUTED_VALUE"""),75.0)</f>
        <v>75</v>
      </c>
      <c r="B68" s="44" t="str">
        <f>IFERROR(__xludf.DUMMYFUNCTION("""COMPUTED_VALUE"""),"R2 / R3")</f>
        <v>R2 / R3</v>
      </c>
      <c r="C68" s="44" t="str">
        <f>IFERROR(__xludf.DUMMYFUNCTION("""COMPUTED_VALUE"""),"recommendation")</f>
        <v>recommendation</v>
      </c>
      <c r="D68" s="24" t="str">
        <f>IFERROR(__xludf.DUMMYFUNCTION("""COMPUTED_VALUE"""),"Within the menu, try to avoid making the student dependent on that stack you are teaching. So, if you're going to explain Jenkins, take half an hour to explain the pipeline in another tool, so he can see that it's possible. So he doesn't come out with the"&amp;" recipe ready. As much as we don't deliver it, the student creates a recipe in his head, and it won't fit in all of his daily routines. Then it will generate frustration. So, make it clear, look, can you see what we're doing? We're doing it for that reaso"&amp;"n, at Jenkins. Today we are going to use Bitbucket, for example, which is how we do it. One, as an example, correct?
They said: teacher, I can do it in such language, I can do it in such a platform, can I do it like this? [...] So, I am not going to say "&amp;"that there were, I do not know, six, seven, different environments, right? That there was, but let us put two or three, right, different ones. So, for us, professors, we are often not proficient in all of these, right? So, then the person will have to cla"&amp;"rify a doubt, then you say: man, I don't know. So, you decided to do it there, you kind of jump up, like, you know? The most we can do is try to convey the concepts, right? And when the person has a very big doubt like that, you say, boy, try to explain t"&amp;"o me how this technology is there that you are using see if I can at least translate the things that I know, that is it.")</f>
        <v>Within the menu, try to avoid making the student dependent on that stack you are teaching. So, if you're going to explain Jenkins, take half an hour to explain the pipeline in another tool, so he can see that it's possible. So he doesn't come out with the recipe ready. As much as we don't deliver it, the student creates a recipe in his head, and it won't fit in all of his daily routines. Then it will generate frustration. So, make it clear, look, can you see what we're doing? We're doing it for that reason, at Jenkins. Today we are going to use Bitbucket, for example, which is how we do it. One, as an example, correct?
They said: teacher, I can do it in such language, I can do it in such a platform, can I do it like this? [...] So, I am not going to say that there were, I do not know, six, seven, different environments, right? That there was, but let us put two or three, right, different ones. So, for us, professors, we are often not proficient in all of these, right? So, then the person will have to clarify a doubt, then you say: man, I don't know. So, you decided to do it there, you kind of jump up, like, you know? The most we can do is try to convey the concepts, right? And when the person has a very big doubt like that, you say, boy, try to explain to me how this technology is there that you are using see if I can at least translate the things that I know, that is it.</v>
      </c>
      <c r="E68" s="24" t="str">
        <f>IFERROR(__xludf.DUMMYFUNCTION("""COMPUTED_VALUE"""),"Show the student that there are several ways and tools to do the task.
Teach in a way that knowledge can be applied in different tools, but not focus on the possible specific problems of each technology.")</f>
        <v>Show the student that there are several ways and tools to do the task.
Teach in a way that knowledge can be applied in different tools, but not focus on the possible specific problems of each technology.</v>
      </c>
      <c r="F68" s="24" t="str">
        <f>IFERROR(__xludf.DUMMYFUNCTION("""COMPUTED_VALUE"""),"Show the student that there are several ways and tools to do the task.")</f>
        <v>Show the student that there are several ways and tools to do the task.</v>
      </c>
      <c r="G68" s="45" t="str">
        <f>if(codigoRDivergenteJuiz = "first",codigoRDivergenteCodigo1,if (codigoRDivergenteJuiz = "second",codigoRDivergenteCodigo2, if (codigoRDivergenteCodigo1 = "", codigoRDivergenteCodigo2, codigoRDivergenteCodigo1)))</f>
        <v>clear diversity of possible tools to perform a task.</v>
      </c>
      <c r="H68" s="45" t="str">
        <f>if(codigoRDivergenteJuiz = "first",codigoRDivergenteTema1,if (codigoRDivergenteJuiz = "second",codigoRDivergenteTema2, if (codigoRDivergenteCodigo1 = "", codigoRDivergenteTema2, codigoRDivergenteTema1)))</f>
        <v>tool / technology</v>
      </c>
    </row>
    <row r="69">
      <c r="A69" s="44">
        <f>IFERROR(__xludf.DUMMYFUNCTION("""COMPUTED_VALUE"""),76.0)</f>
        <v>76</v>
      </c>
      <c r="B69" s="44" t="str">
        <f>IFERROR(__xludf.DUMMYFUNCTION("""COMPUTED_VALUE"""),"R1 / R2")</f>
        <v>R1 / R2</v>
      </c>
      <c r="C69" s="44" t="str">
        <f>IFERROR(__xludf.DUMMYFUNCTION("""COMPUTED_VALUE"""),"recommendation")</f>
        <v>recommendation</v>
      </c>
      <c r="D69" s="24" t="str">
        <f>IFERROR(__xludf.DUMMYFUNCTION("""COMPUTED_VALUE"""),"I ask the students to implement a straightforward system, which will serve the entire subject. In this minor system, we're going to have tested; there's going to be built, there's going to be continuous integration, there's going to be deployment, you kno"&amp;"w?
This part of the system, which I ask them to do to monitor the discipline [...] When you go to configure the tools and such, as you were the one who developed the system, it becomes easier, I believe for you to understand all the automation and such. "&amp;"However, at the same time, I see that the guys have much difficulty in doing it.")</f>
        <v>I ask the students to implement a straightforward system, which will serve the entire subject. In this minor system, we're going to have tested; there's going to be built, there's going to be continuous integration, there's going to be deployment, you know?
This part of the system, which I ask them to do to monitor the discipline [...] When you go to configure the tools and such, as you were the one who developed the system, it becomes easier, I believe for you to understand all the automation and such. However, at the same time, I see that the guys have much difficulty in doing it.</v>
      </c>
      <c r="E69" s="24" t="str">
        <f>IFERROR(__xludf.DUMMYFUNCTION("""COMPUTED_VALUE"""),"Use a simple example system made by students.
Students build their own systems during the course in order to increase their understanding of automation.")</f>
        <v>Use a simple example system made by students.
Students build their own systems during the course in order to increase their understanding of automation.</v>
      </c>
      <c r="F69" s="24" t="str">
        <f>IFERROR(__xludf.DUMMYFUNCTION("""COMPUTED_VALUE"""),"The students could build their own system during the course.")</f>
        <v>The students could build their own system during the course.</v>
      </c>
      <c r="G69" s="45" t="str">
        <f>if(codigoRDivergenteJuiz = "first",codigoRDivergenteCodigo1,if (codigoRDivergenteJuiz = "second",codigoRDivergenteCodigo2, if (codigoRDivergenteCodigo1 = "", codigoRDivergenteCodigo2, codigoRDivergenteCodigo1)))</f>
        <v>Development of systems during discipline by students </v>
      </c>
      <c r="H69" s="45" t="str">
        <f>if(codigoRDivergenteJuiz = "first",codigoRDivergenteTema1,if (codigoRDivergenteJuiz = "second",codigoRDivergenteTema2, if (codigoRDivergenteCodigo1 = "", codigoRDivergenteTema2, codigoRDivergenteTema1)))</f>
        <v>strategies in course execution</v>
      </c>
    </row>
    <row r="70">
      <c r="A70" s="44">
        <f>IFERROR(__xludf.DUMMYFUNCTION("""COMPUTED_VALUE"""),77.0)</f>
        <v>77</v>
      </c>
      <c r="B70" s="44" t="str">
        <f>IFERROR(__xludf.DUMMYFUNCTION("""COMPUTED_VALUE"""),"R1 / R3")</f>
        <v>R1 / R3</v>
      </c>
      <c r="C70" s="44" t="str">
        <f>IFERROR(__xludf.DUMMYFUNCTION("""COMPUTED_VALUE"""),"recommendation")</f>
        <v>recommendation</v>
      </c>
      <c r="D70" s="24" t="str">
        <f>IFERROR(__xludf.DUMMYFUNCTION("""COMPUTED_VALUE"""),"The point is to try to exercise as many tools as possible to provide everyone [...] with a range of things to apply in your daily life when you see the need.")</f>
        <v>The point is to try to exercise as many tools as possible to provide everyone [...] with a range of things to apply in your daily life when you see the need.</v>
      </c>
      <c r="E70" s="24" t="str">
        <f>IFERROR(__xludf.DUMMYFUNCTION("""COMPUTED_VALUE"""),"Exercise as many tools as possible.")</f>
        <v>Exercise as many tools as possible.</v>
      </c>
      <c r="F70" s="24"/>
      <c r="G70" s="45" t="str">
        <f>if(codigoRDivergenteJuiz = "first",codigoRDivergenteCodigo1,if (codigoRDivergenteJuiz = "second",codigoRDivergenteCodigo2, if (codigoRDivergenteCodigo1 = "", codigoRDivergenteCodigo2, codigoRDivergenteCodigo1)))</f>
        <v>Practice of large amount of tools</v>
      </c>
      <c r="H70" s="45" t="str">
        <f>if(codigoRDivergenteJuiz = "first",codigoRDivergenteTema1,if (codigoRDivergenteJuiz = "second",codigoRDivergenteTema2, if (codigoRDivergenteCodigo1 = "", codigoRDivergenteTema2, codigoRDivergenteTema1)))</f>
        <v>tool / technology</v>
      </c>
    </row>
    <row r="71">
      <c r="A71" s="44">
        <f>IFERROR(__xludf.DUMMYFUNCTION("""COMPUTED_VALUE"""),78.0)</f>
        <v>78</v>
      </c>
      <c r="B71" s="44" t="str">
        <f>IFERROR(__xludf.DUMMYFUNCTION("""COMPUTED_VALUE"""),"R2 / R3")</f>
        <v>R2 / R3</v>
      </c>
      <c r="C71" s="44" t="str">
        <f>IFERROR(__xludf.DUMMYFUNCTION("""COMPUTED_VALUE"""),"recommendation")</f>
        <v>recommendation</v>
      </c>
      <c r="D71" s="24" t="str">
        <f>IFERROR(__xludf.DUMMYFUNCTION("""COMPUTED_VALUE"""),"Because you have to have the mentality that you will have to get materials from different sources, right? ... you'll have to resort to gray literature, right, which is this literature from the blog, the medium, the Nubank or Netflix blog, which are sensat"&amp;"ional articles, but that don't have that scientific rigor, peer review, and such. So, like, I think the DevOps teacher needs to understand that he's in this environment, right?
Material heterogeneity is the biggest challenge [...] you have to set up a cl"&amp;"ass sewing the fonts. So, sometimes, for example, in my integration course, I have to give several concepts, right? For you to talk about continuous integration, you need to talk about version control. You need to talk about build. You need to talk about "&amp;"testing. There are several things that are part of continuous integration, right? So, git-flow is not in the book, you know? Branch, development models, that's not in the book.
Most of the references, the most interesting cases that I considered bringing"&amp;" to the room are posts on INFO2, on Metzone, Hacker News, Twitter posts, Airbnb case study, Glitch, Orbitz, and such; other cases of those that are much more interesting than necessarily, books or ""scientific academic"" articles.")</f>
        <v>Because you have to have the mentality that you will have to get materials from different sources, right? ... you'll have to resort to gray literature, right, which is this literature from the blog, the medium, the Nubank or Netflix blog, which are sensational articles, but that don't have that scientific rigor, peer review, and such. So, like, I think the DevOps teacher needs to understand that he's in this environment, right?
Material heterogeneity is the biggest challenge [...] you have to set up a class sewing the fonts. So, sometimes, for example, in my integration course, I have to give several concepts, right? For you to talk about continuous integration, you need to talk about version control. You need to talk about build. You need to talk about testing. There are several things that are part of continuous integration, right? So, git-flow is not in the book, you know? Branch, development models, that's not in the book.
Most of the references, the most interesting cases that I considered bringing to the room are posts on INFO2, on Metzone, Hacker News, Twitter posts, Airbnb case study, Glitch, Orbitz, and such; other cases of those that are much more interesting than necessarily, books or "scientific academic" articles.</v>
      </c>
      <c r="E71" s="24" t="str">
        <f>IFERROR(__xludf.DUMMYFUNCTION("""COMPUTED_VALUE"""),"Use various sources of DevOps study materials, such as gray literature, blog (medium, Nubank, Netflix).
It is necessary to make use of several sources when creating the course.
Information in gray literature is more interesting to illustrate DevOps use "&amp;"cases: posts on INFO2, Metzone, Hacker News, Twitter, Airbnb case studies, Glitch, Orbitz.")</f>
        <v>Use various sources of DevOps study materials, such as gray literature, blog (medium, Nubank, Netflix).
It is necessary to make use of several sources when creating the course.
Information in gray literature is more interesting to illustrate DevOps use cases: posts on INFO2, Metzone, Hacker News, Twitter, Airbnb case studies, Glitch, Orbitz.</v>
      </c>
      <c r="F71" s="24" t="str">
        <f>IFERROR(__xludf.DUMMYFUNCTION("""COMPUTED_VALUE"""),"Use various sources of DevOps materials.")</f>
        <v>Use various sources of DevOps materials.</v>
      </c>
      <c r="G71" s="45" t="str">
        <f>if(codigoRDivergenteJuiz = "first",codigoRDivergenteCodigo1,if (codigoRDivergenteJuiz = "second",codigoRDivergenteCodigo2, if (codigoRDivergenteCodigo1 = "", codigoRDivergenteCodigo2, codigoRDivergenteCodigo1)))</f>
        <v>Use of miscellaneous DevOps study materials.</v>
      </c>
      <c r="H71" s="45" t="str">
        <f>if(codigoRDivergenteJuiz = "first",codigoRDivergenteTema1,if (codigoRDivergenteJuiz = "second",codigoRDivergenteTema2, if (codigoRDivergenteCodigo1 = "", codigoRDivergenteTema2, codigoRDivergenteTema1)))</f>
        <v>class preparation</v>
      </c>
    </row>
    <row r="72">
      <c r="A72" s="44">
        <f>IFERROR(__xludf.DUMMYFUNCTION("""COMPUTED_VALUE"""),79.0)</f>
        <v>79</v>
      </c>
      <c r="B72" s="44" t="str">
        <f>IFERROR(__xludf.DUMMYFUNCTION("""COMPUTED_VALUE"""),"R1 / R2")</f>
        <v>R1 / R2</v>
      </c>
      <c r="C72" s="44" t="str">
        <f>IFERROR(__xludf.DUMMYFUNCTION("""COMPUTED_VALUE"""),"recommendation")</f>
        <v>recommendation</v>
      </c>
      <c r="D72" s="24" t="str">
        <f>IFERROR(__xludf.DUMMYFUNCTION("""COMPUTED_VALUE"""),"This part of the system, which I ask them to do to follow the discipline, [...] I'm seriously thinking about the idea of ​​simply giving them a system.
If I make this system, I can pass it on to people in a much simpler way, right? How do they do things "&amp;"and such.")</f>
        <v>This part of the system, which I ask them to do to follow the discipline, [...] I'm seriously thinking about the idea of ​​simply giving them a system.
If I make this system, I can pass it on to people in a much simpler way, right? How do they do things and such.</v>
      </c>
      <c r="E72" s="24" t="str">
        <f>IFERROR(__xludf.DUMMYFUNCTION("""COMPUTED_VALUE"""),"Deliver a ready-made sample system for students to use.
Using an example system designed by the teacher will give more confidence in supporting students during the course.")</f>
        <v>Deliver a ready-made sample system for students to use.
Using an example system designed by the teacher will give more confidence in supporting students during the course.</v>
      </c>
      <c r="F72" s="24" t="str">
        <f>IFERROR(__xludf.DUMMYFUNCTION("""COMPUTED_VALUE"""),"Deliver a ready-made sample system for students to use.")</f>
        <v>Deliver a ready-made sample system for students to use.</v>
      </c>
      <c r="G72" s="45" t="str">
        <f>if(codigoRDivergenteJuiz = "first",codigoRDivergenteCodigo1,if (codigoRDivergenteJuiz = "second",codigoRDivergenteCodigo2, if (codigoRDivergenteCodigo1 = "", codigoRDivergenteCodigo2, codigoRDivergenteCodigo1)))</f>
        <v>provision of a finalized system for students</v>
      </c>
      <c r="H72" s="45" t="str">
        <f>if(codigoRDivergenteJuiz = "first",codigoRDivergenteTema1,if (codigoRDivergenteJuiz = "second",codigoRDivergenteTema2, if (codigoRDivergenteCodigo1 = "", codigoRDivergenteTema2, codigoRDivergenteTema1)))</f>
        <v>strategies in course execution</v>
      </c>
    </row>
    <row r="73">
      <c r="A73" s="44">
        <f>IFERROR(__xludf.DUMMYFUNCTION("""COMPUTED_VALUE"""),80.0)</f>
        <v>80</v>
      </c>
      <c r="B73" s="44" t="str">
        <f>IFERROR(__xludf.DUMMYFUNCTION("""COMPUTED_VALUE"""),"R1 / R3")</f>
        <v>R1 / R3</v>
      </c>
      <c r="C73" s="44" t="str">
        <f>IFERROR(__xludf.DUMMYFUNCTION("""COMPUTED_VALUE"""),"recommendation")</f>
        <v>recommendation</v>
      </c>
      <c r="D73" s="24" t="str">
        <f>IFERROR(__xludf.DUMMYFUNCTION("""COMPUTED_VALUE"""),"Maybe it makes sense for you to provide the environment for the students, right? And this provision, you can use a docker of life, which comes already, right?
I ended up doing was to give each group a big virtual machine. And on that machine, they run th"&amp;"ree or four Docker images. Uh, one with Artifactory, one with Jenkins.")</f>
        <v>Maybe it makes sense for you to provide the environment for the students, right? And this provision, you can use a docker of life, which comes already, right?
I ended up doing was to give each group a big virtual machine. And on that machine, they run three or four Docker images. Uh, one with Artifactory, one with Jenkins.</v>
      </c>
      <c r="E73" s="24" t="str">
        <f>IFERROR(__xludf.DUMMYFUNCTION("""COMPUTED_VALUE"""),"Provide initial environment setup for students.
Give each group a big virtual machine. And on that machine, run three or four Docker images. One with Artifactory, other with Jenkins.")</f>
        <v>Provide initial environment setup for students.
Give each group a big virtual machine. And on that machine, run three or four Docker images. One with Artifactory, other with Jenkins.</v>
      </c>
      <c r="F73" s="24" t="str">
        <f>IFERROR(__xludf.DUMMYFUNCTION("""COMPUTED_VALUE"""),"Provide initial environment setup for students.")</f>
        <v>Provide initial environment setup for students.</v>
      </c>
      <c r="G73" s="45" t="str">
        <f>if(codigoRDivergenteJuiz = "first",codigoRDivergenteCodigo1,if (codigoRDivergenteJuiz = "second",codigoRDivergenteCodigo2, if (codigoRDivergenteCodigo1 = "", codigoRDivergenteCodigo2, codigoRDivergenteCodigo1)))</f>
        <v>Initial Environment Configuration for Students</v>
      </c>
      <c r="H73" s="45" t="str">
        <f>if(codigoRDivergenteJuiz = "first",codigoRDivergenteTema1,if (codigoRDivergenteJuiz = "second",codigoRDivergenteTema2, if (codigoRDivergenteCodigo1 = "", codigoRDivergenteTema2, codigoRDivergenteTema1)))</f>
        <v>environment setup</v>
      </c>
    </row>
    <row r="74">
      <c r="A74" s="44">
        <f>IFERROR(__xludf.DUMMYFUNCTION("""COMPUTED_VALUE"""),81.0)</f>
        <v>81</v>
      </c>
      <c r="B74" s="44" t="str">
        <f>IFERROR(__xludf.DUMMYFUNCTION("""COMPUTED_VALUE"""),"R2 / R3")</f>
        <v>R2 / R3</v>
      </c>
      <c r="C74" s="44" t="str">
        <f>IFERROR(__xludf.DUMMYFUNCTION("""COMPUTED_VALUE"""),"recommendation")</f>
        <v>recommendation</v>
      </c>
      <c r="D74" s="24" t="str">
        <f>IFERROR(__xludf.DUMMYFUNCTION("""COMPUTED_VALUE"""),"You need to talk about version control; you need to talk about build; you need to talk about testing; several things are part of continuous integration. So, git-flow is not in the book, you know? Branch, development models, that's not in the book. Then yo"&amp;"u start going to blogs and such, you know? Then, you will talk about software testing; if you were a software engineering book, this part of testing is extremely weak, so it is highly conceptual; there is nothing. Then you can get the articles.
 I teach "&amp;"them about the git feature branch workflow.
Some of this even goes down to git right, because a lot of people coming in know something about git a lot don't um, in many ways, my opinion, which I realize is, is probably not widely shared is that even if w"&amp;"e were restricted from a software engineering department perspective, almost everything we're teaching should be retooled along devops lines, uh.
We've introduced recently is a notion of digital branches and feature branches, for example, uh, linked to s"&amp;"tories, but we try to just give them small individual tools.")</f>
        <v>You need to talk about version control; you need to talk about build; you need to talk about testing; several things are part of continuous integration. So, git-flow is not in the book, you know? Branch, development models, that's not in the book. Then you start going to blogs and such, you know? Then, you will talk about software testing; if you were a software engineering book, this part of testing is extremely weak, so it is highly conceptual; there is nothing. Then you can get the articles.
 I teach them about the git feature branch workflow.
Some of this even goes down to git right, because a lot of people coming in know something about git a lot don't um, in many ways, my opinion, which I realize is, is probably not widely shared is that even if we were restricted from a software engineering department perspective, almost everything we're teaching should be retooled along devops lines, uh.
We've introduced recently is a notion of digital branches and feature branches, for example, uh, linked to stories, but we try to just give them small individual tools.</v>
      </c>
      <c r="E74" s="24" t="str">
        <f>IFERROR(__xludf.DUMMYFUNCTION("""COMPUTED_VALUE"""),"Version control with git feature branch workflow, build, continuous integration, and software testing content should be taught.
Teach git feature branch workflow.
Use git to teach how to manage the code.
Introduce the notion of digital branches and fea"&amp;"ture branches using small individual tools.")</f>
        <v>Version control with git feature branch workflow, build, continuous integration, and software testing content should be taught.
Teach git feature branch workflow.
Use git to teach how to manage the code.
Introduce the notion of digital branches and feature branches using small individual tools.</v>
      </c>
      <c r="F74" s="24" t="str">
        <f>IFERROR(__xludf.DUMMYFUNCTION("""COMPUTED_VALUE"""),"Teach version control with git feature branch workflow.")</f>
        <v>Teach version control with git feature branch workflow.</v>
      </c>
      <c r="G74" s="45" t="str">
        <f>if(codigoRDivergenteJuiz = "first",codigoRDivergenteCodigo1,if (codigoRDivergenteJuiz = "second",codigoRDivergenteCodigo2, if (codigoRDivergenteCodigo1 = "", codigoRDivergenteCodigo2, codigoRDivergenteCodigo1)))</f>
        <v>Teaching of version control, build, ci, gitflow and software testing.</v>
      </c>
      <c r="H74" s="45" t="str">
        <f>if(codigoRDivergenteJuiz = "first",codigoRDivergenteTema1,if (codigoRDivergenteJuiz = "second",codigoRDivergenteTema2, if (codigoRDivergenteCodigo1 = "", codigoRDivergenteTema2, codigoRDivergenteTema1)))</f>
        <v>curriculum</v>
      </c>
    </row>
    <row r="75">
      <c r="A75" s="44">
        <f>IFERROR(__xludf.DUMMYFUNCTION("""COMPUTED_VALUE"""),82.0)</f>
        <v>82</v>
      </c>
      <c r="B75" s="44" t="str">
        <f>IFERROR(__xludf.DUMMYFUNCTION("""COMPUTED_VALUE"""),"R1 / R2")</f>
        <v>R1 / R2</v>
      </c>
      <c r="C75" s="44" t="str">
        <f>IFERROR(__xludf.DUMMYFUNCTION("""COMPUTED_VALUE"""),"recommendation")</f>
        <v>recommendation</v>
      </c>
      <c r="D75" s="24" t="str">
        <f>IFERROR(__xludf.DUMMYFUNCTION("""COMPUTED_VALUE"""),"Something I don't do. I realize that I will need to do it, but it's precisely documenting, right? Those fonts, in case you need to revisit, eh, eh, because it's so easy, right? You open a blog and stuff, you close the tab, and it died like that. So, someh"&amp;"ow you, you are always documenting, where you got it, where you got it from, keep these links, if you have to, if you need to revisit there in future versions of the course, I don't know.")</f>
        <v>Something I don't do. I realize that I will need to do it, but it's precisely documenting, right? Those fonts, in case you need to revisit, eh, eh, because it's so easy, right? You open a blog and stuff, you close the tab, and it died like that. So, somehow you, you are always documenting, where you got it, where you got it from, keep these links, if you have to, if you need to revisit there in future versions of the course, I don't know.</v>
      </c>
      <c r="E75" s="24" t="str">
        <f>IFERROR(__xludf.DUMMYFUNCTION("""COMPUTED_VALUE"""),"Document the consulted material, facilitating future access.")</f>
        <v>Document the consulted material, facilitating future access.</v>
      </c>
      <c r="F75" s="24"/>
      <c r="G75" s="45" t="str">
        <f>if(codigoRDivergenteJuiz = "first",codigoRDivergenteCodigo1,if (codigoRDivergenteJuiz = "second",codigoRDivergenteCodigo2, if (codigoRDivergenteCodigo1 = "", codigoRDivergenteCodigo2, codigoRDivergenteCodigo1)))</f>
        <v>Registration of reference material documentation</v>
      </c>
      <c r="H75" s="45" t="str">
        <f>if(codigoRDivergenteJuiz = "first",codigoRDivergenteTema1,if (codigoRDivergenteJuiz = "second",codigoRDivergenteTema2, if (codigoRDivergenteCodigo1 = "", codigoRDivergenteTema2, codigoRDivergenteTema1)))</f>
        <v>class preparation</v>
      </c>
    </row>
    <row r="76">
      <c r="A76" s="44">
        <f>IFERROR(__xludf.DUMMYFUNCTION("""COMPUTED_VALUE"""),83.0)</f>
        <v>83</v>
      </c>
      <c r="B76" s="44" t="str">
        <f>IFERROR(__xludf.DUMMYFUNCTION("""COMPUTED_VALUE"""),"R1 / R3")</f>
        <v>R1 / R3</v>
      </c>
      <c r="C76" s="44" t="str">
        <f>IFERROR(__xludf.DUMMYFUNCTION("""COMPUTED_VALUE"""),"recommendation")</f>
        <v>recommendation</v>
      </c>
      <c r="D76" s="24" t="str">
        <f>IFERROR(__xludf.DUMMYFUNCTION("""COMPUTED_VALUE"""),"For this part of continuous integration, [...] When you talk about continuous integration, there are several tools you can use. So, you can use Jenkins; you can use Travis; you can use Circle CI, now Github Actions is here, you know?
And then I teach the"&amp;"m, CI continuous integration. I show them how to use Travis to automatically run the test cases.
From a tooling point of view, um, for the pipeline, we, we recommend Travis CI.
There are many checks in this course, we had to make sure that the students "&amp;"had done this and that, and that these, uh, checks could be, uh, automatized by your students. And they had, they added some GitHub actions and to the repository.
I want the code to go through a pipeline. It could be Jenkins. It could be github actions. "&amp;"It could be gitlab workflow. It could be GitHub action.")</f>
        <v>For this part of continuous integration, [...] When you talk about continuous integration, there are several tools you can use. So, you can use Jenkins; you can use Travis; you can use Circle CI, now Github Actions is here, you know?
And then I teach them, CI continuous integration. I show them how to use Travis to automatically run the test cases.
From a tooling point of view, um, for the pipeline, we, we recommend Travis CI.
There are many checks in this course, we had to make sure that the students had done this and that, and that these, uh, checks could be, uh, automatized by your students. And they had, they added some GitHub actions and to the repository.
I want the code to go through a pipeline. It could be Jenkins. It could be github actions. It could be gitlab workflow. It could be GitHub action.</v>
      </c>
      <c r="E76" s="24" t="str">
        <f>IFERROR(__xludf.DUMMYFUNCTION("""COMPUTED_VALUE"""),"Use Jenkins, Travis CI, Circle CI and Github Actions in teaching continuous integration.
Teach continuous integration using travis to automatically run the test cases.
Use Travis CI for the pipeline.
Do automation with Github actions.
Use Jenkins, Git"&amp;"Lab, or Github Actions as pipeline orchestration tools adopted by the course.")</f>
        <v>Use Jenkins, Travis CI, Circle CI and Github Actions in teaching continuous integration.
Teach continuous integration using travis to automatically run the test cases.
Use Travis CI for the pipeline.
Do automation with Github actions.
Use Jenkins, GitLab, or Github Actions as pipeline orchestration tools adopted by the course.</v>
      </c>
      <c r="F76" s="24" t="str">
        <f>IFERROR(__xludf.DUMMYFUNCTION("""COMPUTED_VALUE"""),"Teach continuous integration and pipeline automation.")</f>
        <v>Teach continuous integration and pipeline automation.</v>
      </c>
      <c r="G76" s="45" t="str">
        <f>if(codigoRDivergenteJuiz = "first",codigoRDivergenteCodigo1,if (codigoRDivergenteJuiz = "second",codigoRDivergenteCodigo2, if (codigoRDivergenteCodigo1 = "", codigoRDivergenteCodigo2, codigoRDivergenteCodigo1)))</f>
        <v>Jenkins Tools, Travis Ci, Circle Ci and Github Action in Continuous Integration Teaching</v>
      </c>
      <c r="H76" s="45" t="str">
        <f>if(codigoRDivergenteJuiz = "first",codigoRDivergenteTema1,if (codigoRDivergenteJuiz = "second",codigoRDivergenteTema2, if (codigoRDivergenteCodigo1 = "", codigoRDivergenteTema2, codigoRDivergenteTema1)))</f>
        <v>tool / technology</v>
      </c>
    </row>
    <row r="77">
      <c r="A77" s="44">
        <f>IFERROR(__xludf.DUMMYFUNCTION("""COMPUTED_VALUE"""),84.0)</f>
        <v>84</v>
      </c>
      <c r="B77" s="44" t="str">
        <f>IFERROR(__xludf.DUMMYFUNCTION("""COMPUTED_VALUE"""),"R2 / R3")</f>
        <v>R2 / R3</v>
      </c>
      <c r="C77" s="44" t="str">
        <f>IFERROR(__xludf.DUMMYFUNCTION("""COMPUTED_VALUE"""),"recommendation")</f>
        <v>recommendation</v>
      </c>
      <c r="D77" s="24" t="str">
        <f>IFERROR(__xludf.DUMMYFUNCTION("""COMPUTED_VALUE"""),"Jenkins, let's put it this way, he, even though he's challenging because he's not the easiest thing in the world to set up. These pains, I also think it's essential for the guys [...] Jenkins you don't pay anything [...] These pains, I also believe it is "&amp;"necessary for the guys when you get something a CI that works in the cloud and such, notice, hey, look how easy.")</f>
        <v>Jenkins, let's put it this way, he, even though he's challenging because he's not the easiest thing in the world to set up. These pains, I also think it's essential for the guys [...] Jenkins you don't pay anything [...] These pains, I also believe it is necessary for the guys when you get something a CI that works in the cloud and such, notice, hey, look how easy.</v>
      </c>
      <c r="E77" s="24" t="str">
        <f>IFERROR(__xludf.DUMMYFUNCTION("""COMPUTED_VALUE"""),"The difficulties of configuring CI tools like Jenkins are essential to student learning, facilitating a future transition to cloud CI tools.")</f>
        <v>The difficulties of configuring CI tools like Jenkins are essential to student learning, facilitating a future transition to cloud CI tools.</v>
      </c>
      <c r="F77" s="24"/>
      <c r="G77" s="45" t="str">
        <f>if(codigoRDivergenteJuiz = "first",codigoRDivergenteCodigo1,if (codigoRDivergenteJuiz = "second",codigoRDivergenteCodigo2, if (codigoRDivergenteCodigo1 = "", codigoRDivergenteCodigo2, codigoRDivergenteCodigo1)))</f>
        <v>CI tools, like Jenkins, during the transition to cloud CI tools.</v>
      </c>
      <c r="H77" s="45" t="str">
        <f>if(codigoRDivergenteJuiz = "first",codigoRDivergenteTema1,if (codigoRDivergenteJuiz = "second",codigoRDivergenteTema2, if (codigoRDivergenteCodigo1 = "", codigoRDivergenteTema2, codigoRDivergenteTema1)))</f>
        <v>tool / technology</v>
      </c>
    </row>
    <row r="78">
      <c r="A78" s="44">
        <f>IFERROR(__xludf.DUMMYFUNCTION("""COMPUTED_VALUE"""),85.0)</f>
        <v>85</v>
      </c>
      <c r="B78" s="44" t="str">
        <f>IFERROR(__xludf.DUMMYFUNCTION("""COMPUTED_VALUE"""),"R1 / R2")</f>
        <v>R1 / R2</v>
      </c>
      <c r="C78" s="44" t="str">
        <f>IFERROR(__xludf.DUMMYFUNCTION("""COMPUTED_VALUE"""),"recommendation")</f>
        <v>recommendation</v>
      </c>
      <c r="D78" s="24" t="str">
        <f>IFERROR(__xludf.DUMMYFUNCTION("""COMPUTED_VALUE"""),"The recommendation would be that it would be to get tools that are minimally relevant, right? And so that you can present the different cost-benefits of each one.
I try to pick a few key ones.")</f>
        <v>The recommendation would be that it would be to get tools that are minimally relevant, right? And so that you can present the different cost-benefits of each one.
I try to pick a few key ones.</v>
      </c>
      <c r="E78" s="24" t="str">
        <f>IFERROR(__xludf.DUMMYFUNCTION("""COMPUTED_VALUE"""),"Introduce students to minimal relevant tools and their tradeoffs.
Use few key tools.")</f>
        <v>Introduce students to minimal relevant tools and their tradeoffs.
Use few key tools.</v>
      </c>
      <c r="F78" s="24" t="str">
        <f>IFERROR(__xludf.DUMMYFUNCTION("""COMPUTED_VALUE"""),"Use few key tools.")</f>
        <v>Use few key tools.</v>
      </c>
      <c r="G78" s="45" t="str">
        <f>if(codigoRDivergenteJuiz = "first",codigoRDivergenteCodigo1,if (codigoRDivergenteJuiz = "second",codigoRDivergenteCodigo2, if (codigoRDivergenteCodigo1 = "", codigoRDivergenteCodigo2, codigoRDivergenteCodigo1)))</f>
        <v>Relevant tools and their costs Benefits</v>
      </c>
      <c r="H78" s="45" t="str">
        <f>if(codigoRDivergenteJuiz = "first",codigoRDivergenteTema1,if (codigoRDivergenteJuiz = "second",codigoRDivergenteTema2, if (codigoRDivergenteCodigo1 = "", codigoRDivergenteTema2, codigoRDivergenteTema1)))</f>
        <v>tool / technology</v>
      </c>
    </row>
    <row r="79">
      <c r="A79" s="44">
        <f>IFERROR(__xludf.DUMMYFUNCTION("""COMPUTED_VALUE"""),86.0)</f>
        <v>86</v>
      </c>
      <c r="B79" s="44" t="str">
        <f>IFERROR(__xludf.DUMMYFUNCTION("""COMPUTED_VALUE"""),"R1 / R3")</f>
        <v>R1 / R3</v>
      </c>
      <c r="C79" s="44" t="str">
        <f>IFERROR(__xludf.DUMMYFUNCTION("""COMPUTED_VALUE"""),"recommendation")</f>
        <v>recommendation</v>
      </c>
      <c r="D79" s="24" t="str">
        <f>IFERROR(__xludf.DUMMYFUNCTION("""COMPUTED_VALUE"""),"I always pass some written evaluation of the basic concepts [...] I like the students to express in their own words what they understood [...] mainly from the cultural part.
 And the final exam, I keep, I keep the questions mostly conceptual, right. Beca"&amp;"use let's face it. If you understand the concepts, you can Google the details, right. But you don't know the concepts, you don't know what the Google, right. ... I do put some questions in that they would have only learned had they participated in the pro"&amp;"ject.
The exams are really more the conceptual or philosophical elements stuff, where there is a little more of a, a cut and dry response, or at least I try to structure them that way.")</f>
        <v>I always pass some written evaluation of the basic concepts [...] I like the students to express in their own words what they understood [...] mainly from the cultural part.
 And the final exam, I keep, I keep the questions mostly conceptual, right. Because let's face it. If you understand the concepts, you can Google the details, right. But you don't know the concepts, you don't know what the Google, right. ... I do put some questions in that they would have only learned had they participated in the project.
The exams are really more the conceptual or philosophical elements stuff, where there is a little more of a, a cut and dry response, or at least I try to structure them that way.</v>
      </c>
      <c r="E79" s="24" t="str">
        <f>IFERROR(__xludf.DUMMYFUNCTION("""COMPUTED_VALUE"""),"Use assessment writing of basic concepts and DevOps culture so that students can express what they understand in their own words.
Keep the exam questions mostly conceptual and about participation in the project in the final exam. 
The exams have more co"&amp;"nceptual or philosophical elements.")</f>
        <v>Use assessment writing of basic concepts and DevOps culture so that students can express what they understand in their own words.
Keep the exam questions mostly conceptual and about participation in the project in the final exam. 
The exams have more conceptual or philosophical elements.</v>
      </c>
      <c r="F79" s="24" t="str">
        <f>IFERROR(__xludf.DUMMYFUNCTION("""COMPUTED_VALUE"""),"Do exams with more conceptual questions.")</f>
        <v>Do exams with more conceptual questions.</v>
      </c>
      <c r="G79" s="45" t="str">
        <f>if(codigoRDivergenteJuiz = "first",codigoRDivergenteCodigo1,if (codigoRDivergenteJuiz = "second",codigoRDivergenteCodigo2, if (codigoRDivergenteCodigo1 = "", codigoRDivergenteCodigo2, codigoRDivergenteCodigo1)))</f>
        <v>Written evaluation of the Basic and Culture DevOps concept</v>
      </c>
      <c r="H79" s="45" t="str">
        <f>if(codigoRDivergenteJuiz = "first",codigoRDivergenteTema1,if (codigoRDivergenteJuiz = "second",codigoRDivergenteTema2, if (codigoRDivergenteCodigo1 = "", codigoRDivergenteTema2, codigoRDivergenteTema1)))</f>
        <v>assessment</v>
      </c>
    </row>
    <row r="80">
      <c r="A80" s="44">
        <f>IFERROR(__xludf.DUMMYFUNCTION("""COMPUTED_VALUE"""),87.0)</f>
        <v>87</v>
      </c>
      <c r="B80" s="44" t="str">
        <f>IFERROR(__xludf.DUMMYFUNCTION("""COMPUTED_VALUE"""),"R2 / R3")</f>
        <v>R2 / R3</v>
      </c>
      <c r="C80" s="44" t="str">
        <f>IFERROR(__xludf.DUMMYFUNCTION("""COMPUTED_VALUE"""),"recommendation")</f>
        <v>recommendation</v>
      </c>
      <c r="D80" s="24" t="str">
        <f>IFERROR(__xludf.DUMMYFUNCTION("""COMPUTED_VALUE"""),"DevOps [...] In the specialization course [...] you can break all this content into more extensive disciplines.")</f>
        <v>DevOps [...] In the specialization course [...] you can break all this content into more extensive disciplines.</v>
      </c>
      <c r="E80" s="24" t="str">
        <f>IFERROR(__xludf.DUMMYFUNCTION("""COMPUTED_VALUE"""),"It is possible to break the teaching of DevOps into various disciplines in a DevOps specialization course.")</f>
        <v>It is possible to break the teaching of DevOps into various disciplines in a DevOps specialization course.</v>
      </c>
      <c r="F80" s="24"/>
      <c r="G80" s="45" t="str">
        <f>if(codigoRDivergenteJuiz = "first",codigoRDivergenteCodigo1,if (codigoRDivergenteJuiz = "second",codigoRDivergenteCodigo2, if (codigoRDivergenteCodigo1 = "", codigoRDivergenteCodigo2, codigoRDivergenteCodigo1)))</f>
        <v>Division of the course of DevOps in various disciplines.</v>
      </c>
      <c r="H80" s="45" t="str">
        <f>if(codigoRDivergenteJuiz = "first",codigoRDivergenteTema1,if (codigoRDivergenteJuiz = "second",codigoRDivergenteTema2, if (codigoRDivergenteCodigo1 = "", codigoRDivergenteTema2, codigoRDivergenteTema1)))</f>
        <v>curriculum</v>
      </c>
    </row>
    <row r="81">
      <c r="A81" s="44">
        <f>IFERROR(__xludf.DUMMYFUNCTION("""COMPUTED_VALUE"""),88.0)</f>
        <v>88</v>
      </c>
      <c r="B81" s="44" t="str">
        <f>IFERROR(__xludf.DUMMYFUNCTION("""COMPUTED_VALUE"""),"R1 / R2")</f>
        <v>R1 / R2</v>
      </c>
      <c r="C81" s="44" t="str">
        <f>IFERROR(__xludf.DUMMYFUNCTION("""COMPUTED_VALUE"""),"recommendation")</f>
        <v>recommendation</v>
      </c>
      <c r="D81" s="24" t="str">
        <f>IFERROR(__xludf.DUMMYFUNCTION("""COMPUTED_VALUE"""),"So, there are some things that you cannot miss. All, if you see the cute little DevOps cycle figure there, right? All that part of compiling, testing, making, monitoring, and evaluating, I think all of this needs to be charged in some way; it has to come "&amp;"in somehow.
I would have some more, uh, time for, uh, for basics of, uh, basics of DevOps and the old technologies, and not only focus on the things that are, uh, that are very novel and very being developed right now. So, uh, because that would give stu"&amp;"dents a better opportunity to, uh, understand the, uh, the other things as well.
")</f>
        <v>So, there are some things that you cannot miss. All, if you see the cute little DevOps cycle figure there, right? All that part of compiling, testing, making, monitoring, and evaluating, I think all of this needs to be charged in some way; it has to come in somehow.
I would have some more, uh, time for, uh, for basics of, uh, basics of DevOps and the old technologies, and not only focus on the things that are, uh, that are very novel and very being developed right now. So, uh, because that would give students a better opportunity to, uh, understand the, uh, the other things as well.
</v>
      </c>
      <c r="E81" s="24" t="str">
        <f>IFERROR(__xludf.DUMMYFUNCTION("""COMPUTED_VALUE"""),"The basics of building, testing, deploying, and monitoring should be present in a DevOps course.
Not just focus on the current, but teach the basics of DevOps and older technologies to a better understanding.")</f>
        <v>The basics of building, testing, deploying, and monitoring should be present in a DevOps course.
Not just focus on the current, but teach the basics of DevOps and older technologies to a better understanding.</v>
      </c>
      <c r="F81" s="24" t="str">
        <f>IFERROR(__xludf.DUMMYFUNCTION("""COMPUTED_VALUE"""),"The basics of building, testing, deploying, and monitoring should be present in a DevOps course.")</f>
        <v>The basics of building, testing, deploying, and monitoring should be present in a DevOps course.</v>
      </c>
      <c r="G81" s="45" t="str">
        <f>if(codigoRDivergenteJuiz = "first",codigoRDivergenteCodigo1,if (codigoRDivergenteJuiz = "second",codigoRDivergenteCodigo2, if (codigoRDivergenteCodigo1 = "", codigoRDivergenteCodigo2, codigoRDivergenteCodigo1)))</f>
        <v>Build, test, deployment, and monitoring on a course DevOps</v>
      </c>
      <c r="H81" s="45" t="str">
        <f>if(codigoRDivergenteJuiz = "first",codigoRDivergenteTema1,if (codigoRDivergenteJuiz = "second",codigoRDivergenteTema2, if (codigoRDivergenteCodigo1 = "", codigoRDivergenteTema2, codigoRDivergenteTema1)))</f>
        <v>curriculum</v>
      </c>
    </row>
    <row r="82">
      <c r="A82" s="44">
        <f>IFERROR(__xludf.DUMMYFUNCTION("""COMPUTED_VALUE"""),89.0)</f>
        <v>89</v>
      </c>
      <c r="B82" s="44" t="str">
        <f>IFERROR(__xludf.DUMMYFUNCTION("""COMPUTED_VALUE"""),"R1 / R3")</f>
        <v>R1 / R3</v>
      </c>
      <c r="C82" s="44" t="str">
        <f>IFERROR(__xludf.DUMMYFUNCTION("""COMPUTED_VALUE"""),"recommendation")</f>
        <v>recommendation</v>
      </c>
      <c r="D82" s="24" t="str">
        <f>IFERROR(__xludf.DUMMYFUNCTION("""COMPUTED_VALUE"""),"During creation [...] Everything is already prepared, and the groups are always the same [...] it is the same booklet, the same content, the same teaching didactics, so there is no preparation for each class, you know? It was just an initial preparation.")</f>
        <v>During creation [...] Everything is already prepared, and the groups are always the same [...] it is the same booklet, the same content, the same teaching didactics, so there is no preparation for each class, you know? It was just an initial preparation.</v>
      </c>
      <c r="E82" s="24" t="str">
        <f>IFERROR(__xludf.DUMMYFUNCTION("""COMPUTED_VALUE"""),"Standardize the teaching material for all classes.")</f>
        <v>Standardize the teaching material for all classes.</v>
      </c>
      <c r="F82" s="24"/>
      <c r="G82" s="45" t="str">
        <f>if(codigoRDivergenteJuiz = "first",codigoRDivergenteCodigo1,if (codigoRDivergenteJuiz = "second",codigoRDivergenteCodigo2, if (codigoRDivergenteCodigo1 = "", codigoRDivergenteCodigo2, codigoRDivergenteCodigo1)))</f>
        <v>uniformity of the didactic material of the classes</v>
      </c>
      <c r="H82" s="45" t="str">
        <f>if(codigoRDivergenteJuiz = "first",codigoRDivergenteTema1,if (codigoRDivergenteJuiz = "second",codigoRDivergenteTema2, if (codigoRDivergenteCodigo1 = "", codigoRDivergenteTema2, codigoRDivergenteTema1)))</f>
        <v>class preparation</v>
      </c>
    </row>
    <row r="83">
      <c r="A83" s="44">
        <f>IFERROR(__xludf.DUMMYFUNCTION("""COMPUTED_VALUE"""),90.0)</f>
        <v>90</v>
      </c>
      <c r="B83" s="44" t="str">
        <f>IFERROR(__xludf.DUMMYFUNCTION("""COMPUTED_VALUE"""),"R2 / R3")</f>
        <v>R2 / R3</v>
      </c>
      <c r="C83" s="44" t="str">
        <f>IFERROR(__xludf.DUMMYFUNCTION("""COMPUTED_VALUE"""),"recommendation")</f>
        <v>recommendation</v>
      </c>
      <c r="D83" s="24" t="str">
        <f>IFERROR(__xludf.DUMMYFUNCTION("""COMPUTED_VALUE"""),"Training is limited [...] we will have to cut it, right? Focuses on tools, but which tools. So, this was a big challenge, so to think about which themes are essential, which means to teach, within each piece, right?")</f>
        <v>Training is limited [...] we will have to cut it, right? Focuses on tools, but which tools. So, this was a big challenge, so to think about which themes are essential, which means to teach, within each piece, right?</v>
      </c>
      <c r="E83" s="24" t="str">
        <f>IFERROR(__xludf.DUMMYFUNCTION("""COMPUTED_VALUE"""),"It is necessary to choose which topics and tools are essential as the course time is limited.")</f>
        <v>It is necessary to choose which topics and tools are essential as the course time is limited.</v>
      </c>
      <c r="F83" s="24"/>
      <c r="G83" s="45" t="str">
        <f>if(codigoRDivergenteJuiz = "first",codigoRDivergenteCodigo1,if (codigoRDivergenteJuiz = "second",codigoRDivergenteCodigo2, if (codigoRDivergenteCodigo1 = "", codigoRDivergenteCodigo2, codigoRDivergenteCodigo1)))</f>
        <v>Prioritization of teaching more essential tools.</v>
      </c>
      <c r="H83" s="45" t="str">
        <f>if(codigoRDivergenteJuiz = "first",codigoRDivergenteTema1,if (codigoRDivergenteJuiz = "second",codigoRDivergenteTema2, if (codigoRDivergenteCodigo1 = "", codigoRDivergenteTema2, codigoRDivergenteTema1)))</f>
        <v>class preparation</v>
      </c>
    </row>
    <row r="84">
      <c r="A84" s="44">
        <f>IFERROR(__xludf.DUMMYFUNCTION("""COMPUTED_VALUE"""),91.0)</f>
        <v>91</v>
      </c>
      <c r="B84" s="44" t="str">
        <f>IFERROR(__xludf.DUMMYFUNCTION("""COMPUTED_VALUE"""),"R1 / R2")</f>
        <v>R1 / R2</v>
      </c>
      <c r="C84" s="44" t="str">
        <f>IFERROR(__xludf.DUMMYFUNCTION("""COMPUTED_VALUE"""),"recommendation")</f>
        <v>recommendation</v>
      </c>
      <c r="D84" s="24" t="str">
        <f>IFERROR(__xludf.DUMMYFUNCTION("""COMPUTED_VALUE"""),"the recommendation is to look at the market, search, see on Twitter, discussion groups, see what's hot on Google Trends. To know how to choose a tool that is more popular, right? That it is used more and that more people can enjoy the content there, right"&amp;"? Because they are tools they are already used to using.
The recommendation is to see what the market is using, right? Moreover, trying to go with what is most used, like, it was no use messing with CRIO if everyone uses Docker.
 I also try to use a set"&amp;" of tools that are popular in the industry.
It is very critical to teach them tools that are relevant and tools that will help them get a job.
Setting up good logging monitoring notifications, some of these other open source tools that provide that kind"&amp;" of those kinds of capabilities. ... So I try to pick a representative sample open source, always cause I don't want people to be buying things.
 I try to use as much as possible with tools that people use in industry and companies.
I wanted to go with "&amp;"open source technologies so I can explain later how we build the labs.")</f>
        <v>the recommendation is to look at the market, search, see on Twitter, discussion groups, see what's hot on Google Trends. To know how to choose a tool that is more popular, right? That it is used more and that more people can enjoy the content there, right? Because they are tools they are already used to using.
The recommendation is to see what the market is using, right? Moreover, trying to go with what is most used, like, it was no use messing with CRIO if everyone uses Docker.
 I also try to use a set of tools that are popular in the industry.
It is very critical to teach them tools that are relevant and tools that will help them get a job.
Setting up good logging monitoring notifications, some of these other open source tools that provide that kind of those kinds of capabilities. ... So I try to pick a representative sample open source, always cause I don't want people to be buying things.
 I try to use as much as possible with tools that people use in industry and companies.
I wanted to go with open source technologies so I can explain later how we build the labs.</v>
      </c>
      <c r="E84" s="24" t="str">
        <f>IFERROR(__xludf.DUMMYFUNCTION("""COMPUTED_VALUE"""),"Research market tools on Twitter, discussion groups, Google Trends, as they are probably the tools that students are used to using and will take advantage of in their work.
Use the most relevant tools on the market like Docker.
Use popular industry tool"&amp;"s.
Teach tools that will help to get a job.
Use representative open source industrial tools.
Use as much as possible relevant industry tools.
Prefer to use open source technologies.")</f>
        <v>Research market tools on Twitter, discussion groups, Google Trends, as they are probably the tools that students are used to using and will take advantage of in their work.
Use the most relevant tools on the market like Docker.
Use popular industry tools.
Teach tools that will help to get a job.
Use representative open source industrial tools.
Use as much as possible relevant industry tools.
Prefer to use open source technologies.</v>
      </c>
      <c r="F84" s="24" t="str">
        <f>IFERROR(__xludf.DUMMYFUNCTION("""COMPUTED_VALUE"""),"Use relevant industry tools.")</f>
        <v>Use relevant industry tools.</v>
      </c>
      <c r="G84" s="45" t="str">
        <f>if(codigoRDivergenteJuiz = "first",codigoRDivergenteCodigo1,if (codigoRDivergenteJuiz = "second",codigoRDivergenteCodigo2, if (codigoRDivergenteCodigo1 = "", codigoRDivergenteCodigo2, codigoRDivergenteCodigo1)))</f>
        <v>industry relevant tools</v>
      </c>
      <c r="H84" s="45" t="str">
        <f>if(codigoRDivergenteJuiz = "first",codigoRDivergenteTema1,if (codigoRDivergenteJuiz = "second",codigoRDivergenteTema2, if (codigoRDivergenteCodigo1 = "", codigoRDivergenteTema2, codigoRDivergenteTema1)))</f>
        <v>tool / technology</v>
      </c>
    </row>
    <row r="85">
      <c r="A85" s="44">
        <f>IFERROR(__xludf.DUMMYFUNCTION("""COMPUTED_VALUE"""),94.0)</f>
        <v>94</v>
      </c>
      <c r="B85" s="44" t="str">
        <f>IFERROR(__xludf.DUMMYFUNCTION("""COMPUTED_VALUE"""),"R1 / R3")</f>
        <v>R1 / R3</v>
      </c>
      <c r="C85" s="44" t="str">
        <f>IFERROR(__xludf.DUMMYFUNCTION("""COMPUTED_VALUE"""),"recommendation")</f>
        <v>recommendation</v>
      </c>
      <c r="D85" s="24" t="str">
        <f>IFERROR(__xludf.DUMMYFUNCTION("""COMPUTED_VALUE"""),"Which tool to choose, which one had to see, which was more standard in the market, which was more straightforward, which is even easier to teach, and how to fit it in, right?
You don't know what is Docker yet, but here's a common line. Just run it. And t"&amp;"hen here's a common line to run. Artifactory you don't know what it means, just type it like this. Um, it will give you an Artifactory that's running.")</f>
        <v>Which tool to choose, which one had to see, which was more standard in the market, which was more straightforward, which is even easier to teach, and how to fit it in, right?
You don't know what is Docker yet, but here's a common line. Just run it. And then here's a common line to run. Artifactory you don't know what it means, just type it like this. Um, it will give you an Artifactory that's running.</v>
      </c>
      <c r="E85" s="24" t="str">
        <f>IFERROR(__xludf.DUMMYFUNCTION("""COMPUTED_VALUE"""),"Use the simplest tools chosen by the market as a method of selecting the tools that will be adopted during the course.
Use the tools like Docker and Artifactory in simplest way.")</f>
        <v>Use the simplest tools chosen by the market as a method of selecting the tools that will be adopted during the course.
Use the tools like Docker and Artifactory in simplest way.</v>
      </c>
      <c r="F85" s="24" t="str">
        <f>IFERROR(__xludf.DUMMYFUNCTION("""COMPUTED_VALUE"""),"Use the DevOps tools in simplest way.")</f>
        <v>Use the DevOps tools in simplest way.</v>
      </c>
      <c r="G85" s="45" t="str">
        <f>if(codigoRDivergenteJuiz = "first",codigoRDivergenteCodigo1,if (codigoRDivergenteJuiz = "second",codigoRDivergenteCodigo2, if (codigoRDivergenteCodigo1 = "", codigoRDivergenteCodigo2, codigoRDivergenteCodigo1)))</f>
        <v>simplest devops tools</v>
      </c>
      <c r="H85" s="45" t="str">
        <f>if(codigoRDivergenteJuiz = "first",codigoRDivergenteTema1,if (codigoRDivergenteJuiz = "second",codigoRDivergenteTema2, if (codigoRDivergenteCodigo1 = "", codigoRDivergenteTema2, codigoRDivergenteTema1)))</f>
        <v>tool / technology</v>
      </c>
    </row>
    <row r="86">
      <c r="A86" s="44">
        <f>IFERROR(__xludf.DUMMYFUNCTION("""COMPUTED_VALUE"""),92.0)</f>
        <v>92</v>
      </c>
      <c r="B86" s="44" t="str">
        <f>IFERROR(__xludf.DUMMYFUNCTION("""COMPUTED_VALUE"""),"R1 / R3")</f>
        <v>R1 / R3</v>
      </c>
      <c r="C86" s="44" t="str">
        <f>IFERROR(__xludf.DUMMYFUNCTION("""COMPUTED_VALUE"""),"recommendation")</f>
        <v>recommendation</v>
      </c>
      <c r="D86" s="24" t="str">
        <f>IFERROR(__xludf.DUMMYFUNCTION("""COMPUTED_VALUE"""),"Of first showing the history, showing the motivation, showing the problem, and making some hooks with possible solutions that Devops was bringing, suitable?")</f>
        <v>Of first showing the history, showing the motivation, showing the problem, and making some hooks with possible solutions that Devops was bringing, suitable?</v>
      </c>
      <c r="E86" s="24" t="str">
        <f>IFERROR(__xludf.DUMMYFUNCTION("""COMPUTED_VALUE"""),"The assembly of classes should follow the following steps to use DevOps: history, motivation, problems that can be solved, and possible solutions with DevOps.")</f>
        <v>The assembly of classes should follow the following steps to use DevOps: history, motivation, problems that can be solved, and possible solutions with DevOps.</v>
      </c>
      <c r="F86" s="24"/>
      <c r="G86" s="45" t="str">
        <f>if(codigoRDivergenteJuiz = "first",codigoRDivergenteCodigo1,if (codigoRDivergenteJuiz = "second",codigoRDivergenteCodigo2, if (codigoRDivergenteCodigo1 = "", codigoRDivergenteCodigo2, codigoRDivergenteCodigo1)))</f>
        <v>class sequence</v>
      </c>
      <c r="H86" s="45" t="str">
        <f>if(codigoRDivergenteJuiz = "first",codigoRDivergenteTema1,if (codigoRDivergenteJuiz = "second",codigoRDivergenteTema2, if (codigoRDivergenteCodigo1 = "", codigoRDivergenteTema2, codigoRDivergenteTema1)))</f>
        <v>class preparation</v>
      </c>
    </row>
    <row r="87">
      <c r="A87" s="44">
        <f>IFERROR(__xludf.DUMMYFUNCTION("""COMPUTED_VALUE"""),93.0)</f>
        <v>93</v>
      </c>
      <c r="B87" s="44" t="str">
        <f>IFERROR(__xludf.DUMMYFUNCTION("""COMPUTED_VALUE"""),"R2 / R3")</f>
        <v>R2 / R3</v>
      </c>
      <c r="C87" s="44" t="str">
        <f>IFERROR(__xludf.DUMMYFUNCTION("""COMPUTED_VALUE"""),"recommendation")</f>
        <v>recommendation</v>
      </c>
      <c r="D87" s="24" t="str">
        <f>IFERROR(__xludf.DUMMYFUNCTION("""COMPUTED_VALUE"""),"So, we ended up choosing Java because it is the greatest strength; ours, that was Java.")</f>
        <v>So, we ended up choosing Java because it is the greatest strength; ours, that was Java.</v>
      </c>
      <c r="E87" s="24" t="str">
        <f>IFERROR(__xludf.DUMMYFUNCTION("""COMPUTED_VALUE"""),"Use a programming language that the teacher knows.")</f>
        <v>Use a programming language that the teacher knows.</v>
      </c>
      <c r="F87" s="24"/>
      <c r="G87" s="45" t="str">
        <f>if(codigoRDivergenteJuiz = "first",codigoRDivergenteCodigo1,if (codigoRDivergenteJuiz = "second",codigoRDivergenteCodigo2, if (codigoRDivergenteCodigo1 = "", codigoRDivergenteCodigo2, codigoRDivergenteCodigo1)))</f>
        <v>Use of a comfortable programming language for the teacher</v>
      </c>
      <c r="H87" s="45" t="str">
        <f>if(codigoRDivergenteJuiz = "first",codigoRDivergenteTema1,if (codigoRDivergenteJuiz = "second",codigoRDivergenteTema2, if (codigoRDivergenteCodigo1 = "", codigoRDivergenteTema2, codigoRDivergenteTema1)))</f>
        <v>tool / technology</v>
      </c>
    </row>
    <row r="88">
      <c r="A88" s="44">
        <f>IFERROR(__xludf.DUMMYFUNCTION("""COMPUTED_VALUE"""),95.0)</f>
        <v>95</v>
      </c>
      <c r="B88" s="44" t="str">
        <f>IFERROR(__xludf.DUMMYFUNCTION("""COMPUTED_VALUE"""),"R1 / R3")</f>
        <v>R1 / R3</v>
      </c>
      <c r="C88" s="44" t="str">
        <f>IFERROR(__xludf.DUMMYFUNCTION("""COMPUTED_VALUE"""),"recommendation")</f>
        <v>recommendation</v>
      </c>
      <c r="D88" s="24" t="str">
        <f>IFERROR(__xludf.DUMMYFUNCTION("""COMPUTED_VALUE"""),"We don't evaluate, [...] but we keep observing, right, the students, and such throughout the training.")</f>
        <v>We don't evaluate, [...] but we keep observing, right, the students, and such throughout the training.</v>
      </c>
      <c r="E88" s="24" t="str">
        <f>IFERROR(__xludf.DUMMYFUNCTION("""COMPUTED_VALUE"""),"Monitor student progress throughout training by conducting a traditional assessment.")</f>
        <v>Monitor student progress throughout training by conducting a traditional assessment.</v>
      </c>
      <c r="F88" s="24"/>
      <c r="G88" s="45" t="str">
        <f>if(codigoRDivergenteJuiz = "first",codigoRDivergenteCodigo1,if (codigoRDivergenteJuiz = "second",codigoRDivergenteCodigo2, if (codigoRDivergenteCodigo1 = "", codigoRDivergenteCodigo2, codigoRDivergenteCodigo1)))</f>
        <v>Monitoring rather than traditional evaluation</v>
      </c>
      <c r="H88" s="45" t="str">
        <f>if(codigoRDivergenteJuiz = "first",codigoRDivergenteTema1,if (codigoRDivergenteJuiz = "second",codigoRDivergenteTema2, if (codigoRDivergenteCodigo1 = "", codigoRDivergenteTema2, codigoRDivergenteTema1)))</f>
        <v>assessment</v>
      </c>
    </row>
    <row r="89">
      <c r="A89" s="44">
        <f>IFERROR(__xludf.DUMMYFUNCTION("""COMPUTED_VALUE"""),96.0)</f>
        <v>96</v>
      </c>
      <c r="B89" s="44" t="str">
        <f>IFERROR(__xludf.DUMMYFUNCTION("""COMPUTED_VALUE"""),"R2 / R3")</f>
        <v>R2 / R3</v>
      </c>
      <c r="C89" s="44" t="str">
        <f>IFERROR(__xludf.DUMMYFUNCTION("""COMPUTED_VALUE"""),"recommendation")</f>
        <v>recommendation</v>
      </c>
      <c r="D89" s="24" t="str">
        <f>IFERROR(__xludf.DUMMYFUNCTION("""COMPUTED_VALUE"""),"One important thing for me, which became apparent during my studies, is that I had to show the background, the motivation somehow, so I wanted to fit it in any way in the curriculum at the beginning, showing the history of software development [...] inclu"&amp;"de these topics, like, more historical, which are not good, are not technical, right? But in a way that isn't too boring, you also [...] have to fit this with the technical part [...] With concepts of continuous integration, continuous delivery, continuou"&amp;"s deployment, tools, automation, anyway.")</f>
        <v>One important thing for me, which became apparent during my studies, is that I had to show the background, the motivation somehow, so I wanted to fit it in any way in the curriculum at the beginning, showing the history of software development [...] include these topics, like, more historical, which are not good, are not technical, right? But in a way that isn't too boring, you also [...] have to fit this with the technical part [...] With concepts of continuous integration, continuous delivery, continuous deployment, tools, automation, anyway.</v>
      </c>
      <c r="E89" s="24" t="str">
        <f>IFERROR(__xludf.DUMMYFUNCTION("""COMPUTED_VALUE"""),"Contextualize the historical aspects and definition of continuous integration, continuous delivery, continuous deployment, and automation concepts.")</f>
        <v>Contextualize the historical aspects and definition of continuous integration, continuous delivery, continuous deployment, and automation concepts.</v>
      </c>
      <c r="F89" s="24"/>
      <c r="G89" s="45" t="str">
        <f>if(codigoRDivergenteJuiz = "first",codigoRDivergenteCodigo1,if (codigoRDivergenteJuiz = "second",codigoRDivergenteCodigo2, if (codigoRDivergenteCodigo1 = "", codigoRDivergenteCodigo2, codigoRDivergenteCodigo1)))</f>
        <v>Contextualization of historical aspects and definition of concepts Continuous integration, continuous delivery, continuous deployment and automation.</v>
      </c>
      <c r="H89" s="45" t="str">
        <f>if(codigoRDivergenteJuiz = "first",codigoRDivergenteTema1,if (codigoRDivergenteJuiz = "second",codigoRDivergenteTema2, if (codigoRDivergenteCodigo1 = "", codigoRDivergenteTema2, codigoRDivergenteTema1)))</f>
        <v>devops concepts</v>
      </c>
    </row>
    <row r="90">
      <c r="A90" s="44">
        <f>IFERROR(__xludf.DUMMYFUNCTION("""COMPUTED_VALUE"""),97.0)</f>
        <v>97</v>
      </c>
      <c r="B90" s="44" t="str">
        <f>IFERROR(__xludf.DUMMYFUNCTION("""COMPUTED_VALUE"""),"R1 / R2")</f>
        <v>R1 / R2</v>
      </c>
      <c r="C90" s="44" t="str">
        <f>IFERROR(__xludf.DUMMYFUNCTION("""COMPUTED_VALUE"""),"recommendation")</f>
        <v>recommendation</v>
      </c>
      <c r="D90" s="24" t="str">
        <f>IFERROR(__xludf.DUMMYFUNCTION("""COMPUTED_VALUE""")," I had to show the history somehow... the history of software development, showing about the processes. Cascade, RUP, agile, talk a lot about agile, because it's related and fit these topics, so, more historical, not sound, not technical... And make a par"&amp;"allel, there, with the agile world with the problems that DevOps came to solve, right?
I'm trying to tie the application of the devops principles and techniques and technologies, and to, and to link that together with agile approaches, for example.
We h"&amp;"elp them manage stories, backlog. Uh, so it's more on the front of, we give you requirements.
If you want to be able to experiment and, and to, to, to do the postmortem so that you can learn and you can solve issues and stuff.
I have to do more of this,"&amp;" um, story telling. ... I'm trying to share my experience with the students.")</f>
        <v> I had to show the history somehow... the history of software development, showing about the processes. Cascade, RUP, agile, talk a lot about agile, because it's related and fit these topics, so, more historical, not sound, not technical... And make a parallel, there, with the agile world with the problems that DevOps came to solve, right?
I'm trying to tie the application of the devops principles and techniques and technologies, and to, and to link that together with agile approaches, for example.
We help them manage stories, backlog. Uh, so it's more on the front of, we give you requirements.
If you want to be able to experiment and, and to, to, to do the postmortem so that you can learn and you can solve issues and stuff.
I have to do more of this, um, story telling. ... I'm trying to share my experience with the students.</v>
      </c>
      <c r="E90" s="24" t="str">
        <f>IFERROR(__xludf.DUMMYFUNCTION("""COMPUTED_VALUE"""),"It is important to show the relationship of DevOps with software development models, notably Agile.
Tie application of DevOps principles, techniques and technologies with Agile approaches.
Help students manage stories and backlog.
Make post mortem with"&amp;" the students to solve problems.
Use storytelling to share experience with the students.")</f>
        <v>It is important to show the relationship of DevOps with software development models, notably Agile.
Tie application of DevOps principles, techniques and technologies with Agile approaches.
Help students manage stories and backlog.
Make post mortem with the students to solve problems.
Use storytelling to share experience with the students.</v>
      </c>
      <c r="F90" s="24" t="str">
        <f>IFERROR(__xludf.DUMMYFUNCTION("""COMPUTED_VALUE"""),"Use Agile approaches in DevOps classes.")</f>
        <v>Use Agile approaches in DevOps classes.</v>
      </c>
      <c r="G90" s="45" t="str">
        <f>if(codigoRDivergenteJuiz = "first",codigoRDivergenteCodigo1,if (codigoRDivergenteJuiz = "second",codigoRDivergenteCodigo2, if (codigoRDivergenteCodigo1 = "", codigoRDivergenteCodigo2, codigoRDivergenteCodigo1)))</f>
        <v> Comparison between DevOps and software development models</v>
      </c>
      <c r="H90" s="45" t="str">
        <f>if(codigoRDivergenteJuiz = "first",codigoRDivergenteTema1,if (codigoRDivergenteJuiz = "second",codigoRDivergenteTema2, if (codigoRDivergenteCodigo1 = "", codigoRDivergenteTema2, codigoRDivergenteTema1)))</f>
        <v>devops concepts</v>
      </c>
    </row>
    <row r="91">
      <c r="A91" s="44">
        <f>IFERROR(__xludf.DUMMYFUNCTION("""COMPUTED_VALUE"""),98.0)</f>
        <v>98</v>
      </c>
      <c r="B91" s="44" t="str">
        <f>IFERROR(__xludf.DUMMYFUNCTION("""COMPUTED_VALUE"""),"R1 / R3")</f>
        <v>R1 / R3</v>
      </c>
      <c r="C91" s="44" t="str">
        <f>IFERROR(__xludf.DUMMYFUNCTION("""COMPUTED_VALUE"""),"recommendation")</f>
        <v>recommendation</v>
      </c>
      <c r="D91" s="24" t="str">
        <f>IFERROR(__xludf.DUMMYFUNCTION("""COMPUTED_VALUE"""),"To get Everything ready to avoid problems and lose the focus and essence of the group.")</f>
        <v>To get Everything ready to avoid problems and lose the focus and essence of the group.</v>
      </c>
      <c r="E91" s="24" t="str">
        <f>IFERROR(__xludf.DUMMYFUNCTION("""COMPUTED_VALUE"""),"Start a class with a pre-organized structure.")</f>
        <v>Start a class with a pre-organized structure.</v>
      </c>
      <c r="F91" s="24"/>
      <c r="G91" s="45" t="str">
        <f>if(codigoRDivergenteJuiz = "first",codigoRDivergenteCodigo1,if (codigoRDivergenteJuiz = "second",codigoRDivergenteCodigo2, if (codigoRDivergenteCodigo1 = "", codigoRDivergenteCodigo2, codigoRDivergenteCodigo1)))</f>
        <v>Infrastructure previously organized</v>
      </c>
      <c r="H91" s="45" t="str">
        <f>if(codigoRDivergenteJuiz = "first",codigoRDivergenteTema1,if (codigoRDivergenteJuiz = "second",codigoRDivergenteTema2, if (codigoRDivergenteCodigo1 = "", codigoRDivergenteTema2, codigoRDivergenteTema1)))</f>
        <v>environment setup</v>
      </c>
    </row>
    <row r="92">
      <c r="A92" s="44">
        <f>IFERROR(__xludf.DUMMYFUNCTION("""COMPUTED_VALUE"""),100.0)</f>
        <v>100</v>
      </c>
      <c r="B92" s="44" t="str">
        <f>IFERROR(__xludf.DUMMYFUNCTION("""COMPUTED_VALUE"""),"R1 / R2")</f>
        <v>R1 / R2</v>
      </c>
      <c r="C92" s="44" t="str">
        <f>IFERROR(__xludf.DUMMYFUNCTION("""COMPUTED_VALUE"""),"recommendation")</f>
        <v>recommendation</v>
      </c>
      <c r="D92" s="24" t="str">
        <f>IFERROR(__xludf.DUMMYFUNCTION("""COMPUTED_VALUE"""),"Working so hard on the theoretical aspects needed to understand why things in DevOps are in SRE as a whole [...] you have to have that.
Thus, DevOps and SRE are concepts that were born much more strongly in practice than in state of the art, that is, muc"&amp;"h more in the industry than necessarily in the university. So for you to deal with these concepts without making a real explanation, or bringing the main players about how they did it and why they did it, it is essential.")</f>
        <v>Working so hard on the theoretical aspects needed to understand why things in DevOps are in SRE as a whole [...] you have to have that.
Thus, DevOps and SRE are concepts that were born much more strongly in practice than in state of the art, that is, much more in the industry than necessarily in the university. So for you to deal with these concepts without making a real explanation, or bringing the main players about how they did it and why they did it, it is essential.</v>
      </c>
      <c r="E92" s="24" t="str">
        <f>IFERROR(__xludf.DUMMYFUNCTION("""COMPUTED_VALUE"""),"Relate devops to site reliability engineering (sre) for students.
Show the historical importance of DevOps and SRE concepts from the main players in the industry.")</f>
        <v>Relate devops to site reliability engineering (sre) for students.
Show the historical importance of DevOps and SRE concepts from the main players in the industry.</v>
      </c>
      <c r="F92" s="24" t="str">
        <f>IFERROR(__xludf.DUMMYFUNCTION("""COMPUTED_VALUE"""),"Relate devops to site reliability engineering (sre) for students.")</f>
        <v>Relate devops to site reliability engineering (sre) for students.</v>
      </c>
      <c r="G92" s="45" t="str">
        <f>if(codigoRDivergenteJuiz = "first",codigoRDivergenteCodigo1,if (codigoRDivergenteJuiz = "second",codigoRDivergenteCodigo2, if (codigoRDivergenteCodigo1 = "", codigoRDivergenteCodigo2, codigoRDivergenteCodigo1)))</f>
        <v>Historical importance of DevOps and their relationship with SRE</v>
      </c>
      <c r="H92" s="45" t="str">
        <f>if(codigoRDivergenteJuiz = "first",codigoRDivergenteTema1,if (codigoRDivergenteJuiz = "second",codigoRDivergenteTema2, if (codigoRDivergenteCodigo1 = "", codigoRDivergenteTema2, codigoRDivergenteTema1)))</f>
        <v>devops concepts</v>
      </c>
    </row>
    <row r="93">
      <c r="A93" s="44">
        <f>IFERROR(__xludf.DUMMYFUNCTION("""COMPUTED_VALUE"""),103.0)</f>
        <v>103</v>
      </c>
      <c r="B93" s="44" t="str">
        <f>IFERROR(__xludf.DUMMYFUNCTION("""COMPUTED_VALUE"""),"R1 / R2")</f>
        <v>R1 / R2</v>
      </c>
      <c r="C93" s="44" t="str">
        <f>IFERROR(__xludf.DUMMYFUNCTION("""COMPUTED_VALUE"""),"recommendation")</f>
        <v>recommendation</v>
      </c>
      <c r="D93" s="24" t="str">
        <f>IFERROR(__xludf.DUMMYFUNCTION("""COMPUTED_VALUE"""),"To bring the concept applied, then use a CDL approach, or PBL, that helps a lot, because then you have to present the problem and then show the idea behind the resolution of that problem.")</f>
        <v>To bring the concept applied, then use a CDL approach, or PBL, that helps a lot, because then you have to present the problem and then show the idea behind the resolution of that problem.</v>
      </c>
      <c r="E93" s="24" t="str">
        <f>IFERROR(__xludf.DUMMYFUNCTION("""COMPUTED_VALUE"""),"Make use of the Comprehensive Distance Learning (CDL) teaching methodology.")</f>
        <v>Make use of the Comprehensive Distance Learning (CDL) teaching methodology.</v>
      </c>
      <c r="F93" s="24"/>
      <c r="G93" s="45" t="str">
        <f>if(codigoRDivergenteJuiz = "first",codigoRDivergenteCodigo1,if (codigoRDivergenteJuiz = "second",codigoRDivergenteCodigo2, if (codigoRDivergenteCodigo1 = "", codigoRDivergenteCodigo2, codigoRDivergenteCodigo1)))</f>
        <v>Use of Comprehensive Distance Learning Teaching Methodology (CDL).
 </v>
      </c>
      <c r="H93" s="45" t="str">
        <f>if(codigoRDivergenteJuiz = "first",codigoRDivergenteTema1,if (codigoRDivergenteJuiz = "second",codigoRDivergenteTema2, if (codigoRDivergenteCodigo1 = "", codigoRDivergenteTema2, codigoRDivergenteTema1)))</f>
        <v>strategies in course execution</v>
      </c>
    </row>
    <row r="94">
      <c r="A94" s="44">
        <f>IFERROR(__xludf.DUMMYFUNCTION("""COMPUTED_VALUE"""),104.0)</f>
        <v>104</v>
      </c>
      <c r="B94" s="44" t="str">
        <f>IFERROR(__xludf.DUMMYFUNCTION("""COMPUTED_VALUE"""),"R1 / R3")</f>
        <v>R1 / R3</v>
      </c>
      <c r="C94" s="44" t="str">
        <f>IFERROR(__xludf.DUMMYFUNCTION("""COMPUTED_VALUE"""),"recommendation")</f>
        <v>recommendation</v>
      </c>
      <c r="D94" s="24" t="str">
        <f>IFERROR(__xludf.DUMMYFUNCTION("""COMPUTED_VALUE"""),"DevOps comes very close in these quirks of software architecture-like chairs. You can't just stick to the concepts. In theory, you have to show the realization of these things.
You have to learn by doing.
You can't learn the DevOps culture from a book.
"&amp;"
Once you've been to the exercise session, you have to go back to the concept again and display them again because the, some concept only makes sense when you apply them.
I was saying at the beginning is that when you tell them that they're going to get "&amp;"their hands dirty and things that work one day will not work the other day, they start laughing. They don't take it seriously. Um, and then when they, when they building and they build a script to, I don't know, run some integration tests or to magically "&amp;"build Docker images and deploy them, it works on the machine on one guy of the group because they're working group, right? So they talk together. The one guy actually typing on the keyboard, he commits a script and they go, yes, we're done for the day. Le"&amp;"t's go to some of the tasks, right? And then the next day somebody else was in the group wants to use it. And it doesn't work for them because they have a different environment because the script was assuming that the Docker was installed.
If we can have"&amp;" a students together working together and, um, working on the projects and developing projects together at the same time while the teachers are there and they, uh, we can, uh, see what they are doing, that would be better. And I think we will, uh, hopeful"&amp;"ly do this, uh, next year when grown-up situation gets better.")</f>
        <v>DevOps comes very close in these quirks of software architecture-like chairs. You can't just stick to the concepts. In theory, you have to show the realization of these things.
You have to learn by doing.
You can't learn the DevOps culture from a book.
Once you've been to the exercise session, you have to go back to the concept again and display them again because the, some concept only makes sense when you apply them.
I was saying at the beginning is that when you tell them that they're going to get their hands dirty and things that work one day will not work the other day, they start laughing. They don't take it seriously. Um, and then when they, when they building and they build a script to, I don't know, run some integration tests or to magically build Docker images and deploy them, it works on the machine on one guy of the group because they're working group, right? So they talk together. The one guy actually typing on the keyboard, he commits a script and they go, yes, we're done for the day. Let's go to some of the tasks, right? And then the next day somebody else was in the group wants to use it. And it doesn't work for them because they have a different environment because the script was assuming that the Docker was installed.
If we can have a students together working together and, um, working on the projects and developing projects together at the same time while the teachers are there and they, uh, we can, uh, see what they are doing, that would be better. And I think we will, uh, hopefully do this, uh, next year when grown-up situation gets better.</v>
      </c>
      <c r="E94" s="24" t="str">
        <f>IFERROR(__xludf.DUMMYFUNCTION("""COMPUTED_VALUE"""),"It takes practice to understand DevOps concepts.
It is necessary to practice DevOps knowledge.
You can't learn the DevOps culture from a book.
DevOps concepts need to be shown in practice so that students can understand.
Students only understand probl"&amp;"ems of the environment setup when they experiment in the practice.
Promote a moment to students practice while teachers are around to help them.")</f>
        <v>It takes practice to understand DevOps concepts.
It is necessary to practice DevOps knowledge.
You can't learn the DevOps culture from a book.
DevOps concepts need to be shown in practice so that students can understand.
Students only understand problems of the environment setup when they experiment in the practice.
Promote a moment to students practice while teachers are around to help them.</v>
      </c>
      <c r="F94" s="24" t="str">
        <f>IFERROR(__xludf.DUMMYFUNCTION("""COMPUTED_VALUE"""),"It takes practice to understand DevOps concepts.")</f>
        <v>It takes practice to understand DevOps concepts.</v>
      </c>
      <c r="G94" s="45" t="str">
        <f>if(codigoRDivergenteJuiz = "first",codigoRDivergenteCodigo1,if (codigoRDivergenteJuiz = "second",codigoRDivergenteCodigo2, if (codigoRDivergenteCodigo1 = "", codigoRDivergenteCodigo2, codigoRDivergenteCodigo1)))</f>
        <v>practice for fixing the concepts</v>
      </c>
      <c r="H94" s="45" t="str">
        <f>if(codigoRDivergenteJuiz = "first",codigoRDivergenteTema1,if (codigoRDivergenteJuiz = "second",codigoRDivergenteTema2, if (codigoRDivergenteCodigo1 = "", codigoRDivergenteTema2, codigoRDivergenteTema1)))</f>
        <v>strategies in course execution</v>
      </c>
    </row>
    <row r="95">
      <c r="A95" s="44">
        <f>IFERROR(__xludf.DUMMYFUNCTION("""COMPUTED_VALUE"""),105.0)</f>
        <v>105</v>
      </c>
      <c r="B95" s="44" t="str">
        <f>IFERROR(__xludf.DUMMYFUNCTION("""COMPUTED_VALUE"""),"R2 / R3")</f>
        <v>R2 / R3</v>
      </c>
      <c r="C95" s="44" t="str">
        <f>IFERROR(__xludf.DUMMYFUNCTION("""COMPUTED_VALUE"""),"recommendation")</f>
        <v>recommendation</v>
      </c>
      <c r="D95" s="24" t="str">
        <f>IFERROR(__xludf.DUMMYFUNCTION("""COMPUTED_VALUE"""),"I usually study the subject to understand and then see the best way to explain that subject.")</f>
        <v>I usually study the subject to understand and then see the best way to explain that subject.</v>
      </c>
      <c r="E95" s="24" t="str">
        <f>IFERROR(__xludf.DUMMYFUNCTION("""COMPUTED_VALUE"""),"Study the subject thoroughly before preparing for classes.")</f>
        <v>Study the subject thoroughly before preparing for classes.</v>
      </c>
      <c r="F95" s="24"/>
      <c r="G95" s="45" t="str">
        <f>if(codigoRDivergenteJuiz = "first",codigoRDivergenteCodigo1,if (codigoRDivergenteJuiz = "second",codigoRDivergenteCodigo2, if (codigoRDivergenteCodigo1 = "", codigoRDivergenteCodigo2, codigoRDivergenteCodigo1)))</f>
        <v>Study of many subjects before preparing classes.</v>
      </c>
      <c r="H95" s="45" t="str">
        <f>if(codigoRDivergenteJuiz = "first",codigoRDivergenteTema1,if (codigoRDivergenteJuiz = "second",codigoRDivergenteTema2, if (codigoRDivergenteCodigo1 = "", codigoRDivergenteTema2, codigoRDivergenteTema1)))</f>
        <v>class preparation</v>
      </c>
    </row>
    <row r="96">
      <c r="A96" s="44">
        <f>IFERROR(__xludf.DUMMYFUNCTION("""COMPUTED_VALUE"""),106.0)</f>
        <v>106</v>
      </c>
      <c r="B96" s="44" t="str">
        <f>IFERROR(__xludf.DUMMYFUNCTION("""COMPUTED_VALUE"""),"R1 / R2")</f>
        <v>R1 / R2</v>
      </c>
      <c r="C96" s="44" t="str">
        <f>IFERROR(__xludf.DUMMYFUNCTION("""COMPUTED_VALUE"""),"recommendation")</f>
        <v>recommendation</v>
      </c>
      <c r="D96" s="24" t="str">
        <f>IFERROR(__xludf.DUMMYFUNCTION("""COMPUTED_VALUE"""),"You propose the dynamics and have these things move the group because otherwise, it gets so dull.")</f>
        <v>You propose the dynamics and have these things move the group because otherwise, it gets so dull.</v>
      </c>
      <c r="E96" s="24" t="str">
        <f>IFERROR(__xludf.DUMMYFUNCTION("""COMPUTED_VALUE"""),"Use dynamics to inspire the class.")</f>
        <v>Use dynamics to inspire the class.</v>
      </c>
      <c r="F96" s="24"/>
      <c r="G96" s="45" t="str">
        <f>if(codigoRDivergenteJuiz = "first",codigoRDivergenteCodigo1,if (codigoRDivergenteJuiz = "second",codigoRDivergenteCodigo2, if (codigoRDivergenteCodigo1 = "", codigoRDivergenteCodigo2, codigoRDivergenteCodigo1)))</f>
        <v>dynamics for inspiration to class</v>
      </c>
      <c r="H96" s="45" t="str">
        <f>if(codigoRDivergenteJuiz = "first",codigoRDivergenteTema1,if (codigoRDivergenteJuiz = "second",codigoRDivergenteTema2, if (codigoRDivergenteCodigo1 = "", codigoRDivergenteTema2, codigoRDivergenteTema1)))</f>
        <v>strategies in course execution</v>
      </c>
    </row>
    <row r="97">
      <c r="A97" s="44">
        <f>IFERROR(__xludf.DUMMYFUNCTION("""COMPUTED_VALUE"""),108.0)</f>
        <v>108</v>
      </c>
      <c r="B97" s="44" t="str">
        <f>IFERROR(__xludf.DUMMYFUNCTION("""COMPUTED_VALUE"""),"R2 / R3")</f>
        <v>R2 / R3</v>
      </c>
      <c r="C97" s="44" t="str">
        <f>IFERROR(__xludf.DUMMYFUNCTION("""COMPUTED_VALUE"""),"recommendation")</f>
        <v>recommendation</v>
      </c>
      <c r="D97" s="24" t="str">
        <f>IFERROR(__xludf.DUMMYFUNCTION("""COMPUTED_VALUE"""),"I try to bring this up: Mesos, Marathon, then Swarm, even to exercise the concepts is more accessible, lighter than Kubernetes, and then after Kubernetes, Rancher, for example.")</f>
        <v>I try to bring this up: Mesos, Marathon, then Swarm, even to exercise the concepts is more accessible, lighter than Kubernetes, and then after Kubernetes, Rancher, for example.</v>
      </c>
      <c r="E97" s="24" t="str">
        <f>IFERROR(__xludf.DUMMYFUNCTION("""COMPUTED_VALUE"""),"Initially, adopt more straightforward tools such as Mesos, Marathon, and Docker Swarm before using the Kubernetes tool.")</f>
        <v>Initially, adopt more straightforward tools such as Mesos, Marathon, and Docker Swarm before using the Kubernetes tool.</v>
      </c>
      <c r="F97" s="24"/>
      <c r="G97" s="45" t="str">
        <f>if(codigoRDivergenteJuiz = "first",codigoRDivergenteCodigo1,if (codigoRDivergenteJuiz = "second",codigoRDivergenteCodigo2, if (codigoRDivergenteCodigo1 = "", codigoRDivergenteCodigo2, codigoRDivergenteCodigo1)))</f>
        <v>Use of Mesos, Marathon and Docker Swarm, before Kubernetes.</v>
      </c>
      <c r="H97" s="45" t="str">
        <f>if(codigoRDivergenteJuiz = "first",codigoRDivergenteTema1,if (codigoRDivergenteJuiz = "second",codigoRDivergenteTema2, if (codigoRDivergenteCodigo1 = "", codigoRDivergenteTema2, codigoRDivergenteTema1)))</f>
        <v>tool / technology</v>
      </c>
    </row>
    <row r="98">
      <c r="A98" s="44">
        <f>IFERROR(__xludf.DUMMYFUNCTION("""COMPUTED_VALUE"""),109.0)</f>
        <v>109</v>
      </c>
      <c r="B98" s="44" t="str">
        <f>IFERROR(__xludf.DUMMYFUNCTION("""COMPUTED_VALUE"""),"R1 / R2")</f>
        <v>R1 / R2</v>
      </c>
      <c r="C98" s="44" t="str">
        <f>IFERROR(__xludf.DUMMYFUNCTION("""COMPUTED_VALUE"""),"recommendation")</f>
        <v>recommendation</v>
      </c>
      <c r="D98" s="24" t="str">
        <f>IFERROR(__xludf.DUMMYFUNCTION("""COMPUTED_VALUE"""),"Some settings you can have for us to help, like, oh, you have the monitors team, for example, this allows you to go to a more excellent practical line because you'll have more arms to help you, evaluate and everything else.
We had to do as TAs and other "&amp;"things I think, uh, we, it's not, uh, only before the lecture, but during the whole, uh, time that this, uh, this course was, uh, going on, we had to check the, uh, check the github. And, um, students had, since they had to make some contributions, uh, we"&amp;" had to make sure that their contributions, uh, could pass all the checks that we had. [...] So we had to check that they were doing what they were supposed to do before the lectures, during the lectures and after it. So that was our, uh, our role in this"&amp;" course.
What we've done in this case was to let the TA grade the projects, um, because then it was way more simple. And as the two props, we were, uh, grading the exams and were like cross validating.")</f>
        <v>Some settings you can have for us to help, like, oh, you have the monitors team, for example, this allows you to go to a more excellent practical line because you'll have more arms to help you, evaluate and everything else.
We had to do as TAs and other things I think, uh, we, it's not, uh, only before the lecture, but during the whole, uh, time that this, uh, this course was, uh, going on, we had to check the, uh, check the github. And, um, students had, since they had to make some contributions, uh, we had to make sure that their contributions, uh, could pass all the checks that we had. [...] So we had to check that they were doing what they were supposed to do before the lectures, during the lectures and after it. So that was our, uh, our role in this course.
What we've done in this case was to let the TA grade the projects, um, because then it was way more simple. And as the two props, we were, uh, grading the exams and were like cross validating.</v>
      </c>
      <c r="E98" s="24" t="str">
        <f>IFERROR(__xludf.DUMMYFUNCTION("""COMPUTED_VALUE"""),"If possible, have a team of monitors to assist in the assessment process.
Teacher assistants check if students contributions pass all the roles of the course.
Teacher assistants grade the projects and the professors grade the exams with cross validating"&amp;".")</f>
        <v>If possible, have a team of monitors to assist in the assessment process.
Teacher assistants check if students contributions pass all the roles of the course.
Teacher assistants grade the projects and the professors grade the exams with cross validating.</v>
      </c>
      <c r="F98" s="24" t="str">
        <f>IFERROR(__xludf.DUMMYFUNCTION("""COMPUTED_VALUE"""),"Teacher assistants help in the assessment process.")</f>
        <v>Teacher assistants help in the assessment process.</v>
      </c>
      <c r="G98" s="45" t="str">
        <f>if(codigoRDivergenteJuiz = "first",codigoRDivergenteCodigo1,if (codigoRDivergenteJuiz = "second",codigoRDivergenteCodigo2, if (codigoRDivergenteCodigo1 = "", codigoRDivergenteCodigo2, codigoRDivergenteCodigo1)))</f>
        <v>Monitor staff helping evaluation</v>
      </c>
      <c r="H98" s="45" t="str">
        <f>if(codigoRDivergenteJuiz = "first",codigoRDivergenteTema1,if (codigoRDivergenteJuiz = "second",codigoRDivergenteTema2, if (codigoRDivergenteCodigo1 = "", codigoRDivergenteTema2, codigoRDivergenteTema1)))</f>
        <v>assessment</v>
      </c>
    </row>
    <row r="99">
      <c r="A99" s="44">
        <f>IFERROR(__xludf.DUMMYFUNCTION("""COMPUTED_VALUE"""),110.0)</f>
        <v>110</v>
      </c>
      <c r="B99" s="44" t="str">
        <f>IFERROR(__xludf.DUMMYFUNCTION("""COMPUTED_VALUE"""),"R1 / R3")</f>
        <v>R1 / R3</v>
      </c>
      <c r="C99" s="44" t="str">
        <f>IFERROR(__xludf.DUMMYFUNCTION("""COMPUTED_VALUE"""),"recommendation")</f>
        <v>recommendation</v>
      </c>
      <c r="D99" s="24" t="str">
        <f>IFERROR(__xludf.DUMMYFUNCTION("""COMPUTED_VALUE"""),"Because it is based on the assumption in all my disciplines that, right, knowledge is an open work, right? I'm not the holder of all knowledge [...] So they learn to curate what is relevant, necessary or not, is part of my teaching and learning processes."&amp;"
So, in my activities, I always try to put a decision-making Delta that belongs to the team, right? To the students and who will obviously assess their understanding in all the semester's discussions. So, all decisions are valid, obviously, right?")</f>
        <v>Because it is based on the assumption in all my disciplines that, right, knowledge is an open work, right? I'm not the holder of all knowledge [...] So they learn to curate what is relevant, necessary or not, is part of my teaching and learning processes.
So, in my activities, I always try to put a decision-making Delta that belongs to the team, right? To the students and who will obviously assess their understanding in all the semester's discussions. So, all decisions are valid, obviously, right?</v>
      </c>
      <c r="E99" s="24" t="str">
        <f>IFERROR(__xludf.DUMMYFUNCTION("""COMPUTED_VALUE"""),"Instigate students' critical thinking and encourage the self-taught search for extra-class information.
Promote and evaluate students' independent decision-making in the learning process.")</f>
        <v>Instigate students' critical thinking and encourage the self-taught search for extra-class information.
Promote and evaluate students' independent decision-making in the learning process.</v>
      </c>
      <c r="F99" s="24" t="str">
        <f>IFERROR(__xludf.DUMMYFUNCTION("""COMPUTED_VALUE"""),"Promote students' independent decision-making in the learning process.")</f>
        <v>Promote students' independent decision-making in the learning process.</v>
      </c>
      <c r="G99" s="45" t="str">
        <f>if(codigoRDivergenteJuiz = "first",codigoRDivergenteCodigo1,if (codigoRDivergenteJuiz = "second",codigoRDivergenteCodigo2, if (codigoRDivergenteCodigo1 = "", codigoRDivergenteCodigo2, codigoRDivergenteCodigo1)))</f>
        <v>Incentive of critical thinking of students and self-taught search for more information</v>
      </c>
      <c r="H99" s="45" t="str">
        <f>if(codigoRDivergenteJuiz = "first",codigoRDivergenteTema1,if (codigoRDivergenteJuiz = "second",codigoRDivergenteTema2, if (codigoRDivergenteCodigo1 = "", codigoRDivergenteTema2, codigoRDivergenteTema1)))</f>
        <v>strategies in course execution</v>
      </c>
    </row>
    <row r="100">
      <c r="A100" s="44">
        <f>IFERROR(__xludf.DUMMYFUNCTION("""COMPUTED_VALUE"""),111.0)</f>
        <v>111</v>
      </c>
      <c r="B100" s="44" t="str">
        <f>IFERROR(__xludf.DUMMYFUNCTION("""COMPUTED_VALUE"""),"R2 / R3")</f>
        <v>R2 / R3</v>
      </c>
      <c r="C100" s="44" t="str">
        <f>IFERROR(__xludf.DUMMYFUNCTION("""COMPUTED_VALUE"""),"recommendation")</f>
        <v>recommendation</v>
      </c>
      <c r="D100" s="24" t="str">
        <f>IFERROR(__xludf.DUMMYFUNCTION("""COMPUTED_VALUE"""),"I already have mine that has my discipline ready, right? So the challenge, for those who will start one, is less.
I already have mine that has my discipline ready, right? So the challenge, for those who will start one, is less.")</f>
        <v>I already have mine that has my discipline ready, right? So the challenge, for those who will start one, is less.
I already have mine that has my discipline ready, right? So the challenge, for those who will start one, is less.</v>
      </c>
      <c r="E100" s="24" t="str">
        <f>IFERROR(__xludf.DUMMYFUNCTION("""COMPUTED_VALUE"""),"You can use the discipline that the interviewee professor Vinicius elaborated as a reference for the elaboration of other DevOps disciplines.
Use other DevOps courses as a reference.")</f>
        <v>You can use the discipline that the interviewee professor Vinicius elaborated as a reference for the elaboration of other DevOps disciplines.
Use other DevOps courses as a reference.</v>
      </c>
      <c r="F100" s="24" t="str">
        <f>IFERROR(__xludf.DUMMYFUNCTION("""COMPUTED_VALUE"""),"Use other DevOps courses as a reference.
")</f>
        <v>Use other DevOps courses as a reference.
</v>
      </c>
      <c r="G100" s="45" t="str">
        <f>if(codigoRDivergenteJuiz = "first",codigoRDivergenteCodigo1,if (codigoRDivergenteJuiz = "second",codigoRDivergenteCodigo2, if (codigoRDivergenteCodigo1 = "", codigoRDivergenteCodigo2, codigoRDivergenteCodigo1)))</f>
        <v>Use of discipline elaborated by the interviewee P7 as a reference for other DevOps disciplines.</v>
      </c>
      <c r="H100" s="45" t="str">
        <f>if(codigoRDivergenteJuiz = "first",codigoRDivergenteTema1,if (codigoRDivergenteJuiz = "second",codigoRDivergenteTema2, if (codigoRDivergenteCodigo1 = "", codigoRDivergenteTema2, codigoRDivergenteTema1)))</f>
        <v>curriculum</v>
      </c>
    </row>
    <row r="101">
      <c r="A101" s="44">
        <f>IFERROR(__xludf.DUMMYFUNCTION("""COMPUTED_VALUE"""),112.0)</f>
        <v>112</v>
      </c>
      <c r="B101" s="44" t="str">
        <f>IFERROR(__xludf.DUMMYFUNCTION("""COMPUTED_VALUE"""),"R1 / R2")</f>
        <v>R1 / R2</v>
      </c>
      <c r="C101" s="44" t="str">
        <f>IFERROR(__xludf.DUMMYFUNCTION("""COMPUTED_VALUE"""),"recommendation")</f>
        <v>recommendation</v>
      </c>
      <c r="D101" s="24" t="str">
        <f>IFERROR(__xludf.DUMMYFUNCTION("""COMPUTED_VALUE"""),"PBL matches very well with, at least like this, how I see the DevOps signals or architecture, or MicroServices, which is another discipline I have; it's cool because you can start from the problem and show why people are using what are you using. So I thi"&amp;"nk it matches perfectly.
Bringing the concept applied, then use an approach like CDL, or PBL, that helps a lot because then you have a way to present the problem and then show the concept behind the resolution of that problem.
Most of the time to give a"&amp;" problem solving questions where I put a problem and say, okay, and push a student to critically think. ... , I put a problem and then we'll come up with the solutions for the problem. And I haven't been able to find a good way to do that with DevOps, in,"&amp;" uh, in terms of assessment.
We decided to go on a problem-based approach. So having like introductory lecture, giving the context, giving the leads to follow, then getting a problem based on, on, uh, like a long-term project for the whole semester.")</f>
        <v>PBL matches very well with, at least like this, how I see the DevOps signals or architecture, or MicroServices, which is another discipline I have; it's cool because you can start from the problem and show why people are using what are you using. So I think it matches perfectly.
Bringing the concept applied, then use an approach like CDL, or PBL, that helps a lot because then you have a way to present the problem and then show the concept behind the resolution of that problem.
Most of the time to give a problem solving questions where I put a problem and say, okay, and push a student to critically think. ... , I put a problem and then we'll come up with the solutions for the problem. And I haven't been able to find a good way to do that with DevOps, in, uh, in terms of assessment.
We decided to go on a problem-based approach. So having like introductory lecture, giving the context, giving the leads to follow, then getting a problem based on, on, uh, like a long-term project for the whole semester.</v>
      </c>
      <c r="E101" s="24" t="str">
        <f>IFERROR(__xludf.DUMMYFUNCTION("""COMPUTED_VALUE"""),"Make use of Problem-Based Learning (PBL).
Problem-Based Learning (PBL) is great for teaching DevOps.
Use problem solving questions in DevOps assessment. It pushs student to critically think.
Use problem-based approach on the projects of the students.")</f>
        <v>Make use of Problem-Based Learning (PBL).
Problem-Based Learning (PBL) is great for teaching DevOps.
Use problem solving questions in DevOps assessment. It pushs student to critically think.
Use problem-based approach on the projects of the students.</v>
      </c>
      <c r="F101" s="24" t="str">
        <f>IFERROR(__xludf.DUMMYFUNCTION("""COMPUTED_VALUE"""),"Problem-Based Learning (PBL) is great for teaching DevOps.")</f>
        <v>Problem-Based Learning (PBL) is great for teaching DevOps.</v>
      </c>
      <c r="G101" s="45" t="str">
        <f>if(codigoRDivergenteJuiz = "first",codigoRDivergenteCodigo1,if (codigoRDivergenteJuiz = "second",codigoRDivergenteCodigo2, if (codigoRDivergenteCodigo1 = "", codigoRDivergenteCodigo2, codigoRDivergenteCodigo1)))</f>
        <v>Use of Problem-based Learning (PBL) for the teaching of DevOps.</v>
      </c>
      <c r="H101" s="45" t="str">
        <f>if(codigoRDivergenteJuiz = "first",codigoRDivergenteTema1,if (codigoRDivergenteJuiz = "second",codigoRDivergenteTema2, if (codigoRDivergenteCodigo1 = "", codigoRDivergenteTema2, codigoRDivergenteTema1)))</f>
        <v>strategies in course execution</v>
      </c>
    </row>
    <row r="102">
      <c r="A102" s="44">
        <f>IFERROR(__xludf.DUMMYFUNCTION("""COMPUTED_VALUE"""),113.0)</f>
        <v>113</v>
      </c>
      <c r="B102" s="44" t="str">
        <f>IFERROR(__xludf.DUMMYFUNCTION("""COMPUTED_VALUE"""),"R1 / R3")</f>
        <v>R1 / R3</v>
      </c>
      <c r="C102" s="44" t="str">
        <f>IFERROR(__xludf.DUMMYFUNCTION("""COMPUTED_VALUE"""),"recommendation")</f>
        <v>recommendation</v>
      </c>
      <c r="D102" s="24" t="str">
        <f>IFERROR(__xludf.DUMMYFUNCTION("""COMPUTED_VALUE"""),"Today, I don't use it; I use not only PBL; there is an inverted classroom, right? I think this translation is into Portuguese; I work with missions, right? So, the execution itself is Agile; we always have a post-mortem for each task. My methodology today"&amp;", at work, is a combination of a series of different good practices that come from my professional experience and part of what I learned, seeing that it worked and didn't work while teaching.")</f>
        <v>Today, I don't use it; I use not only PBL; there is an inverted classroom, right? I think this translation is into Portuguese; I work with missions, right? So, the execution itself is Agile; we always have a post-mortem for each task. My methodology today, at work, is a combination of a series of different good practices that come from my professional experience and part of what I learned, seeing that it worked and didn't work while teaching.</v>
      </c>
      <c r="E102" s="24" t="str">
        <f>IFERROR(__xludf.DUMMYFUNCTION("""COMPUTED_VALUE"""),"Merge good practices of Problem-Based Learning (PBL), inverted class and Agile, through classroom experimentation.")</f>
        <v>Merge good practices of Problem-Based Learning (PBL), inverted class and Agile, through classroom experimentation.</v>
      </c>
      <c r="F102" s="24"/>
      <c r="G102" s="45" t="str">
        <f>if(codigoRDivergenteJuiz = "first",codigoRDivergenteCodigo1,if (codigoRDivergenteJuiz = "second",codigoRDivergenteCodigo2, if (codigoRDivergenteCodigo1 = "", codigoRDivergenteCodigo2, codigoRDivergenteCodigo1)))</f>
        <v>Merges of teaching methodologies Problem-based learning and inverted class with Agile</v>
      </c>
      <c r="H102" s="45" t="str">
        <f>if(codigoRDivergenteJuiz = "first",codigoRDivergenteTema1,if (codigoRDivergenteJuiz = "second",codigoRDivergenteTema2, if (codigoRDivergenteCodigo1 = "", codigoRDivergenteTema2, codigoRDivergenteTema1)))</f>
        <v>strategies in course execution</v>
      </c>
    </row>
    <row r="103">
      <c r="A103" s="44">
        <f>IFERROR(__xludf.DUMMYFUNCTION("""COMPUTED_VALUE"""),114.0)</f>
        <v>114</v>
      </c>
      <c r="B103" s="44" t="str">
        <f>IFERROR(__xludf.DUMMYFUNCTION("""COMPUTED_VALUE"""),"R1 / R2")</f>
        <v>R1 / R2</v>
      </c>
      <c r="C103" s="44" t="str">
        <f>IFERROR(__xludf.DUMMYFUNCTION("""COMPUTED_VALUE"""),"recommendation")</f>
        <v>recommendation</v>
      </c>
      <c r="D103" s="24" t="str">
        <f>IFERROR(__xludf.DUMMYFUNCTION("""COMPUTED_VALUE"""),"I break them up into nine teams of five students each.
For this course, I haven't done as much in terms of team projects, although I'm rolling that around to every, because everybody loves team projects.
 There was something like 17 groups.
I put them "&amp;"by a team of four, six per group, and then we work together and, and that's good also because it may be working in a team.")</f>
        <v>I break them up into nine teams of five students each.
For this course, I haven't done as much in terms of team projects, although I'm rolling that around to every, because everybody loves team projects.
 There was something like 17 groups.
I put them by a team of four, six per group, and then we work together and, and that's good also because it may be working in a team.</v>
      </c>
      <c r="E103" s="24" t="str">
        <f>IFERROR(__xludf.DUMMYFUNCTION("""COMPUTED_VALUE"""),"Organize the students into teams of five.
Students like to work on team projects.
Students organized by groups.
Put students to work by a team of four to six per group.")</f>
        <v>Organize the students into teams of five.
Students like to work on team projects.
Students organized by groups.
Put students to work by a team of four to six per group.</v>
      </c>
      <c r="F103" s="24" t="str">
        <f>IFERROR(__xludf.DUMMYFUNCTION("""COMPUTED_VALUE"""),"Organize the students into teams.")</f>
        <v>Organize the students into teams.</v>
      </c>
      <c r="G103" s="45" t="str">
        <f>if(codigoRDivergenteJuiz = "first",codigoRDivergenteCodigo1,if (codigoRDivergenteJuiz = "second",codigoRDivergenteCodigo2, if (codigoRDivergenteCodigo1 = "", codigoRDivergenteCodigo2, codigoRDivergenteCodigo1)))</f>
        <v>team-based student organization</v>
      </c>
      <c r="H103" s="45" t="str">
        <f>if(codigoRDivergenteJuiz = "first",codigoRDivergenteTema1,if (codigoRDivergenteJuiz = "second",codigoRDivergenteTema2, if (codigoRDivergenteCodigo1 = "", codigoRDivergenteTema2, codigoRDivergenteTema1)))</f>
        <v>strategies in course execution</v>
      </c>
    </row>
    <row r="104">
      <c r="A104" s="44">
        <f>IFERROR(__xludf.DUMMYFUNCTION("""COMPUTED_VALUE"""),115.0)</f>
        <v>115</v>
      </c>
      <c r="B104" s="44" t="str">
        <f>IFERROR(__xludf.DUMMYFUNCTION("""COMPUTED_VALUE"""),"R1 / R3")</f>
        <v>R1 / R3</v>
      </c>
      <c r="C104" s="44" t="str">
        <f>IFERROR(__xludf.DUMMYFUNCTION("""COMPUTED_VALUE"""),"recommendation")</f>
        <v>recommendation</v>
      </c>
      <c r="D104" s="24" t="str">
        <f>IFERROR(__xludf.DUMMYFUNCTION("""COMPUTED_VALUE"""),"And then I tell them, I am not going to grade you on what you submit. I'm going to grade you on how you got there because getting there is not the point. It's the journey, right? That's the point. It's how you got there. And so, um, I teach my class in sp"&amp;"rints. We do five, two weeks sprints in a 15-week course. And I give them the requirements for each sprint, what I need them to build. And I teach them how to do agile planning. And then they go build an agile plan.
So I try to force them into these situ"&amp;"ations that really drive home the message of how to work as a DevOps team, how to work agile, but you've got to live it.
So we do things in sort of an iterative and incremental model where every week or every sprint, if you will build on the previous one"&amp;".")</f>
        <v>And then I tell them, I am not going to grade you on what you submit. I'm going to grade you on how you got there because getting there is not the point. It's the journey, right? That's the point. It's how you got there. And so, um, I teach my class in sprints. We do five, two weeks sprints in a 15-week course. And I give them the requirements for each sprint, what I need them to build. And I teach them how to do agile planning. And then they go build an agile plan.
So I try to force them into these situations that really drive home the message of how to work as a DevOps team, how to work agile, but you've got to live it.
So we do things in sort of an iterative and incremental model where every week or every sprint, if you will build on the previous one.</v>
      </c>
      <c r="E104" s="24" t="str">
        <f>IFERROR(__xludf.DUMMYFUNCTION("""COMPUTED_VALUE"""),"I teach my class in sprints. We do five, two weeks sprints in a 15-week course. I give them the requirements for each sprint, what I need them to build and I teach them how to do agile planning. Then they go build an agile plan.
Make students experiment "&amp;"situations where they can learn how to work as a DevOps team, how to work agile.
Use an incremental models with sprints.")</f>
        <v>I teach my class in sprints. We do five, two weeks sprints in a 15-week course. I give them the requirements for each sprint, what I need them to build and I teach them how to do agile planning. Then they go build an agile plan.
Make students experiment situations where they can learn how to work as a DevOps team, how to work agile.
Use an incremental models with sprints.</v>
      </c>
      <c r="F104" s="24" t="str">
        <f>IFERROR(__xludf.DUMMYFUNCTION("""COMPUTED_VALUE"""),"Do agile planning with sprints.")</f>
        <v>Do agile planning with sprints.</v>
      </c>
      <c r="G104" s="45" t="str">
        <f>if(codigoRDivergenteJuiz = "first",codigoRDivergenteCodigo1,if (codigoRDivergenteJuiz = "second",codigoRDivergenteCodigo2, if (codigoRDivergenteCodigo1 = "", codigoRDivergenteCodigo2, codigoRDivergenteCodigo1)))</f>
        <v>organization of the course in sprints</v>
      </c>
      <c r="H104" s="45" t="str">
        <f>if(codigoRDivergenteJuiz = "first",codigoRDivergenteTema1,if (codigoRDivergenteJuiz = "second",codigoRDivergenteTema2, if (codigoRDivergenteCodigo1 = "", codigoRDivergenteTema2, codigoRDivergenteTema1)))</f>
        <v>strategies in course execution</v>
      </c>
    </row>
    <row r="105">
      <c r="A105" s="44">
        <f>IFERROR(__xludf.DUMMYFUNCTION("""COMPUTED_VALUE"""),116.0)</f>
        <v>116</v>
      </c>
      <c r="B105" s="44" t="str">
        <f>IFERROR(__xludf.DUMMYFUNCTION("""COMPUTED_VALUE"""),"R2 / R3")</f>
        <v>R2 / R3</v>
      </c>
      <c r="C105" s="44" t="str">
        <f>IFERROR(__xludf.DUMMYFUNCTION("""COMPUTED_VALUE"""),"recommendation")</f>
        <v>recommendation</v>
      </c>
      <c r="D105" s="24" t="str">
        <f>IFERROR(__xludf.DUMMYFUNCTION("""COMPUTED_VALUE"""),"Those are the ones you remember, right? Not just read, right? If you learn in the abstract, you'll soon forget it. But if you learn in context, then you'll remember it because you understood why you did it. So I try to teach them just enough to get them g"&amp;"oing.
 I used to have people stand up during Jenkins instances to do the work, but that just at the end of the day, that's a distraction. My goal is not to teach them how to administer Jenkins.
I'm having conversations with the university about trying t"&amp;"o take the devops course and essentially converting it to a three course sequence one for agile, one for kind of the dev part of devops and one for the ops part of devops.
So second one is about establishing the pipeline and then they finish the second o"&amp;"ne by, uh, building the Docker images. But it's not in depth about containers or, or kubernetes, but that's easily touch it. Okay.
They need to do concrete things ... it's to be able to traverse the whole thing without necessarily going in depth about al"&amp;"l of these things.
I need very solid, uh, research. It's a sorry, a lab assistance. The people responsible for the labs of course, assistants that that can actually deal with the students. So I'm lucky to have students and have good industrial experience"&amp;", uh, to do that.")</f>
        <v>Those are the ones you remember, right? Not just read, right? If you learn in the abstract, you'll soon forget it. But if you learn in context, then you'll remember it because you understood why you did it. So I try to teach them just enough to get them going.
 I used to have people stand up during Jenkins instances to do the work, but that just at the end of the day, that's a distraction. My goal is not to teach them how to administer Jenkins.
I'm having conversations with the university about trying to take the devops course and essentially converting it to a three course sequence one for agile, one for kind of the dev part of devops and one for the ops part of devops.
So second one is about establishing the pipeline and then they finish the second one by, uh, building the Docker images. But it's not in depth about containers or, or kubernetes, but that's easily touch it. Okay.
They need to do concrete things ... it's to be able to traverse the whole thing without necessarily going in depth about all of these things.
I need very solid, uh, research. It's a sorry, a lab assistance. The people responsible for the labs of course, assistants that that can actually deal with the students. So I'm lucky to have students and have good industrial experience, uh, to do that.</v>
      </c>
      <c r="E105" s="24" t="str">
        <f>IFERROR(__xludf.DUMMYFUNCTION("""COMPUTED_VALUE"""),"Teach just enough to get them going so they can learn in the right context.
Do not focus on unnecessary features of tools like avoid administering Jenkins if you want to practice continuous integration.
You cannot possibly get through everything in deta"&amp;"ils.
Teach how to use tools like Docker and Kubernetes but do not much depth.
Do concrete things without necessarily going in depth about all.
Do not teach deeply some hard technologies like Kubernetes.")</f>
        <v>Teach just enough to get them going so they can learn in the right context.
Do not focus on unnecessary features of tools like avoid administering Jenkins if you want to practice continuous integration.
You cannot possibly get through everything in details.
Teach how to use tools like Docker and Kubernetes but do not much depth.
Do concrete things without necessarily going in depth about all.
Do not teach deeply some hard technologies like Kubernetes.</v>
      </c>
      <c r="F105" s="24" t="str">
        <f>IFERROR(__xludf.DUMMYFUNCTION("""COMPUTED_VALUE"""),"Teach just enough of DevOps tools to get the students going so they can learn in the right context. ")</f>
        <v>Teach just enough of DevOps tools to get the students going so they can learn in the right context. </v>
      </c>
      <c r="G105" s="45" t="str">
        <f>if(codigoRDivergenteJuiz = "first",codigoRDivergenteCodigo1,if (codigoRDivergenteJuiz = "second",codigoRDivergenteCodigo2, if (codigoRDivergenteCodigo1 = "", codigoRDivergenteCodigo2, codigoRDivergenteCodigo1)))</f>
        <v>teach just enough so learn in the right context</v>
      </c>
      <c r="H105" s="45" t="str">
        <f>if(codigoRDivergenteJuiz = "first",codigoRDivergenteTema1,if (codigoRDivergenteJuiz = "second",codigoRDivergenteTema2, if (codigoRDivergenteCodigo1 = "", codigoRDivergenteTema2, codigoRDivergenteTema1)))</f>
        <v>strategies in course execution</v>
      </c>
    </row>
    <row r="106">
      <c r="A106" s="44">
        <f>IFERROR(__xludf.DUMMYFUNCTION("""COMPUTED_VALUE"""),117.0)</f>
        <v>117</v>
      </c>
      <c r="B106" s="44" t="str">
        <f>IFERROR(__xludf.DUMMYFUNCTION("""COMPUTED_VALUE"""),"R1 / R2")</f>
        <v>R1 / R2</v>
      </c>
      <c r="C106" s="44" t="str">
        <f>IFERROR(__xludf.DUMMYFUNCTION("""COMPUTED_VALUE"""),"recommendation")</f>
        <v>recommendation</v>
      </c>
      <c r="D106" s="24" t="str">
        <f>IFERROR(__xludf.DUMMYFUNCTION("""COMPUTED_VALUE"""),"I teach them how to work as a DevOps team. And we create a slack channel. , and I create a channel for each one of the teams. And they're all collaborating in their channel. They have 24/7 access to me. They can ping me at any time on slack.
You have a q"&amp;"uestion, ask me the question in the moment, right? Because that's when the answer is important to you.
Whenever they have a problem they can come to me. And I tell them, don't spend too much time Googling stuff. If you don't understand something, ask me "&amp;"if, if you don't understand what I presented, then I didn't present it in a way that you could connect with it. [...] Everybody learns differently.
I'm always asking you the last factor. I'm always taking almost an hour to, as a student. Just give me you"&amp;"r feedback. Like, like very openly, right? That's you should all give me a feedback again.
Each week we had, uh, four hours of, uh, lectures and answering questions from students and, and, uh, making, making some points about the course more clear.")</f>
        <v>I teach them how to work as a DevOps team. And we create a slack channel. , and I create a channel for each one of the teams. And they're all collaborating in their channel. They have 24/7 access to me. They can ping me at any time on slack.
You have a question, ask me the question in the moment, right? Because that's when the answer is important to you.
Whenever they have a problem they can come to me. And I tell them, don't spend too much time Googling stuff. If you don't understand something, ask me if, if you don't understand what I presented, then I didn't present it in a way that you could connect with it. [...] Everybody learns differently.
I'm always asking you the last factor. I'm always taking almost an hour to, as a student. Just give me your feedback. Like, like very openly, right? That's you should all give me a feedback again.
Each week we had, uh, four hours of, uh, lectures and answering questions from students and, and, uh, making, making some points about the course more clear.</v>
      </c>
      <c r="E106" s="24" t="str">
        <f>IFERROR(__xludf.DUMMYFUNCTION("""COMPUTED_VALUE"""),"I teach them how to work as a DevOps team. And they're all collaborating in their channel. They have 24/7 access to me. They can ping me at any time on slack.
The student's question should be answered in the moment.
Incentive professor-students interact"&amp;"ion, easing fast solving questions.
Take time to hear student's feedbacks very openly and give them your feedback too.
Separate time to answer students questions, each week, four hours, lectures and answering questions, making some points about the cour"&amp;"se more clear.")</f>
        <v>I teach them how to work as a DevOps team. And they're all collaborating in their channel. They have 24/7 access to me. They can ping me at any time on slack.
The student's question should be answered in the moment.
Incentive professor-students interaction, easing fast solving questions.
Take time to hear student's feedbacks very openly and give them your feedback too.
Separate time to answer students questions, each week, four hours, lectures and answering questions, making some points about the course more clear.</v>
      </c>
      <c r="F106" s="24" t="str">
        <f>IFERROR(__xludf.DUMMYFUNCTION("""COMPUTED_VALUE"""),"Provide fast feedback to the students.")</f>
        <v>Provide fast feedback to the students.</v>
      </c>
      <c r="G106" s="45" t="str">
        <f>if(codigoRDivergenteJuiz = "first",codigoRDivergenteCodigo1,if (codigoRDivergenteJuiz = "second",codigoRDivergenteCodigo2, if (codigoRDivergenteCodigo1 = "", codigoRDivergenteCodigo2, codigoRDivergenteCodigo1)))</f>
        <v>fast feedback to the student questions</v>
      </c>
      <c r="H106" s="45" t="str">
        <f>if(codigoRDivergenteJuiz = "first",codigoRDivergenteTema1,if (codigoRDivergenteJuiz = "second",codigoRDivergenteTema2, if (codigoRDivergenteCodigo1 = "", codigoRDivergenteTema2, codigoRDivergenteTema1)))</f>
        <v>strategies in course execution</v>
      </c>
    </row>
    <row r="107">
      <c r="A107" s="44">
        <f>IFERROR(__xludf.DUMMYFUNCTION("""COMPUTED_VALUE"""),118.0)</f>
        <v>118</v>
      </c>
      <c r="B107" s="44" t="str">
        <f>IFERROR(__xludf.DUMMYFUNCTION("""COMPUTED_VALUE"""),"R1 / R3")</f>
        <v>R1 / R3</v>
      </c>
      <c r="C107" s="44" t="str">
        <f>IFERROR(__xludf.DUMMYFUNCTION("""COMPUTED_VALUE"""),"recommendation")</f>
        <v>recommendation</v>
      </c>
      <c r="D107" s="24" t="str">
        <f>IFERROR(__xludf.DUMMYFUNCTION("""COMPUTED_VALUE"""),"I like to make them feel a little bit of pain before I give them the solution. So I will have them to run their test cases.
The thing I've done to try to avoid a little bit of the mess is I want to go gradual. I want to be gradual in the class. So first "&amp;"I teach compilation and testing. Then I teach continuous integration. team A is going to build one piece team B is going to build another piece that depends upon what team is built.")</f>
        <v>I like to make them feel a little bit of pain before I give them the solution. So I will have them to run their test cases.
The thing I've done to try to avoid a little bit of the mess is I want to go gradual. I want to be gradual in the class. So first I teach compilation and testing. Then I teach continuous integration. team A is going to build one piece team B is going to build another piece that depends upon what team is built.</v>
      </c>
      <c r="E107" s="24" t="str">
        <f>IFERROR(__xludf.DUMMYFUNCTION("""COMPUTED_VALUE"""),"Don't give the solution right away, let them reach it first for themselves.
Teach DevOps giving the content gradually, like first teach compilation and testing, then continuous integration; do not give everything right away so easily.")</f>
        <v>Don't give the solution right away, let them reach it first for themselves.
Teach DevOps giving the content gradually, like first teach compilation and testing, then continuous integration; do not give everything right away so easily.</v>
      </c>
      <c r="F107" s="24" t="str">
        <f>IFERROR(__xludf.DUMMYFUNCTION("""COMPUTED_VALUE"""),"Don't give the solution right away.")</f>
        <v>Don't give the solution right away.</v>
      </c>
      <c r="G107" s="45" t="str">
        <f>if(codigoRDivergenteJuiz = "first",codigoRDivergenteCodigo1,if (codigoRDivergenteJuiz = "second",codigoRDivergenteCodigo2, if (codigoRDivergenteCodigo1 = "", codigoRDivergenteCodigo2, codigoRDivergenteCodigo1)))</f>
        <v>incrementally DevOps content teaching</v>
      </c>
      <c r="H107" s="45" t="str">
        <f>if(codigoRDivergenteJuiz = "first",codigoRDivergenteTema1,if (codigoRDivergenteJuiz = "second",codigoRDivergenteTema2, if (codigoRDivergenteCodigo1 = "", codigoRDivergenteTema2, codigoRDivergenteTema1)))</f>
        <v>strategies in course execution</v>
      </c>
    </row>
    <row r="108">
      <c r="A108" s="44">
        <f>IFERROR(__xludf.DUMMYFUNCTION("""COMPUTED_VALUE"""),119.0)</f>
        <v>119</v>
      </c>
      <c r="B108" s="44" t="str">
        <f>IFERROR(__xludf.DUMMYFUNCTION("""COMPUTED_VALUE"""),"R2 / R3")</f>
        <v>R2 / R3</v>
      </c>
      <c r="C108" s="44" t="str">
        <f>IFERROR(__xludf.DUMMYFUNCTION("""COMPUTED_VALUE"""),"recommendation")</f>
        <v>recommendation</v>
      </c>
      <c r="D108" s="24" t="str">
        <f>IFERROR(__xludf.DUMMYFUNCTION("""COMPUTED_VALUE"""),"I'll have them run their test cases manually. And then when someone makes a pull request, I'm like, well, you need to clone that, run the test case. [...] And then [.. ] I show them how to [...] automatically run the test cases. [...] And so they write al"&amp;"l the test cases. And then, and then I, I teach them about code coverage. I said, it's not about the test passing. If the code coverage go down, then somebody code it without writing a test case, don't merge that pull-request, right? So I'm teaching this "&amp;"whole culture, right? This way of working. [...] Then finally we push it to the cloud. We set up CD pipelines to deploy things in the cloud")</f>
        <v>I'll have them run their test cases manually. And then when someone makes a pull request, I'm like, well, you need to clone that, run the test case. [...] And then [.. ] I show them how to [...] automatically run the test cases. [...] And so they write all the test cases. And then, and then I, I teach them about code coverage. I said, it's not about the test passing. If the code coverage go down, then somebody code it without writing a test case, don't merge that pull-request, right? So I'm teaching this whole culture, right? This way of working. [...] Then finally we push it to the cloud. We set up CD pipelines to deploy things in the cloud</v>
      </c>
      <c r="E108" s="24" t="str">
        <f>IFERROR(__xludf.DUMMYFUNCTION("""COMPUTED_VALUE"""),"Write some tests cases manually, do pull requests, do test automation with CI, write all test cases, teach code coverage. Then finally setup CD pipeline to deploy the application in the cloud.")</f>
        <v>Write some tests cases manually, do pull requests, do test automation with CI, write all test cases, teach code coverage. Then finally setup CD pipeline to deploy the application in the cloud.</v>
      </c>
      <c r="F108" s="24"/>
      <c r="G108" s="45" t="str">
        <f>if(codigoRDivergenteJuiz = "first",codigoRDivergenteCodigo1,if (codigoRDivergenteJuiz = "second",codigoRDivergenteCodigo2, if (codigoRDivergenteCodigo1 = "", codigoRDivergenteCodigo2, codigoRDivergenteCodigo1)))</f>
        <v>test cases manually, pull requests, test automation CI, test cases, code coverage. Setup CD pipeline deploy application in cloud.</v>
      </c>
      <c r="H108" s="45" t="str">
        <f>if(codigoRDivergenteJuiz = "first",codigoRDivergenteTema1,if (codigoRDivergenteJuiz = "second",codigoRDivergenteTema2, if (codigoRDivergenteCodigo1 = "", codigoRDivergenteTema2, codigoRDivergenteTema1)))</f>
        <v>strategies in course execution</v>
      </c>
    </row>
    <row r="109">
      <c r="A109" s="44">
        <f>IFERROR(__xludf.DUMMYFUNCTION("""COMPUTED_VALUE"""),120.0)</f>
        <v>120</v>
      </c>
      <c r="B109" s="44" t="str">
        <f>IFERROR(__xludf.DUMMYFUNCTION("""COMPUTED_VALUE"""),"R1 / R2")</f>
        <v>R1 / R2</v>
      </c>
      <c r="C109" s="44" t="str">
        <f>IFERROR(__xludf.DUMMYFUNCTION("""COMPUTED_VALUE"""),"recommendation")</f>
        <v>recommendation</v>
      </c>
      <c r="D109" s="24" t="str">
        <f>IFERROR(__xludf.DUMMYFUNCTION("""COMPUTED_VALUE"""),"So sometimes a student will say to me: ""professor, what do I do if another student is like not pulling their weight on the team?"", And I say: ""when you go to a job interview, you're going to be asked the question, tell me about a time when a member of "&amp;"your team wasn't pulling their weight. And what did you do to get them excited and to contribute again, today's the day to go write that story. Today's the data to write the answer to that question"".
You need to sit together and experience because if yo"&amp;"u can't work as a team, you're not gonna make it right out in industry because we want team players. I don't want heroes. I don't want people who saved the day. I want people who mentor each other.")</f>
        <v>So sometimes a student will say to me: "professor, what do I do if another student is like not pulling their weight on the team?", And I say: "when you go to a job interview, you're going to be asked the question, tell me about a time when a member of your team wasn't pulling their weight. And what did you do to get them excited and to contribute again, today's the day to go write that story. Today's the data to write the answer to that question".
You need to sit together and experience because if you can't work as a team, you're not gonna make it right out in industry because we want team players. I don't want heroes. I don't want people who saved the day. I want people who mentor each other.</v>
      </c>
      <c r="E109" s="24" t="str">
        <f>IFERROR(__xludf.DUMMYFUNCTION("""COMPUTED_VALUE"""),"Make the group motivation a responsibility of themselves, students should motivate each other.
Teaching how to students mentor each other is one of the most important things and must be a priority.")</f>
        <v>Make the group motivation a responsibility of themselves, students should motivate each other.
Teaching how to students mentor each other is one of the most important things and must be a priority.</v>
      </c>
      <c r="F109" s="24" t="str">
        <f>IFERROR(__xludf.DUMMYFUNCTION("""COMPUTED_VALUE"""),"Make the group motivation a responsibility of themselves.")</f>
        <v>Make the group motivation a responsibility of themselves.</v>
      </c>
      <c r="G109" s="45" t="str">
        <f>if(codigoRDivergenteJuiz = "first",codigoRDivergenteCodigo1,if (codigoRDivergenteJuiz = "second",codigoRDivergenteCodigo2, if (codigoRDivergenteCodigo1 = "", codigoRDivergenteCodigo2, codigoRDivergenteCodigo1)))</f>
        <v>students' motivation for themselves</v>
      </c>
      <c r="H109" s="45" t="str">
        <f>if(codigoRDivergenteJuiz = "first",codigoRDivergenteTema1,if (codigoRDivergenteJuiz = "second",codigoRDivergenteTema2, if (codigoRDivergenteCodigo1 = "", codigoRDivergenteTema2, codigoRDivergenteTema1)))</f>
        <v>strategies in course execution</v>
      </c>
    </row>
    <row r="110">
      <c r="A110" s="44">
        <f>IFERROR(__xludf.DUMMYFUNCTION("""COMPUTED_VALUE"""),121.0)</f>
        <v>121</v>
      </c>
      <c r="B110" s="44" t="str">
        <f>IFERROR(__xludf.DUMMYFUNCTION("""COMPUTED_VALUE"""),"R1 / R3")</f>
        <v>R1 / R3</v>
      </c>
      <c r="C110" s="44" t="str">
        <f>IFERROR(__xludf.DUMMYFUNCTION("""COMPUTED_VALUE"""),"recommendation")</f>
        <v>recommendation</v>
      </c>
      <c r="D110" s="24" t="str">
        <f>IFERROR(__xludf.DUMMYFUNCTION("""COMPUTED_VALUE"""),"Do they understand what the cloud is? It'd be great if there was a cloud course before mine, but there isn't.
It's an option that we give them the year before too preparing them.")</f>
        <v>Do they understand what the cloud is? It'd be great if there was a cloud course before mine, but there isn't.
It's an option that we give them the year before too preparing them.</v>
      </c>
      <c r="E110" s="24" t="str">
        <f>IFERROR(__xludf.DUMMYFUNCTION("""COMPUTED_VALUE"""),"It'd be great if there was a Cloud course before DevOps course.
Prepare students with previous courses.")</f>
        <v>It'd be great if there was a Cloud course before DevOps course.
Prepare students with previous courses.</v>
      </c>
      <c r="F110" s="24" t="str">
        <f>IFERROR(__xludf.DUMMYFUNCTION("""COMPUTED_VALUE"""),"Prepare students with previous courses that teach related DevOps concepts.")</f>
        <v>Prepare students with previous courses that teach related DevOps concepts.</v>
      </c>
      <c r="G110" s="45" t="str">
        <f>if(codigoRDivergenteJuiz = "first",codigoRDivergenteCodigo1,if (codigoRDivergenteJuiz = "second",codigoRDivergenteCodigo2, if (codigoRDivergenteCodigo1 = "", codigoRDivergenteCodigo2, codigoRDivergenteCodigo1)))</f>
        <v>preparation of the students based on previous courses</v>
      </c>
      <c r="H110" s="45" t="str">
        <f>if(codigoRDivergenteJuiz = "first",codigoRDivergenteTema1,if (codigoRDivergenteJuiz = "second",codigoRDivergenteTema2, if (codigoRDivergenteCodigo1 = "", codigoRDivergenteTema2, codigoRDivergenteTema1)))</f>
        <v>curriculum</v>
      </c>
    </row>
    <row r="111">
      <c r="A111" s="44">
        <f>IFERROR(__xludf.DUMMYFUNCTION("""COMPUTED_VALUE"""),122.0)</f>
        <v>122</v>
      </c>
      <c r="B111" s="44" t="str">
        <f>IFERROR(__xludf.DUMMYFUNCTION("""COMPUTED_VALUE"""),"R2 / R3")</f>
        <v>R2 / R3</v>
      </c>
      <c r="C111" s="44" t="str">
        <f>IFERROR(__xludf.DUMMYFUNCTION("""COMPUTED_VALUE"""),"recommendation")</f>
        <v>recommendation</v>
      </c>
      <c r="D111" s="24" t="str">
        <f>IFERROR(__xludf.DUMMYFUNCTION("""COMPUTED_VALUE"""),"so I don't care if you using windows or using Mac or whatever you're using. We're all going to learn a bunch of Linux and we're going to deploy all our stuff, using a bunch of it and use all the tools in a bunch of.")</f>
        <v>so I don't care if you using windows or using Mac or whatever you're using. We're all going to learn a bunch of Linux and we're going to deploy all our stuff, using a bunch of it and use all the tools in a bunch of.</v>
      </c>
      <c r="E111" s="24" t="str">
        <f>IFERROR(__xludf.DUMMYFUNCTION("""COMPUTED_VALUE"""),"Use Linux operational system.")</f>
        <v>Use Linux operational system.</v>
      </c>
      <c r="F111" s="24"/>
      <c r="G111" s="45" t="str">
        <f>if(codigoRDivergenteJuiz = "first",codigoRDivergenteCodigo1,if (codigoRDivergenteJuiz = "second",codigoRDivergenteCodigo2, if (codigoRDivergenteCodigo1 = "", codigoRDivergenteCodigo2, codigoRDivergenteCodigo1)))</f>
        <v>Linux operational system</v>
      </c>
      <c r="H111" s="45" t="str">
        <f>if(codigoRDivergenteJuiz = "first",codigoRDivergenteTema1,if (codigoRDivergenteJuiz = "second",codigoRDivergenteTema2, if (codigoRDivergenteCodigo1 = "", codigoRDivergenteTema2, codigoRDivergenteTema1)))</f>
        <v>tool / technology</v>
      </c>
    </row>
    <row r="112">
      <c r="A112" s="44">
        <f>IFERROR(__xludf.DUMMYFUNCTION("""COMPUTED_VALUE"""),123.0)</f>
        <v>123</v>
      </c>
      <c r="B112" s="44" t="str">
        <f>IFERROR(__xludf.DUMMYFUNCTION("""COMPUTED_VALUE"""),"R1 / R2")</f>
        <v>R1 / R2</v>
      </c>
      <c r="C112" s="44" t="str">
        <f>IFERROR(__xludf.DUMMYFUNCTION("""COMPUTED_VALUE"""),"recommendation")</f>
        <v>recommendation</v>
      </c>
      <c r="D112" s="24" t="str">
        <f>IFERROR(__xludf.DUMMYFUNCTION("""COMPUTED_VALUE"""),"We use Vagrant and VirtualBox. And so I don't care if you using windows or using Mac or whatever you're using.
I selected Vagrant and virtualbox because they're both free. ... so I had to change the class for them to use Docker and VirtualBox. 
They cal"&amp;"l my repo, Vagrant up and they're up and running. And so that's how I solve that problem. Bigger. It does a very good job of solving that consistent environments for students.")</f>
        <v>We use Vagrant and VirtualBox. And so I don't care if you using windows or using Mac or whatever you're using.
I selected Vagrant and virtualbox because they're both free. ... so I had to change the class for them to use Docker and VirtualBox. 
They call my repo, Vagrant up and they're up and running. And so that's how I solve that problem. Bigger. It does a very good job of solving that consistent environments for students.</v>
      </c>
      <c r="E112" s="24" t="str">
        <f>IFERROR(__xludf.DUMMYFUNCTION("""COMPUTED_VALUE"""),"Vagrant and VirtualBox are useful to create consistent development environment.
I selected Vagrant and virtualbox because they're free.
Make environment setup consistent between students using Vagrant.")</f>
        <v>Vagrant and VirtualBox are useful to create consistent development environment.
I selected Vagrant and virtualbox because they're free.
Make environment setup consistent between students using Vagrant.</v>
      </c>
      <c r="F112" s="24" t="str">
        <f>IFERROR(__xludf.DUMMYFUNCTION("""COMPUTED_VALUE"""),"Vagrant and VirtualBox tools are free and useful to create consistent development environment between students.")</f>
        <v>Vagrant and VirtualBox tools are free and useful to create consistent development environment between students.</v>
      </c>
      <c r="G112" s="45" t="str">
        <f>if(codigoRDivergenteJuiz = "first",codigoRDivergenteCodigo1,if (codigoRDivergenteJuiz = "second",codigoRDivergenteCodigo2, if (codigoRDivergenteCodigo1 = "", codigoRDivergenteCodigo2, codigoRDivergenteCodigo1)))</f>
        <v>vagrant and VirtualBox as a free tool</v>
      </c>
      <c r="H112" s="45" t="str">
        <f>if(codigoRDivergenteJuiz = "first",codigoRDivergenteTema1,if (codigoRDivergenteJuiz = "second",codigoRDivergenteTema2, if (codigoRDivergenteCodigo1 = "", codigoRDivergenteTema2, codigoRDivergenteTema1)))</f>
        <v>tool / technology</v>
      </c>
    </row>
    <row r="113">
      <c r="A113" s="44">
        <f>IFERROR(__xludf.DUMMYFUNCTION("""COMPUTED_VALUE"""),124.0)</f>
        <v>124</v>
      </c>
      <c r="B113" s="44" t="str">
        <f>IFERROR(__xludf.DUMMYFUNCTION("""COMPUTED_VALUE"""),"R1 / R3")</f>
        <v>R1 / R3</v>
      </c>
      <c r="C113" s="44" t="str">
        <f>IFERROR(__xludf.DUMMYFUNCTION("""COMPUTED_VALUE"""),"recommendation")</f>
        <v>recommendation</v>
      </c>
      <c r="D113" s="24" t="str">
        <f>IFERROR(__xludf.DUMMYFUNCTION("""COMPUTED_VALUE"""),"I selected Vagrant and virtualbox because they're both free. ... so I had to change the class for them to use Docker and VirtualBox.
We build Docker images.
Let's go for something that we have more control on, uh, using for tools like Jenkins and and a "&amp;"stuff like Docker or Kubernetes was kind of good in a way to, uh, support the deployment and the, uh, like the building plus deployment stuff.
I want to be able to deploy it with containers. So it can be, um, through Kubernetes, it can be through Docker.")</f>
        <v>I selected Vagrant and virtualbox because they're both free. ... so I had to change the class for them to use Docker and VirtualBox.
We build Docker images.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v>
      </c>
      <c r="E113" s="24" t="str">
        <f>IFERROR(__xludf.DUMMYFUNCTION("""COMPUTED_VALUE"""),"I selected docker docker because it is free.
Docker can be chosen as DevOps tool.
Use tools like Docker to have more control on support the deployment.
Use Docker as container deployment tool adopted by the course.")</f>
        <v>I selected docker docker because it is free.
Docker can be chosen as DevOps tool.
Use tools like Docker to have more control on support the deployment.
Use Docker as container deployment tool adopted by the course.</v>
      </c>
      <c r="F113" s="24" t="str">
        <f>IFERROR(__xludf.DUMMYFUNCTION("""COMPUTED_VALUE"""),"Docker can be chosen as DevOps tool.")</f>
        <v>Docker can be chosen as DevOps tool.</v>
      </c>
      <c r="G113" s="45" t="str">
        <f>if(codigoRDivergenteJuiz = "first",codigoRDivergenteCodigo1,if (codigoRDivergenteJuiz = "second",codigoRDivergenteCodigo2, if (codigoRDivergenteCodigo1 = "", codigoRDivergenteCodigo2, codigoRDivergenteCodigo1)))</f>
        <v>Docker choice as DevOps tool</v>
      </c>
      <c r="H113" s="45" t="str">
        <f>if(codigoRDivergenteJuiz = "first",codigoRDivergenteTema1,if (codigoRDivergenteJuiz = "second",codigoRDivergenteTema2, if (codigoRDivergenteCodigo1 = "", codigoRDivergenteTema2, codigoRDivergenteTema1)))</f>
        <v>tool / technology</v>
      </c>
    </row>
    <row r="114">
      <c r="A114" s="44">
        <f>IFERROR(__xludf.DUMMYFUNCTION("""COMPUTED_VALUE"""),125.0)</f>
        <v>125</v>
      </c>
      <c r="B114" s="44" t="str">
        <f>IFERROR(__xludf.DUMMYFUNCTION("""COMPUTED_VALUE"""),"R2 / R3")</f>
        <v>R2 / R3</v>
      </c>
      <c r="C114" s="44" t="str">
        <f>IFERROR(__xludf.DUMMYFUNCTION("""COMPUTED_VALUE"""),"recommendation")</f>
        <v>recommendation</v>
      </c>
      <c r="D114" s="24" t="str">
        <f>IFERROR(__xludf.DUMMYFUNCTION("""COMPUTED_VALUE"""),"We use selenium to, to work on the, uh, on the UI, as a browser.
We use Selenium for test automation.")</f>
        <v>We use selenium to, to work on the, uh, on the UI, as a browser.
We use Selenium for test automation.</v>
      </c>
      <c r="E114" s="24" t="str">
        <f>IFERROR(__xludf.DUMMYFUNCTION("""COMPUTED_VALUE"""),"Use Selenium to automate UI tests.
Use Selenium for test automation.")</f>
        <v>Use Selenium to automate UI tests.
Use Selenium for test automation.</v>
      </c>
      <c r="F114" s="24" t="str">
        <f>IFERROR(__xludf.DUMMYFUNCTION("""COMPUTED_VALUE"""),"Use Selenium for UI test automation.")</f>
        <v>Use Selenium for UI test automation.</v>
      </c>
      <c r="G114" s="45" t="str">
        <f>if(codigoRDivergenteJuiz = "first",codigoRDivergenteCodigo1,if (codigoRDivergenteJuiz = "second",codigoRDivergenteCodigo2, if (codigoRDivergenteCodigo1 = "", codigoRDivergenteCodigo2, codigoRDivergenteCodigo1)))</f>
        <v>Selenium UI test automation</v>
      </c>
      <c r="H114" s="45" t="str">
        <f>if(codigoRDivergenteJuiz = "first",codigoRDivergenteTema1,if (codigoRDivergenteJuiz = "second",codigoRDivergenteTema2, if (codigoRDivergenteCodigo1 = "", codigoRDivergenteTema2, codigoRDivergenteTema1)))</f>
        <v>tool / technology</v>
      </c>
    </row>
    <row r="115">
      <c r="A115" s="44">
        <f>IFERROR(__xludf.DUMMYFUNCTION("""COMPUTED_VALUE"""),126.0)</f>
        <v>126</v>
      </c>
      <c r="B115" s="44" t="str">
        <f>IFERROR(__xludf.DUMMYFUNCTION("""COMPUTED_VALUE"""),"R1 / R2")</f>
        <v>R1 / R2</v>
      </c>
      <c r="C115" s="44" t="str">
        <f>IFERROR(__xludf.DUMMYFUNCTION("""COMPUTED_VALUE"""),"recommendation")</f>
        <v>recommendation</v>
      </c>
      <c r="D115" s="24" t="str">
        <f>IFERROR(__xludf.DUMMYFUNCTION("""COMPUTED_VALUE"""),"Students will ask me, can I use a different test suite? Can I use, you know, something different? And I'll say, well, you can, but then it's up to you to figure out how it integrates back into everything.
 So it's rather simple that we, we let them, of c"&amp;"ourse use the programming language. They want to develop the application. So, you know, the department, I think traditional were quite open with respect to that in the department. Yes. Java is still used, but students, these days, don't like Java. Um, the"&amp;"y prefer Python. They prefer different things. So for us, we don't care, right? The application we give them when we gave them the HVAC application, we give them, uh, I think they have, I should even look myself, but I think we, we created two versions, o"&amp;"ne, it says Java version.
So we support them to the Travis CI. We support them with a certain number of things, but if they want to choose something else, it's okay. I mean, but you know, they have to understand that we won't necessarily support them.
W"&amp;"e asked them to choose a tool, uh, on internet and new tool, and then use that tool and show other students how that works. So, uh, we didn't have some predefined, uh, projects.
Just find whatever they want to find and work on whatever they want to work "&amp;"on and let them be free since that was our goal in this course, uh, we let them choose, um, novel technologies, the technologies and the tools that are being used, uh, today and the tools that are being developed today. 
We decided to let the student cho"&amp;"ose and said, okay, you have your option and do what you want, but you're responsible of doing it.
It was a graduate course, I started not to, uh, enforce given tools ... I want you to have a version control system that should be git, but git up, gitlab "&amp;"Bitbucket, Bitbucket on premises. ...  you can justify and defend each step of what's happening to your code in the context of devops.")</f>
        <v>Students will ask me, can I use a different test suite? Can I use, you know, something different? And I'll say, well, you can, but then it's up to you to figure out how it integrates back into everything.
 So it's rather simple that we, we let them, of course use the programming language. They want to develop the application. So, you know, the department, I think traditional were quite open with respect to that in the department. Yes. Java is still used, but students, these days, don't like Java. Um, they prefer Python. They prefer different things. So for us, we don't care, right? The application we give them when we gave them the HVAC application, we give them, uh, I think they have, I should even look myself, but I think we, we created two versions, one, it says Java version.
So we support them to the Travis CI. We support them with a certain number of things, but if they want to choose something else, it's okay. I mean, but you know, they have to understand that we won't necessarily support them.
We asked them to choose a tool, uh, on internet and new tool, and then use that tool and show other students how that works. So, uh, we didn't have some predefined, uh, projects.
Just find whatever they want to find and work on whatever they want to work on and let them be free since that was our goal in this course, uh, we let them choose, um, novel technologies, the technologies and the tools that are being used, uh, today and the tools that are being developed today. 
We decided to let the student choose and said, okay, you have your option and do what you want, but you're responsible of doing it.
It was a graduate course, I started not to, uh, enforce given tools ... I want you to have a version control system that should be git, but git up, gitlab Bitbucket, Bitbucket on premises. ...  you can justify and defend each step of what's happening to your code in the context of devops.</v>
      </c>
      <c r="E115" s="24" t="str">
        <f>IFERROR(__xludf.DUMMYFUNCTION("""COMPUTED_VALUE"""),"Students could use other tools non-taught without professor support.
Do not force students to use a single language like Java.
Give students the freedom to choose other tools they want, but make it clear that these tools will not be supported by teacher"&amp;"s during the class
The students choose the tools and the projects freely on internet.
Let the students be free about the used tools and technologies.
Give the responsibility to the student to chose the system and also the responsibility of what they ar"&amp;"e doing.
Do not enforce given tools on a graduate course. The students should justify and defend each step of what's happening to their code in the context of devops.")</f>
        <v>Students could use other tools non-taught without professor support.
Do not force students to use a single language like Java.
Give students the freedom to choose other tools they want, but make it clear that these tools will not be supported by teachers during the class
The students choose the tools and the projects freely on internet.
Let the students be free about the used tools and technologies.
Give the responsibility to the student to chose the system and also the responsibility of what they are doing.
Do not enforce given tools on a graduate course. The students should justify and defend each step of what's happening to their code in the context of devops.</v>
      </c>
      <c r="F115" s="24" t="str">
        <f>IFERROR(__xludf.DUMMYFUNCTION("""COMPUTED_VALUE"""),"Do not force the technology stack used by students in their systems.")</f>
        <v>Do not force the technology stack used by students in their systems.</v>
      </c>
      <c r="G115" s="45" t="str">
        <f>if(codigoRDivergenteJuiz = "first",codigoRDivergenteCodigo1,if (codigoRDivergenteJuiz = "second",codigoRDivergenteCodigo2, if (codigoRDivergenteCodigo1 = "", codigoRDivergenteCodigo2, codigoRDivergenteCodigo1)))</f>
        <v>No technology stack in students systems</v>
      </c>
      <c r="H115" s="45" t="str">
        <f>if(codigoRDivergenteJuiz = "first",codigoRDivergenteTema1,if (codigoRDivergenteJuiz = "second",codigoRDivergenteTema2, if (codigoRDivergenteCodigo1 = "", codigoRDivergenteTema2, codigoRDivergenteTema1)))</f>
        <v>tool / technology</v>
      </c>
    </row>
    <row r="116">
      <c r="A116" s="44">
        <f>IFERROR(__xludf.DUMMYFUNCTION("""COMPUTED_VALUE"""),127.0)</f>
        <v>127</v>
      </c>
      <c r="B116" s="44" t="str">
        <f>IFERROR(__xludf.DUMMYFUNCTION("""COMPUTED_VALUE"""),"R1 / R3")</f>
        <v>R1 / R3</v>
      </c>
      <c r="C116" s="44" t="str">
        <f>IFERROR(__xludf.DUMMYFUNCTION("""COMPUTED_VALUE"""),"recommendation")</f>
        <v>recommendation</v>
      </c>
      <c r="D116" s="24" t="str">
        <f>IFERROR(__xludf.DUMMYFUNCTION("""COMPUTED_VALUE"""),"   People use an Argo CD to do continuous delivery. They used to be using Jenkins. So do you still teach Jenkins? Do you teach them Argo? Um, so it's a constant, um, improvement on the tools are what tools are popular, what tools are going to get them a j"&amp;"ob in the industry, right? ")</f>
        <v>   People use an Argo CD to do continuous delivery. They used to be using Jenkins. So do you still teach Jenkins? Do you teach them Argo? Um, so it's a constant, um, improvement on the tools are what tools are popular, what tools are going to get them a job in the industry, right? </v>
      </c>
      <c r="E116" s="24" t="str">
        <f>IFERROR(__xludf.DUMMYFUNCTION("""COMPUTED_VALUE"""),"Argo CD is a more current continuous delivery tool than Jenkins.")</f>
        <v>Argo CD is a more current continuous delivery tool than Jenkins.</v>
      </c>
      <c r="F116" s="24"/>
      <c r="G116" s="45" t="str">
        <f>if(codigoRDivergenteJuiz = "first",codigoRDivergenteCodigo1,if (codigoRDivergenteJuiz = "second",codigoRDivergenteCodigo2, if (codigoRDivergenteCodigo1 = "", codigoRDivergenteCodigo2, codigoRDivergenteCodigo1)))</f>
        <v>Argo CD instead of Jenkins in continuous delivery teaching</v>
      </c>
      <c r="H116" s="45" t="str">
        <f>if(codigoRDivergenteJuiz = "first",codigoRDivergenteTema1,if (codigoRDivergenteJuiz = "second",codigoRDivergenteTema2, if (codigoRDivergenteCodigo1 = "", codigoRDivergenteTema2, codigoRDivergenteTema1)))</f>
        <v>tool / technology</v>
      </c>
    </row>
    <row r="117">
      <c r="A117" s="44">
        <f>IFERROR(__xludf.DUMMYFUNCTION("""COMPUTED_VALUE"""),128.0)</f>
        <v>128</v>
      </c>
      <c r="B117" s="44" t="str">
        <f>IFERROR(__xludf.DUMMYFUNCTION("""COMPUTED_VALUE"""),"R2 / R3")</f>
        <v>R2 / R3</v>
      </c>
      <c r="C117" s="44" t="str">
        <f>IFERROR(__xludf.DUMMYFUNCTION("""COMPUTED_VALUE"""),"recommendation")</f>
        <v>recommendation</v>
      </c>
      <c r="D117" s="24" t="str">
        <f>IFERROR(__xludf.DUMMYFUNCTION("""COMPUTED_VALUE"""),"I'm going to watch your Kanban board every week.
 I don't give quizzes because I'm grading them every day, watching their Kanban boards, seeing how they're working, interacting with them on slack. 
 I built kind of a fictitious company [...] based on my"&amp;" experience [...]  the students work in groups of three [...]  in the first lab, they have to set up their environment [...] We bring them also to, to build, uh, two small applications that actually extract, um, data from the Kanban, uh, in GitHub using t"&amp;"he GitHub APIs, because I want the students to one that very important aspect of DevOps is the continuous improvement. So if you want, you have to apply the same principles to the process that you're applying to your product.
We enforce the usage of, of "&amp;"the, of the Kanban, because it's an important practice in devops to make the work visible and stuff.
Make the students realize that the Kanban has certain information for a certain purpose. Um, if I want to analyze my process, I may extract information f"&amp;"rom the Kanban that will tell me about, you know, the time that I spent in the development phase or in the, in the review phase and things like that.")</f>
        <v>I'm going to watch your Kanban board every week.
 I don't give quizzes because I'm grading them every day, watching their Kanban boards, seeing how they're working, interacting with them on slack. 
 I built kind of a fictitious company [...] based on my experience [...]  the students work in groups of three [...]  in the first lab, they have to set up their environment [...] We bring them also to, to build, uh, two small applications that actually extract, um, data from the Kanban, uh, in GitHub using the GitHub APIs, because I want the students to one that very important aspect of DevOps is the continuous improvement. So if you want, you have to apply the same principles to the process that you're applying to your product.
We enforce the usage of, of the, of the Kanban, because it's an important practice in devops to make the work visible and stuff.
Make the students realize that the Kanban has certain information for a certain purpose. Um, if I want to analyze my process, I may extract information from the Kanban that will tell me about, you know, the time that I spent in the development phase or in the, in the review phase and things like that.</v>
      </c>
      <c r="E117" s="24" t="str">
        <f>IFERROR(__xludf.DUMMYFUNCTION("""COMPUTED_VALUE"""),"Teach Kanban board.
You don't need quizzes if you grade the students continuously watching their Kanban boards.
Create a fictitious company based on experience for students to practice continuous improvement, creating applications, extracting data from "&amp;"Kanban.
Use Kanban to make the work visible in devops.
Make the students realize that the Kanban has certain information for analyzing the overall process.")</f>
        <v>Teach Kanban board.
You don't need quizzes if you grade the students continuously watching their Kanban boards.
Create a fictitious company based on experience for students to practice continuous improvement, creating applications, extracting data from Kanban.
Use Kanban to make the work visible in devops.
Make the students realize that the Kanban has certain information for analyzing the overall process.</v>
      </c>
      <c r="F117" s="24" t="str">
        <f>IFERROR(__xludf.DUMMYFUNCTION("""COMPUTED_VALUE"""),"Teach Kanban board.")</f>
        <v>Teach Kanban board.</v>
      </c>
      <c r="G117" s="45" t="str">
        <f>if(codigoRDivergenteJuiz = "first",codigoRDivergenteCodigo1,if (codigoRDivergenteJuiz = "second",codigoRDivergenteCodigo2, if (codigoRDivergenteCodigo1 = "", codigoRDivergenteCodigo2, codigoRDivergenteCodigo1)))</f>
        <v>Kanban board</v>
      </c>
      <c r="H117" s="45" t="str">
        <f>if(codigoRDivergenteJuiz = "first",codigoRDivergenteTema1,if (codigoRDivergenteJuiz = "second",codigoRDivergenteTema2, if (codigoRDivergenteCodigo1 = "", codigoRDivergenteTema2, codigoRDivergenteTema1)))</f>
        <v>strategies in course execution</v>
      </c>
    </row>
    <row r="118">
      <c r="A118" s="44">
        <f>IFERROR(__xludf.DUMMYFUNCTION("""COMPUTED_VALUE"""),129.0)</f>
        <v>129</v>
      </c>
      <c r="B118" s="44" t="str">
        <f>IFERROR(__xludf.DUMMYFUNCTION("""COMPUTED_VALUE"""),"R1 / R2")</f>
        <v>R1 / R2</v>
      </c>
      <c r="C118" s="44" t="str">
        <f>IFERROR(__xludf.DUMMYFUNCTION("""COMPUTED_VALUE"""),"recommendation")</f>
        <v>recommendation</v>
      </c>
      <c r="D118" s="24" t="str">
        <f>IFERROR(__xludf.DUMMYFUNCTION("""COMPUTED_VALUE"""),"I actually last semester I prepared something on Sunday. And when I got Wednesday, when we had the class and I went to the cloud, the cloud had changed. [...] we're pushing to the IBM cloud the other night and it said there's an, there's a new update avai"&amp;"lable for the tool. Uh, you know, version two, it may have breaking changes. And I said, timeout, nobody press, yes, everybody press no, because that's not the version I used on the weekend.
I'm usually maybe a couple of weeks out verifying something for"&amp;" an upcoming, an upcoming session.
The second recommendation is update your exercises often. ... you can get everything set up.
So you have to have your stack ready, but you have to update it with the current version of the software that you intend the "&amp;"students to use fairly close to the beginning of the session, if you don't want to be surprised.")</f>
        <v>I actually last semester I prepared something on Sunday. And when I got Wednesday, when we had the class and I went to the cloud, the cloud had changed. [...] we're pushing to the IBM cloud the other night and it said there's an, there's a new update available for the tool. Uh, you know, version two, it may have breaking changes. And I said, timeout, nobody press, yes, everybody press no, because that's not the version I used on the weekend.
I'm usually maybe a couple of weeks out verifying something for an upcoming, an upcoming session.
The second recommendation is update your exercises often. ... you can get everything set up.
So you have to have your stack ready, but you have to update it with the current version of the software that you intend the students to use fairly close to the beginning of the session, if you don't want to be surprised.</v>
      </c>
      <c r="E118" s="24" t="str">
        <f>IFERROR(__xludf.DUMMYFUNCTION("""COMPUTED_VALUE"""),"Check if the the labs work well always before start the class.
Verify if labs exercises are working before classes.
Update your exercises often to get everything set up.
Update your exercises frequently.")</f>
        <v>Check if the the labs work well always before start the class.
Verify if labs exercises are working before classes.
Update your exercises often to get everything set up.
Update your exercises frequently.</v>
      </c>
      <c r="F118" s="24"/>
      <c r="G118" s="45" t="str">
        <f>if(codigoRDivergenteJuiz = "first",codigoRDivergenteCodigo1,if (codigoRDivergenteJuiz = "second",codigoRDivergenteCodigo2, if (codigoRDivergenteCodigo1 = "", codigoRDivergenteCodigo2, codigoRDivergenteCodigo1)))</f>
        <v>Labs accuracy validation  frequently before the classes</v>
      </c>
      <c r="H118" s="45" t="str">
        <f>if(codigoRDivergenteJuiz = "first",codigoRDivergenteTema1,if (codigoRDivergenteJuiz = "second",codigoRDivergenteTema2, if (codigoRDivergenteCodigo1 = "", codigoRDivergenteTema2, codigoRDivergenteTema1)))</f>
        <v>class preparation</v>
      </c>
    </row>
    <row r="119">
      <c r="A119" s="44">
        <f>IFERROR(__xludf.DUMMYFUNCTION("""COMPUTED_VALUE"""),130.0)</f>
        <v>130</v>
      </c>
      <c r="B119" s="44" t="str">
        <f>IFERROR(__xludf.DUMMYFUNCTION("""COMPUTED_VALUE"""),"R1 / R3")</f>
        <v>R1 / R3</v>
      </c>
      <c r="C119" s="44" t="str">
        <f>IFERROR(__xludf.DUMMYFUNCTION("""COMPUTED_VALUE"""),"recommendation")</f>
        <v>recommendation</v>
      </c>
      <c r="D119" s="24" t="str">
        <f>IFERROR(__xludf.DUMMYFUNCTION("""COMPUTED_VALUE"""),"So without having, uh, physically having a technical assistance in the class and I do have TA's on with my zoom and they do help students over slack, uh, to get things going.
We had a long Google doc that the students during the lectures and after the le"&amp;"ctures, students could add their questions there. And then we, the TAs could answer the questions, uh, in the doc. ")</f>
        <v>So without having, uh, physically having a technical assistance in the class and I do have TA's on with my zoom and they do help students over slack, uh, to get things going.
We had a long Google doc that the students during the lectures and after the lectures, students could add their questions there. And then we, the TAs could answer the questions, uh, in the doc. </v>
      </c>
      <c r="E119" s="24" t="str">
        <f>IFERROR(__xludf.DUMMYFUNCTION("""COMPUTED_VALUE"""),"Teacher assistence help students over slack managing questions.
Use Google Docs during the lectures so students could add their questions. Teacher Assistants could answer the questions in the doc.")</f>
        <v>Teacher assistence help students over slack managing questions.
Use Google Docs during the lectures so students could add their questions. Teacher Assistants could answer the questions in the doc.</v>
      </c>
      <c r="F119" s="24" t="str">
        <f>IFERROR(__xludf.DUMMYFUNCTION("""COMPUTED_VALUE"""),"Teacher assistence help students over managing questions.")</f>
        <v>Teacher assistence help students over managing questions.</v>
      </c>
      <c r="G119" s="45" t="str">
        <f>if(codigoRDivergenteJuiz = "first",codigoRDivergenteCodigo1,if (codigoRDivergenteJuiz = "second",codigoRDivergenteCodigo2, if (codigoRDivergenteCodigo1 = "", codigoRDivergenteCodigo2, codigoRDivergenteCodigo1)))</f>
        <v>managing of the student questions by teacher assistants</v>
      </c>
      <c r="H119" s="45" t="str">
        <f>if(codigoRDivergenteJuiz = "first",codigoRDivergenteTema1,if (codigoRDivergenteJuiz = "second",codigoRDivergenteTema2, if (codigoRDivergenteCodigo1 = "", codigoRDivergenteTema2, codigoRDivergenteTema1)))</f>
        <v>strategies in course execution</v>
      </c>
    </row>
    <row r="120">
      <c r="A120" s="44">
        <f>IFERROR(__xludf.DUMMYFUNCTION("""COMPUTED_VALUE"""),131.0)</f>
        <v>131</v>
      </c>
      <c r="B120" s="44" t="str">
        <f>IFERROR(__xludf.DUMMYFUNCTION("""COMPUTED_VALUE"""),"R2 / R3")</f>
        <v>R2 / R3</v>
      </c>
      <c r="C120" s="44" t="str">
        <f>IFERROR(__xludf.DUMMYFUNCTION("""COMPUTED_VALUE"""),"recommendation")</f>
        <v>recommendation</v>
      </c>
      <c r="D120" s="24" t="str">
        <f>IFERROR(__xludf.DUMMYFUNCTION("""COMPUTED_VALUE"""),"Then I give them two exams. So the team is 40% of their grade. The exams are 60% a midterm that's 30 and a, and a final that's 30.")</f>
        <v>Then I give them two exams. So the team is 40% of their grade. The exams are 60% a midterm that's 30 and a, and a final that's 30.</v>
      </c>
      <c r="E120" s="24" t="str">
        <f>IFERROR(__xludf.DUMMYFUNCTION("""COMPUTED_VALUE"""),"So the team is 40% of their grade. The exams are 60% a midterm that's 30 and a, and a final that's 30.")</f>
        <v>So the team is 40% of their grade. The exams are 60% a midterm that's 30 and a, and a final that's 30.</v>
      </c>
      <c r="F120" s="24"/>
      <c r="G120" s="45" t="str">
        <f>if(codigoRDivergenteJuiz = "first",codigoRDivergenteCodigo1,if (codigoRDivergenteJuiz = "second",codigoRDivergenteCodigo2, if (codigoRDivergenteCodigo1 = "", codigoRDivergenteCodigo2, codigoRDivergenteCodigo1)))</f>
        <v>team 40% of grade. Exam 60%.</v>
      </c>
      <c r="H120" s="45" t="str">
        <f>if(codigoRDivergenteJuiz = "first",codigoRDivergenteTema1,if (codigoRDivergenteJuiz = "second",codigoRDivergenteTema2, if (codigoRDivergenteCodigo1 = "", codigoRDivergenteTema2, codigoRDivergenteTema1)))</f>
        <v>assessment</v>
      </c>
    </row>
    <row r="121">
      <c r="A121" s="44">
        <f>IFERROR(__xludf.DUMMYFUNCTION("""COMPUTED_VALUE"""),132.0)</f>
        <v>132</v>
      </c>
      <c r="B121" s="44" t="str">
        <f>IFERROR(__xludf.DUMMYFUNCTION("""COMPUTED_VALUE"""),"R1 / R2")</f>
        <v>R1 / R2</v>
      </c>
      <c r="C121" s="44" t="str">
        <f>IFERROR(__xludf.DUMMYFUNCTION("""COMPUTED_VALUE"""),"recommendation")</f>
        <v>recommendation</v>
      </c>
      <c r="D121" s="24" t="str">
        <f>IFERROR(__xludf.DUMMYFUNCTION("""COMPUTED_VALUE"""),"I try to get the student more engaged.... If they're not having fun, then we're, we're doing it wrong. So, so I'm making sure they're having fun.")</f>
        <v>I try to get the student more engaged.... If they're not having fun, then we're, we're doing it wrong. So, so I'm making sure they're having fun.</v>
      </c>
      <c r="E121" s="24" t="str">
        <f>IFERROR(__xludf.DUMMYFUNCTION("""COMPUTED_VALUE"""),"Try to get the student having fun in order to keep them engaged.")</f>
        <v>Try to get the student having fun in order to keep them engaged.</v>
      </c>
      <c r="F121" s="24"/>
      <c r="G121" s="45" t="str">
        <f>if(codigoRDivergenteJuiz = "first",codigoRDivergenteCodigo1,if (codigoRDivergenteJuiz = "second",codigoRDivergenteCodigo2, if (codigoRDivergenteCodigo1 = "", codigoRDivergenteCodigo2, codigoRDivergenteCodigo1)))</f>
        <v>students engage through fun</v>
      </c>
      <c r="H121" s="45" t="str">
        <f>if(codigoRDivergenteJuiz = "first",codigoRDivergenteTema1,if (codigoRDivergenteJuiz = "second",codigoRDivergenteTema2, if (codigoRDivergenteCodigo1 = "", codigoRDivergenteTema2, codigoRDivergenteTema1)))</f>
        <v>strategies in course execution</v>
      </c>
    </row>
    <row r="122">
      <c r="A122" s="44">
        <f>IFERROR(__xludf.DUMMYFUNCTION("""COMPUTED_VALUE"""),133.0)</f>
        <v>133</v>
      </c>
      <c r="B122" s="44" t="str">
        <f>IFERROR(__xludf.DUMMYFUNCTION("""COMPUTED_VALUE"""),"R1 / R3")</f>
        <v>R1 / R3</v>
      </c>
      <c r="C122" s="44" t="str">
        <f>IFERROR(__xludf.DUMMYFUNCTION("""COMPUTED_VALUE"""),"recommendation")</f>
        <v>recommendation</v>
      </c>
      <c r="D122" s="24" t="str">
        <f>IFERROR(__xludf.DUMMYFUNCTION("""COMPUTED_VALUE"""),"In that assessment, you know, that they're, um, there are 50 multiple choice questions in each exam, no partial credit. Um, and, and so, and I give, and it's an hour, uh, you know, to go do that exam. ...  we're remote now.
The book I have quiz, uh, agai"&amp;"n, it could be translated and adjusted, but that's the way to, to test in the exams. ...  one part is exactly quiz questions. So they have multiple choices.
If I was asking you the question and say, give me the three benefits of this thought of this, uh,"&amp;" concept, then it's memorization. But if I give them five, if I give you five choices and they could be between zero and five, that are true statements with respect to this concept, it's not about memorization. It's about understanding.
If the exam is in"&amp;" presence, then I don't care that much if, if they do the control that before, because ultimately they have to understand, I think that these quizzes to me have a specific objective.")</f>
        <v>In that assessment, you know, that they're, um, there are 50 multiple choice questions in each exam, no partial credit. Um, and, and so, and I give, and it's an hour, uh, you know, to go do that exam. ...  we're remote now.
The book I have quiz, uh, again, it could be translated and adjusted, but that's the way to, to test in the exams. ...  one part is exactly quiz questions. So they have multiple choices.
If I was asking you the question and say, give me the three benefits of this thought of this, uh, concept, then it's memorization. But if I give them five, if I give you five choices and they could be between zero and five, that are true statements with respect to this concept, it's not about memorization. It's about understanding.
If the exam is in presence, then I don't care that much if, if they do the control that before, because ultimately they have to understand, I think that these quizzes to me have a specific objective.</v>
      </c>
      <c r="E122" s="24" t="str">
        <f>IFERROR(__xludf.DUMMYFUNCTION("""COMPUTED_VALUE"""),"50 multiple choice questions in one hour each exam if you are remote.
Use quiz in the book to test in the exams with multiple choices.
Multiple-choice format questions about DevOps concepts favor the understanding instead of memorization of the students"&amp;".
Quizzes forces students to understand the concepts.")</f>
        <v>50 multiple choice questions in one hour each exam if you are remote.
Use quiz in the book to test in the exams with multiple choices.
Multiple-choice format questions about DevOps concepts favor the understanding instead of memorization of the students.
Quizzes forces students to understand the concepts.</v>
      </c>
      <c r="F122" s="24" t="str">
        <f>IFERROR(__xludf.DUMMYFUNCTION("""COMPUTED_VALUE"""),"Use quiz with multiple choices to assess the students.")</f>
        <v>Use quiz with multiple choices to assess the students.</v>
      </c>
      <c r="G122" s="45" t="str">
        <f>if(codigoRDivergenteJuiz = "first",codigoRDivergenteCodigo1,if (codigoRDivergenteJuiz = "second",codigoRDivergenteCodigo2, if (codigoRDivergenteCodigo1 = "", codigoRDivergenteCodigo2, codigoRDivergenteCodigo1)))</f>
        <v>quiz as a student assessment tool</v>
      </c>
      <c r="H122" s="45" t="str">
        <f>if(codigoRDivergenteJuiz = "first",codigoRDivergenteTema1,if (codigoRDivergenteJuiz = "second",codigoRDivergenteTema2, if (codigoRDivergenteCodigo1 = "", codigoRDivergenteTema2, codigoRDivergenteTema1)))</f>
        <v>assessment</v>
      </c>
    </row>
    <row r="123">
      <c r="A123" s="44">
        <f>IFERROR(__xludf.DUMMYFUNCTION("""COMPUTED_VALUE"""),134.0)</f>
        <v>134</v>
      </c>
      <c r="B123" s="44" t="str">
        <f>IFERROR(__xludf.DUMMYFUNCTION("""COMPUTED_VALUE"""),"R2 / R3")</f>
        <v>R2 / R3</v>
      </c>
      <c r="C123" s="44" t="str">
        <f>IFERROR(__xludf.DUMMYFUNCTION("""COMPUTED_VALUE"""),"recommendation")</f>
        <v>recommendation</v>
      </c>
      <c r="D123" s="24" t="str">
        <f>IFERROR(__xludf.DUMMYFUNCTION("""COMPUTED_VALUE"""),"the exams are open book, right? I, I, when I'm in the classroom, they're not open book, but for, for the remote learning, they have to be open book. I just can't enforce it.")</f>
        <v>the exams are open book, right? I, I, when I'm in the classroom, they're not open book, but for, for the remote learning, they have to be open book. I just can't enforce it.</v>
      </c>
      <c r="E123" s="24" t="str">
        <f>IFERROR(__xludf.DUMMYFUNCTION("""COMPUTED_VALUE"""),"Exams in remote class format are with the open book.")</f>
        <v>Exams in remote class format are with the open book.</v>
      </c>
      <c r="F123" s="24"/>
      <c r="G123" s="45" t="str">
        <f>if(codigoRDivergenteJuiz = "first",codigoRDivergenteCodigo1,if (codigoRDivergenteJuiz = "second",codigoRDivergenteCodigo2, if (codigoRDivergenteCodigo1 = "", codigoRDivergenteCodigo2, codigoRDivergenteCodigo1)))</f>
        <v>exams with open book</v>
      </c>
      <c r="H123" s="45" t="str">
        <f>if(codigoRDivergenteJuiz = "first",codigoRDivergenteTema1,if (codigoRDivergenteJuiz = "second",codigoRDivergenteTema2, if (codigoRDivergenteCodigo1 = "", codigoRDivergenteTema2, codigoRDivergenteTema1)))</f>
        <v>assessment</v>
      </c>
    </row>
    <row r="124">
      <c r="A124" s="44">
        <f>IFERROR(__xludf.DUMMYFUNCTION("""COMPUTED_VALUE"""),136.0)</f>
        <v>136</v>
      </c>
      <c r="B124" s="44" t="str">
        <f>IFERROR(__xludf.DUMMYFUNCTION("""COMPUTED_VALUE"""),"R1 / R3")</f>
        <v>R1 / R3</v>
      </c>
      <c r="C124" s="44" t="str">
        <f>IFERROR(__xludf.DUMMYFUNCTION("""COMPUTED_VALUE"""),"recommendation")</f>
        <v>recommendation</v>
      </c>
      <c r="D124" s="24" t="str">
        <f>IFERROR(__xludf.DUMMYFUNCTION("""COMPUTED_VALUE"""),"we had cloud computing, where can easily stand up virtual machines for people and things like that.")</f>
        <v>we had cloud computing, where can easily stand up virtual machines for people and things like that.</v>
      </c>
      <c r="E124" s="24" t="str">
        <f>IFERROR(__xludf.DUMMYFUNCTION("""COMPUTED_VALUE"""),"Cloud computing make easier to stand up virtual machines.")</f>
        <v>Cloud computing make easier to stand up virtual machines.</v>
      </c>
      <c r="F124" s="24"/>
      <c r="G124" s="45" t="str">
        <f>if(codigoRDivergenteJuiz = "first",codigoRDivergenteCodigo1,if (codigoRDivergenteJuiz = "second",codigoRDivergenteCodigo2, if (codigoRDivergenteCodigo1 = "", codigoRDivergenteCodigo2, codigoRDivergenteCodigo1)))</f>
        <v>virtual machine setup facilitated by cloud computing</v>
      </c>
      <c r="H124" s="45" t="str">
        <f>if(codigoRDivergenteJuiz = "first",codigoRDivergenteTema1,if (codigoRDivergenteJuiz = "second",codigoRDivergenteTema2, if (codigoRDivergenteCodigo1 = "", codigoRDivergenteTema2, codigoRDivergenteTema1)))</f>
        <v>environment setup</v>
      </c>
    </row>
    <row r="125">
      <c r="A125" s="44">
        <f>IFERROR(__xludf.DUMMYFUNCTION("""COMPUTED_VALUE"""),137.0)</f>
        <v>137</v>
      </c>
      <c r="B125" s="44" t="str">
        <f>IFERROR(__xludf.DUMMYFUNCTION("""COMPUTED_VALUE"""),"R2 / R3")</f>
        <v>R2 / R3</v>
      </c>
      <c r="C125" s="44" t="str">
        <f>IFERROR(__xludf.DUMMYFUNCTION("""COMPUTED_VALUE"""),"recommendation")</f>
        <v>recommendation</v>
      </c>
      <c r="D125" s="24" t="str">
        <f>IFERROR(__xludf.DUMMYFUNCTION("""COMPUTED_VALUE"""),"People coming through the programs want to play with technology. That's half the reason we got into this field in the first place, and it's a really fun thing to be able to do, but it's not sufficient. And trying to change that mindset to emphasize more t"&amp;"he idea of devops as a means of continuous improvement, as a means of organizational change. As a, to some extent I use this phrase guardedly, but to some extent, a philosophy around how the organization is going to go from concept to implementation, that"&amp;"'s a much harder set of skills to pick up.
The global approach made sure the students not associated with devops with a CI/CD pipeline, because in my opinion, it's all about continuous improvement.
This mindset of thinking of continuous improvement is s"&amp;"o important, right?  ... the improvement of the daily work is more important than the work itself.
What should I improve to make my process more efficient? So to me, this is the most important thing of DevOps. And, and, and then you do it through automat"&amp;"ion, automation of, of the deployment process, automation of, of, you know, the testing process automation later of the security, uh, thing and so on.")</f>
        <v>People coming through the programs want to play with technology. That's half the reason we got into this field in the first place, and it's a really fun thing to be able to do, but it's not sufficient. And trying to change that mindset to emphasize more the idea of devops as a means of continuous improvement, as a means of organizational change. As a, to some extent I use this phrase guardedly, but to some extent, a philosophy around how the organization is going to go from concept to implementation, that's a much harder set of skills to pick up.
The global approach made sure the students not associated with devops with a CI/CD pipeline, because in my opinion, it's all about continuous improvement.
This mindset of thinking of continuous improvement is so important, right?  ... the improvement of the daily work is more important than the work itself.
What should I improve to make my process more efficient? So to me, this is the most important thing of DevOps. And, and, and then you do it through automation, automation of, of the deployment process, automation of, of, you know, the testing process automation later of the security, uh, thing and so on.</v>
      </c>
      <c r="E125" s="24" t="str">
        <f>IFERROR(__xludf.DUMMYFUNCTION("""COMPUTED_VALUE"""),"Make clear the importance of the DevOps mindset like continuous improvement in constrast to using the tools.
Continuous improvement is a key DevOps concept.
The mindset of thinking of continuous improvement is so important because the improvement of the"&amp;" daily work is more important than the work itself.
The most importart thing of DevOps is to improve my process continuously through automation of the deployment process.")</f>
        <v>Make clear the importance of the DevOps mindset like continuous improvement in constrast to using the tools.
Continuous improvement is a key DevOps concept.
The mindset of thinking of continuous improvement is so important because the improvement of the daily work is more important than the work itself.
The most importart thing of DevOps is to improve my process continuously through automation of the deployment process.</v>
      </c>
      <c r="F125" s="24" t="str">
        <f>IFERROR(__xludf.DUMMYFUNCTION("""COMPUTED_VALUE"""),"Continuous improvement is a key DevOps concept.")</f>
        <v>Continuous improvement is a key DevOps concept.</v>
      </c>
      <c r="G125" s="45" t="str">
        <f>if(codigoRDivergenteJuiz = "first",codigoRDivergenteCodigo1,if (codigoRDivergenteJuiz = "second",codigoRDivergenteCodigo2, if (codigoRDivergenteCodigo1 = "", codigoRDivergenteCodigo2, codigoRDivergenteCodigo1)))</f>
        <v>continuous improvements key DevOps concept</v>
      </c>
      <c r="H125" s="45" t="str">
        <f>if(codigoRDivergenteJuiz = "first",codigoRDivergenteTema1,if (codigoRDivergenteJuiz = "second",codigoRDivergenteTema2, if (codigoRDivergenteCodigo1 = "", codigoRDivergenteTema2, codigoRDivergenteTema1)))</f>
        <v>devops concepts</v>
      </c>
    </row>
    <row r="126">
      <c r="A126" s="44">
        <f>IFERROR(__xludf.DUMMYFUNCTION("""COMPUTED_VALUE"""),138.0)</f>
        <v>138</v>
      </c>
      <c r="B126" s="44" t="str">
        <f>IFERROR(__xludf.DUMMYFUNCTION("""COMPUTED_VALUE"""),"R1 / R2")</f>
        <v>R1 / R2</v>
      </c>
      <c r="C126" s="44" t="str">
        <f>IFERROR(__xludf.DUMMYFUNCTION("""COMPUTED_VALUE"""),"recommendation")</f>
        <v>recommendation</v>
      </c>
      <c r="D126" s="24" t="str">
        <f>IFERROR(__xludf.DUMMYFUNCTION("""COMPUTED_VALUE"""),"I'm starting to do is to just build out images, for example, that contain everything that I want them to have. Uh, and that way I can tell them to spin up a virtual machine. ")</f>
        <v>I'm starting to do is to just build out images, for example, that contain everything that I want them to have. Uh, and that way I can tell them to spin up a virtual machine. </v>
      </c>
      <c r="E126" s="24" t="str">
        <f>IFERROR(__xludf.DUMMYFUNCTION("""COMPUTED_VALUE"""),"Use imagens that contain everything that the teacher wants to teach to clone virtual machines.")</f>
        <v>Use imagens that contain everything that the teacher wants to teach to clone virtual machines.</v>
      </c>
      <c r="F126" s="24"/>
      <c r="G126" s="45" t="str">
        <f>if(codigoRDivergenteJuiz = "first",codigoRDivergenteCodigo1,if (codigoRDivergenteJuiz = "second",codigoRDivergenteCodigo2, if (codigoRDivergenteCodigo1 = "", codigoRDivergenteCodigo2, codigoRDivergenteCodigo1)))</f>
        <v>virtual machine images with everything needed</v>
      </c>
      <c r="H126" s="45" t="str">
        <f>if(codigoRDivergenteJuiz = "first",codigoRDivergenteTema1,if (codigoRDivergenteJuiz = "second",codigoRDivergenteTema2, if (codigoRDivergenteCodigo1 = "", codigoRDivergenteTema2, codigoRDivergenteTema1)))</f>
        <v>environment setup</v>
      </c>
    </row>
    <row r="127">
      <c r="A127" s="44">
        <f>IFERROR(__xludf.DUMMYFUNCTION("""COMPUTED_VALUE"""),139.0)</f>
        <v>139</v>
      </c>
      <c r="B127" s="44" t="str">
        <f>IFERROR(__xludf.DUMMYFUNCTION("""COMPUTED_VALUE"""),"R1 / R3")</f>
        <v>R1 / R3</v>
      </c>
      <c r="C127" s="44" t="str">
        <f>IFERROR(__xludf.DUMMYFUNCTION("""COMPUTED_VALUE"""),"recommendation")</f>
        <v>recommendation</v>
      </c>
      <c r="D127" s="24" t="str">
        <f>IFERROR(__xludf.DUMMYFUNCTION("""COMPUTED_VALUE"""),"I use GitHub and they have options for professors, you know, for academic use, where you can set up these GitHub classrooms. I use those constantly, um, and they work very, very well because again, I can kind of control who gets what I can see, everything"&amp;" I can help individuals through things works great.")</f>
        <v>I use GitHub and they have options for professors, you know, for academic use, where you can set up these GitHub classrooms. I use those constantly, um, and they work very, very well because again, I can kind of control who gets what I can see, everything I can help individuals through things works great.</v>
      </c>
      <c r="E127" s="24" t="str">
        <f>IFERROR(__xludf.DUMMYFUNCTION("""COMPUTED_VALUE"""),"Use Github for academic use where you can set up GitHub classrooms.")</f>
        <v>Use Github for academic use where you can set up GitHub classrooms.</v>
      </c>
      <c r="F127" s="24"/>
      <c r="G127" s="45" t="str">
        <f>if(codigoRDivergenteJuiz = "first",codigoRDivergenteCodigo1,if (codigoRDivergenteJuiz = "second",codigoRDivergenteCodigo2, if (codigoRDivergenteCodigo1 = "", codigoRDivergenteCodigo2, codigoRDivergenteCodigo1)))</f>
        <v>GitHub classroom available on Github academic use</v>
      </c>
      <c r="H127" s="45" t="str">
        <f>if(codigoRDivergenteJuiz = "first",codigoRDivergenteTema1,if (codigoRDivergenteJuiz = "second",codigoRDivergenteTema2, if (codigoRDivergenteCodigo1 = "", codigoRDivergenteTema2, codigoRDivergenteTema1)))</f>
        <v>tool / technology</v>
      </c>
    </row>
    <row r="128">
      <c r="A128" s="44">
        <f>IFERROR(__xludf.DUMMYFUNCTION("""COMPUTED_VALUE"""),140.0)</f>
        <v>140</v>
      </c>
      <c r="B128" s="44" t="str">
        <f>IFERROR(__xludf.DUMMYFUNCTION("""COMPUTED_VALUE"""),"R2 / R3")</f>
        <v>R2 / R3</v>
      </c>
      <c r="C128" s="44" t="str">
        <f>IFERROR(__xludf.DUMMYFUNCTION("""COMPUTED_VALUE"""),"recommendation")</f>
        <v>recommendation</v>
      </c>
      <c r="D128" s="24" t="str">
        <f>IFERROR(__xludf.DUMMYFUNCTION("""COMPUTED_VALUE"""),"I will pick one, usually one, although I'll usually compare and contrast against a couple of others, something in the around of automated builds.")</f>
        <v>I will pick one, usually one, although I'll usually compare and contrast against a couple of others, something in the around of automated builds.</v>
      </c>
      <c r="E128" s="24" t="str">
        <f>IFERROR(__xludf.DUMMYFUNCTION("""COMPUTED_VALUE"""),"Compare and contrast the tools before to choice.")</f>
        <v>Compare and contrast the tools before to choice.</v>
      </c>
      <c r="F128" s="24"/>
      <c r="G128" s="45" t="str">
        <f>if(codigoRDivergenteJuiz = "first",codigoRDivergenteCodigo1,if (codigoRDivergenteJuiz = "second",codigoRDivergenteCodigo2, if (codigoRDivergenteCodigo1 = "", codigoRDivergenteCodigo2, codigoRDivergenteCodigo1)))</f>
        <v>contrast tools before choose</v>
      </c>
      <c r="H128" s="45" t="str">
        <f>if(codigoRDivergenteJuiz = "first",codigoRDivergenteTema1,if (codigoRDivergenteJuiz = "second",codigoRDivergenteTema2, if (codigoRDivergenteCodigo1 = "", codigoRDivergenteTema2, codigoRDivergenteTema1)))</f>
        <v>tool / technology</v>
      </c>
    </row>
    <row r="129">
      <c r="A129" s="44">
        <f>IFERROR(__xludf.DUMMYFUNCTION("""COMPUTED_VALUE"""),141.0)</f>
        <v>141</v>
      </c>
      <c r="B129" s="44" t="str">
        <f>IFERROR(__xludf.DUMMYFUNCTION("""COMPUTED_VALUE"""),"R1 / R2")</f>
        <v>R1 / R2</v>
      </c>
      <c r="C129" s="44" t="str">
        <f>IFERROR(__xludf.DUMMYFUNCTION("""COMPUTED_VALUE"""),"recommendation")</f>
        <v>recommendation</v>
      </c>
      <c r="D129" s="24" t="str">
        <f>IFERROR(__xludf.DUMMYFUNCTION("""COMPUTED_VALUE"""),"I try to use cloud providers, you know, kind of cloud SAS providers for that sort of thing, because I don't want people to spend a lot of time getting the stuff stood up.")</f>
        <v>I try to use cloud providers, you know, kind of cloud SAS providers for that sort of thing, because I don't want people to spend a lot of time getting the stuff stood up.</v>
      </c>
      <c r="E129" s="24" t="str">
        <f>IFERROR(__xludf.DUMMYFUNCTION("""COMPUTED_VALUE"""),"Use cloud SAS providers to avoid spending a lot of time installations and configurations.")</f>
        <v>Use cloud SAS providers to avoid spending a lot of time installations and configurations.</v>
      </c>
      <c r="F129" s="24"/>
      <c r="G129" s="45" t="str">
        <f>if(codigoRDivergenteJuiz = "first",codigoRDivergenteCodigo1,if (codigoRDivergenteJuiz = "second",codigoRDivergenteCodigo2, if (codigoRDivergenteCodigo1 = "", codigoRDivergenteCodigo2, codigoRDivergenteCodigo1)))</f>
        <v>environment setup easier by a cloud provider</v>
      </c>
      <c r="H129" s="45" t="str">
        <f>if(codigoRDivergenteJuiz = "first",codigoRDivergenteTema1,if (codigoRDivergenteJuiz = "second",codigoRDivergenteTema2, if (codigoRDivergenteCodigo1 = "", codigoRDivergenteTema2, codigoRDivergenteTema1)))</f>
        <v>environment setup</v>
      </c>
    </row>
    <row r="130">
      <c r="A130" s="44">
        <f>IFERROR(__xludf.DUMMYFUNCTION("""COMPUTED_VALUE"""),142.0)</f>
        <v>142</v>
      </c>
      <c r="B130" s="44" t="str">
        <f>IFERROR(__xludf.DUMMYFUNCTION("""COMPUTED_VALUE"""),"R1 / R3")</f>
        <v>R1 / R3</v>
      </c>
      <c r="C130" s="44" t="str">
        <f>IFERROR(__xludf.DUMMYFUNCTION("""COMPUTED_VALUE"""),"recommendation")</f>
        <v>recommendation</v>
      </c>
      <c r="D130" s="24" t="str">
        <f>IFERROR(__xludf.DUMMYFUNCTION("""COMPUTED_VALUE"""),"I tend to focus on gradle, but I also will link that to say a comparison against Maven and ant to provide some context for how we got here, why we got here")</f>
        <v>I tend to focus on gradle, but I also will link that to say a comparison against Maven and ant to provide some context for how we got here, why we got here</v>
      </c>
      <c r="E130" s="24" t="str">
        <f>IFERROR(__xludf.DUMMYFUNCTION("""COMPUTED_VALUE"""),"Show the evolution of the tools like exposing from ant and maven to gradle tool in build managment.")</f>
        <v>Show the evolution of the tools like exposing from ant and maven to gradle tool in build managment.</v>
      </c>
      <c r="F130" s="24"/>
      <c r="G130" s="45" t="str">
        <f>if(codigoRDivergenteJuiz = "first",codigoRDivergenteCodigo1,if (codigoRDivergenteJuiz = "second",codigoRDivergenteCodigo2, if (codigoRDivergenteCodigo1 = "", codigoRDivergenteCodigo2, codigoRDivergenteCodigo1)))</f>
        <v>students understanding evolution of the tools</v>
      </c>
      <c r="H130" s="45" t="str">
        <f>if(codigoRDivergenteJuiz = "first",codigoRDivergenteTema1,if (codigoRDivergenteJuiz = "second",codigoRDivergenteTema2, if (codigoRDivergenteCodigo1 = "", codigoRDivergenteTema2, codigoRDivergenteTema1)))</f>
        <v>tool / technology</v>
      </c>
    </row>
    <row r="131">
      <c r="A131" s="44">
        <f>IFERROR(__xludf.DUMMYFUNCTION("""COMPUTED_VALUE"""),143.0)</f>
        <v>143</v>
      </c>
      <c r="B131" s="44" t="str">
        <f>IFERROR(__xludf.DUMMYFUNCTION("""COMPUTED_VALUE"""),"R2 / R3")</f>
        <v>R2 / R3</v>
      </c>
      <c r="C131" s="44" t="str">
        <f>IFERROR(__xludf.DUMMYFUNCTION("""COMPUTED_VALUE"""),"recommendation")</f>
        <v>recommendation</v>
      </c>
      <c r="D131" s="24" t="str">
        <f>IFERROR(__xludf.DUMMYFUNCTION("""COMPUTED_VALUE"""),"I'm having conversations with the university about trying to take the devops course and essentially converting it to a three course sequence one for agile, one for kind of the dev part of devops and one for the ops part of devops.")</f>
        <v>I'm having conversations with the university about trying to take the devops course and essentially converting it to a three course sequence one for agile, one for kind of the dev part of devops and one for the ops part of devops.</v>
      </c>
      <c r="E131" s="24" t="str">
        <f>IFERROR(__xludf.DUMMYFUNCTION("""COMPUTED_VALUE"""),"separate the dev and ops part into different courses.")</f>
        <v>separate the dev and ops part into different courses.</v>
      </c>
      <c r="F131" s="24"/>
      <c r="G131" s="45" t="str">
        <f>if(codigoRDivergenteJuiz = "first",codigoRDivergenteCodigo1,if (codigoRDivergenteJuiz = "second",codigoRDivergenteCodigo2, if (codigoRDivergenteCodigo1 = "", codigoRDivergenteCodigo2, codigoRDivergenteCodigo1)))</f>
        <v>dev and ops in different courses</v>
      </c>
      <c r="H131" s="45" t="str">
        <f>if(codigoRDivergenteJuiz = "first",codigoRDivergenteTema1,if (codigoRDivergenteJuiz = "second",codigoRDivergenteTema2, if (codigoRDivergenteCodigo1 = "", codigoRDivergenteTema2, codigoRDivergenteTema1)))</f>
        <v>curriculum</v>
      </c>
    </row>
    <row r="132">
      <c r="A132" s="44">
        <f>IFERROR(__xludf.DUMMYFUNCTION("""COMPUTED_VALUE"""),144.0)</f>
        <v>144</v>
      </c>
      <c r="B132" s="44" t="str">
        <f>IFERROR(__xludf.DUMMYFUNCTION("""COMPUTED_VALUE"""),"R1 / R2")</f>
        <v>R1 / R2</v>
      </c>
      <c r="C132" s="44" t="str">
        <f>IFERROR(__xludf.DUMMYFUNCTION("""COMPUTED_VALUE"""),"recommendation")</f>
        <v>recommendation</v>
      </c>
      <c r="D132" s="24" t="str">
        <f>IFERROR(__xludf.DUMMYFUNCTION("""COMPUTED_VALUE"""),"And that level of what you're trying to do is to build a business case for why you want that at all. And now you're starting to get a little bit around of the computer science and into around of business and being able to tie those two things together in "&amp;"such a way that you can sell it to an organization that would have to spend resources, people, time, energy, money, building out that kind of a technical pipeline, right? 
 ... you have to somehow sell them on why you should spend your sources doing that "&amp;"versus building a new feature or adding a new product or any one of a number of other competing priorities that the business has.")</f>
        <v>And that level of what you're trying to do is to build a business case for why you want that at all. And now you're starting to get a little bit around of the computer science and into around of business and being able to tie those two things together in such a way that you can sell it to an organization that would have to spend resources, people, time, energy, money, building out that kind of a technical pipeline, right? 
 ... you have to somehow sell them on why you should spend your sources doing that versus building a new feature or adding a new product or any one of a number of other competing priorities that the business has.</v>
      </c>
      <c r="E132" s="24" t="str">
        <f>IFERROR(__xludf.DUMMYFUNCTION("""COMPUTED_VALUE"""),"Teach students to know how to sell DevOps benefits to their directors who are from the business area. For example, pipeline reduce developers work time and save money. You can also build a new feature or add a new product that the business has.")</f>
        <v>Teach students to know how to sell DevOps benefits to their directors who are from the business area. For example, pipeline reduce developers work time and save money. You can also build a new feature or add a new product that the business has.</v>
      </c>
      <c r="F132" s="24"/>
      <c r="G132" s="45" t="str">
        <f>if(codigoRDivergenteJuiz = "first",codigoRDivergenteCodigo1,if (codigoRDivergenteJuiz = "second",codigoRDivergenteCodigo2, if (codigoRDivergenteCodigo1 = "", codigoRDivergenteCodigo2, codigoRDivergenteCodigo1)))</f>
        <v>bussinessman understanding devops benefities from the students</v>
      </c>
      <c r="H132" s="45" t="str">
        <f>if(codigoRDivergenteJuiz = "first",codigoRDivergenteTema1,if (codigoRDivergenteJuiz = "second",codigoRDivergenteTema2, if (codigoRDivergenteCodigo1 = "", codigoRDivergenteTema2, codigoRDivergenteTema1)))</f>
        <v>devops concepts</v>
      </c>
    </row>
    <row r="133">
      <c r="A133" s="44">
        <f>IFERROR(__xludf.DUMMYFUNCTION("""COMPUTED_VALUE"""),145.0)</f>
        <v>145</v>
      </c>
      <c r="B133" s="44" t="str">
        <f>IFERROR(__xludf.DUMMYFUNCTION("""COMPUTED_VALUE"""),"R1 / R3")</f>
        <v>R1 / R3</v>
      </c>
      <c r="C133" s="44" t="str">
        <f>IFERROR(__xludf.DUMMYFUNCTION("""COMPUTED_VALUE"""),"recommendation")</f>
        <v>recommendation</v>
      </c>
      <c r="D133" s="24" t="str">
        <f>IFERROR(__xludf.DUMMYFUNCTION("""COMPUTED_VALUE"""),"I don't think the basic skeleton of the class has really changed significantly, maybe a few places, but over the last two or three years, the, the basic structure, the scaffolding I think has held fairly true where we focus on some devops principles. We f"&amp;"ocus on concepts. We focus on goals.")</f>
        <v>I don't think the basic skeleton of the class has really changed significantly, maybe a few places, but over the last two or three years, the, the basic structure, the scaffolding I think has held fairly true where we focus on some devops principles. We focus on concepts. We focus on goals.</v>
      </c>
      <c r="E133" s="24" t="str">
        <f>IFERROR(__xludf.DUMMYFUNCTION("""COMPUTED_VALUE"""),"The basic skeleton of the class does not change significantly because we focus on concepts and we focus on goals.")</f>
        <v>The basic skeleton of the class does not change significantly because we focus on concepts and we focus on goals.</v>
      </c>
      <c r="F133" s="24"/>
      <c r="G133" s="45" t="str">
        <f>if(codigoRDivergenteJuiz = "first",codigoRDivergenteCodigo1,if (codigoRDivergenteJuiz = "second",codigoRDivergenteCodigo2, if (codigoRDivergenteCodigo1 = "", codigoRDivergenteCodigo2, codigoRDivergenteCodigo1)))</f>
        <v>skeleton class without replacement because it focuses on concepts and goals</v>
      </c>
      <c r="H133" s="45" t="str">
        <f>if(codigoRDivergenteJuiz = "first",codigoRDivergenteTema1,if (codigoRDivergenteJuiz = "second",codigoRDivergenteTema2, if (codigoRDivergenteCodigo1 = "", codigoRDivergenteTema2, codigoRDivergenteTema1)))</f>
        <v>class preparation</v>
      </c>
    </row>
    <row r="134">
      <c r="A134" s="44">
        <f>IFERROR(__xludf.DUMMYFUNCTION("""COMPUTED_VALUE"""),146.0)</f>
        <v>146</v>
      </c>
      <c r="B134" s="44" t="str">
        <f>IFERROR(__xludf.DUMMYFUNCTION("""COMPUTED_VALUE"""),"R2 / R3")</f>
        <v>R2 / R3</v>
      </c>
      <c r="C134" s="44" t="str">
        <f>IFERROR(__xludf.DUMMYFUNCTION("""COMPUTED_VALUE"""),"recommendation")</f>
        <v>recommendation</v>
      </c>
      <c r="D134" s="24" t="str">
        <f>IFERROR(__xludf.DUMMYFUNCTION("""COMPUTED_VALUE"""),"So I try to give folks one or two small projects.
We will also build a sample, which is on github. I'll send you the link. If you want. We build a sample that is called a cookie factory. Um, it's, it's a system to handle a cookie factory where you can or"&amp;"der cookie pay for them, and you get a shopping cart with cookies, et cetera, right? So it's just a small sample.
We have built a little simulator that is quite simple, but that's easy to traverse the whole, essentially the main phases of DevOps.")</f>
        <v>So I try to give folks one or two small projects.
We will also build a sample, which is on github. I'll send you the link. If you want. We build a sample that is called a cookie factory. Um, it's, it's a system to handle a cookie factory where you can order cookie pay for them, and you get a shopping cart with cookies, et cetera, right? So it's just a small sample.
We have built a little simulator that is quite simple, but that's easy to traverse the whole, essentially the main phases of DevOps.</v>
      </c>
      <c r="E134" s="24" t="str">
        <f>IFERROR(__xludf.DUMMYFUNCTION("""COMPUTED_VALUE"""),"Specify what projects the students will work and provide one or two small projects.
Use small projects with students.
Use a simple application to walk through all DevOps concepts.")</f>
        <v>Specify what projects the students will work and provide one or two small projects.
Use small projects with students.
Use a simple application to walk through all DevOps concepts.</v>
      </c>
      <c r="F134" s="24" t="str">
        <f>IFERROR(__xludf.DUMMYFUNCTION("""COMPUTED_VALUE"""),"Research small projects for the students.")</f>
        <v>Research small projects for the students.</v>
      </c>
      <c r="G134" s="45" t="str">
        <f>if(codigoRDivergenteJuiz = "first",codigoRDivergenteCodigo1,if (codigoRDivergenteJuiz = "second",codigoRDivergenteCodigo2, if (codigoRDivergenteCodigo1 = "", codigoRDivergenteCodigo2, codigoRDivergenteCodigo1)))</f>
        <v>small projects</v>
      </c>
      <c r="H134" s="45" t="str">
        <f>if(codigoRDivergenteJuiz = "first",codigoRDivergenteTema1,if (codigoRDivergenteJuiz = "second",codigoRDivergenteTema2, if (codigoRDivergenteCodigo1 = "", codigoRDivergenteTema2, codigoRDivergenteTema1)))</f>
        <v>class preparation</v>
      </c>
    </row>
    <row r="135">
      <c r="A135" s="44">
        <f>IFERROR(__xludf.DUMMYFUNCTION("""COMPUTED_VALUE"""),147.0)</f>
        <v>147</v>
      </c>
      <c r="B135" s="44" t="str">
        <f>IFERROR(__xludf.DUMMYFUNCTION("""COMPUTED_VALUE"""),"R1 / R2")</f>
        <v>R1 / R2</v>
      </c>
      <c r="C135" s="44" t="str">
        <f>IFERROR(__xludf.DUMMYFUNCTION("""COMPUTED_VALUE"""),"recommendation")</f>
        <v>recommendation</v>
      </c>
      <c r="D135" s="24" t="str">
        <f>IFERROR(__xludf.DUMMYFUNCTION("""COMPUTED_VALUE"""),"I will try to provide, uh, some kind of, of jump-starting as far as people learning at technology. So for example, here's commonly used commands. Here's why you use them. Here's how you use them.")</f>
        <v>I will try to provide, uh, some kind of, of jump-starting as far as people learning at technology. So for example, here's commonly used commands. Here's why you use them. Here's how you use them.</v>
      </c>
      <c r="E135" s="24" t="str">
        <f>IFERROR(__xludf.DUMMYFUNCTION("""COMPUTED_VALUE"""),"Provide jump-starting examples of commonly used commands of tools.")</f>
        <v>Provide jump-starting examples of commonly used commands of tools.</v>
      </c>
      <c r="F135" s="24"/>
      <c r="G135" s="45" t="str">
        <f>if(codigoRDivergenteJuiz = "first",codigoRDivergenteCodigo1,if (codigoRDivergenteJuiz = "second",codigoRDivergenteCodigo2, if (codigoRDivergenteCodigo1 = "", codigoRDivergenteCodigo2, codigoRDivergenteCodigo1)))</f>
        <v>jump-starting example of commonly used commands of tools</v>
      </c>
      <c r="H135" s="45" t="str">
        <f>if(codigoRDivergenteJuiz = "first",codigoRDivergenteTema1,if (codigoRDivergenteJuiz = "second",codigoRDivergenteTema2, if (codigoRDivergenteCodigo1 = "", codigoRDivergenteTema2, codigoRDivergenteTema1)))</f>
        <v>class preparation</v>
      </c>
    </row>
    <row r="136">
      <c r="A136" s="44">
        <f>IFERROR(__xludf.DUMMYFUNCTION("""COMPUTED_VALUE"""),148.0)</f>
        <v>148</v>
      </c>
      <c r="B136" s="44" t="str">
        <f>IFERROR(__xludf.DUMMYFUNCTION("""COMPUTED_VALUE"""),"R1 / R3")</f>
        <v>R1 / R3</v>
      </c>
      <c r="C136" s="44" t="str">
        <f>IFERROR(__xludf.DUMMYFUNCTION("""COMPUTED_VALUE"""),"recommendation")</f>
        <v>recommendation</v>
      </c>
      <c r="D136" s="24" t="str">
        <f>IFERROR(__xludf.DUMMYFUNCTION("""COMPUTED_VALUE"""),"So being a little bit more forgiving, a lot of the tools that we're using are brand new. For many people, getting them all to work together can be particularly challenging. And so making it a little less stressful, uh, can be helpful.")</f>
        <v>So being a little bit more forgiving, a lot of the tools that we're using are brand new. For many people, getting them all to work together can be particularly challenging. And so making it a little less stressful, uh, can be helpful.</v>
      </c>
      <c r="E136" s="24" t="str">
        <f>IFERROR(__xludf.DUMMYFUNCTION("""COMPUTED_VALUE"""),"Be a little bit more forgivable, understanding that for some people getting all the brand new technologies to work together can be really hard, so make it less stressful")</f>
        <v>Be a little bit more forgivable, understanding that for some people getting all the brand new technologies to work together can be really hard, so make it less stressful</v>
      </c>
      <c r="F136" s="24"/>
      <c r="G136" s="45" t="str">
        <f>if(codigoRDivergenteJuiz = "first",codigoRDivergenteCodigo1,if (codigoRDivergenteJuiz = "second",codigoRDivergenteCodigo2, if (codigoRDivergenteCodigo1 = "", codigoRDivergenteCodigo2, codigoRDivergenteCodigo1)))</f>
        <v>understanding of the student difficulties in new technologies</v>
      </c>
      <c r="H136" s="45" t="str">
        <f>if(codigoRDivergenteJuiz = "first",codigoRDivergenteTema1,if (codigoRDivergenteJuiz = "second",codigoRDivergenteTema2, if (codigoRDivergenteCodigo1 = "", codigoRDivergenteTema2, codigoRDivergenteTema1)))</f>
        <v>devops concepts</v>
      </c>
    </row>
    <row r="137">
      <c r="A137" s="44">
        <f>IFERROR(__xludf.DUMMYFUNCTION("""COMPUTED_VALUE"""),149.0)</f>
        <v>149</v>
      </c>
      <c r="B137" s="44" t="str">
        <f>IFERROR(__xludf.DUMMYFUNCTION("""COMPUTED_VALUE"""),"R2 / R3")</f>
        <v>R2 / R3</v>
      </c>
      <c r="C137" s="44" t="str">
        <f>IFERROR(__xludf.DUMMYFUNCTION("""COMPUTED_VALUE"""),"recommendation")</f>
        <v>recommendation</v>
      </c>
      <c r="D137" s="24" t="str">
        <f>IFERROR(__xludf.DUMMYFUNCTION("""COMPUTED_VALUE"""),"Our particular curriculum tends to allow out of, some degree of necessity and amount of interest based learning. You know, I care about software architecture. And so that's where I want to focus.")</f>
        <v>Our particular curriculum tends to allow out of, some degree of necessity and amount of interest based learning. You know, I care about software architecture. And so that's where I want to focus.</v>
      </c>
      <c r="E137" s="24" t="str">
        <f>IFERROR(__xludf.DUMMYFUNCTION("""COMPUTED_VALUE"""),"Our curriculum allows some degree of freedom according to the teacher's preferences.")</f>
        <v>Our curriculum allows some degree of freedom according to the teacher's preferences.</v>
      </c>
      <c r="F137" s="24"/>
      <c r="G137" s="45" t="str">
        <f>if(codigoRDivergenteJuiz = "first",codigoRDivergenteCodigo1,if (codigoRDivergenteJuiz = "second",codigoRDivergenteCodigo2, if (codigoRDivergenteCodigo1 = "", codigoRDivergenteCodigo2, codigoRDivergenteCodigo1)))</f>
        <v>curriculum allows degree freedom</v>
      </c>
      <c r="H137" s="45" t="str">
        <f>if(codigoRDivergenteJuiz = "first",codigoRDivergenteTema1,if (codigoRDivergenteJuiz = "second",codigoRDivergenteTema2, if (codigoRDivergenteCodigo1 = "", codigoRDivergenteTema2, codigoRDivergenteTema1)))</f>
        <v>curriculum</v>
      </c>
    </row>
    <row r="138">
      <c r="A138" s="44">
        <f>IFERROR(__xludf.DUMMYFUNCTION("""COMPUTED_VALUE"""),150.0)</f>
        <v>150</v>
      </c>
      <c r="B138" s="44" t="str">
        <f>IFERROR(__xludf.DUMMYFUNCTION("""COMPUTED_VALUE"""),"R1 / R2")</f>
        <v>R1 / R2</v>
      </c>
      <c r="C138" s="44" t="str">
        <f>IFERROR(__xludf.DUMMYFUNCTION("""COMPUTED_VALUE"""),"recommendation")</f>
        <v>recommendation</v>
      </c>
      <c r="D138" s="24" t="str">
        <f>IFERROR(__xludf.DUMMYFUNCTION("""COMPUTED_VALUE"""),"We let the students build only one project, one code base, which is evaluated both on the standpoint of the architecture. ... but also from the angle of continuous integration, do they include build plan?")</f>
        <v>We let the students build only one project, one code base, which is evaluated both on the standpoint of the architecture. ... but also from the angle of continuous integration, do they include build plan?</v>
      </c>
      <c r="E138" s="24" t="str">
        <f>IFERROR(__xludf.DUMMYFUNCTION("""COMPUTED_VALUE"""),"Evaluate the single project of the students on the standpoint of the architecture and also from the angle of continuous integration.")</f>
        <v>Evaluate the single project of the students on the standpoint of the architecture and also from the angle of continuous integration.</v>
      </c>
      <c r="F138" s="24"/>
      <c r="G138" s="45" t="str">
        <f>if(codigoRDivergenteJuiz = "first",codigoRDivergenteCodigo1,if (codigoRDivergenteJuiz = "second",codigoRDivergenteCodigo2, if (codigoRDivergenteCodigo1 = "", codigoRDivergenteCodigo2, codigoRDivergenteCodigo1)))</f>
        <v>evaluation of student projects from architecture and from continuous integration</v>
      </c>
      <c r="H138" s="45" t="str">
        <f>if(codigoRDivergenteJuiz = "first",codigoRDivergenteTema1,if (codigoRDivergenteJuiz = "second",codigoRDivergenteTema2, if (codigoRDivergenteCodigo1 = "", codigoRDivergenteTema2, codigoRDivergenteTema1)))</f>
        <v>assessment</v>
      </c>
    </row>
    <row r="139">
      <c r="A139" s="44">
        <f>IFERROR(__xludf.DUMMYFUNCTION("""COMPUTED_VALUE"""),151.0)</f>
        <v>151</v>
      </c>
      <c r="B139" s="44" t="str">
        <f>IFERROR(__xludf.DUMMYFUNCTION("""COMPUTED_VALUE"""),"R1 / R3")</f>
        <v>R1 / R3</v>
      </c>
      <c r="C139" s="44" t="str">
        <f>IFERROR(__xludf.DUMMYFUNCTION("""COMPUTED_VALUE"""),"recommendation")</f>
        <v>recommendation</v>
      </c>
      <c r="D139" s="24" t="str">
        <f>IFERROR(__xludf.DUMMYFUNCTION("""COMPUTED_VALUE"""),"So we built a curriculum in just very innovative way, the two classes together, a single project, a single teaching team, but we evaluate on two angles.
The course about, uh, software architecture and DevOps, or we're talking about a different way of arc"&amp;"hitecting software, um, mainly distributed system, because it was easier for the DevOps parts who were triggered challenges was a distributed system.  ... And they had one, one lecture in the morning lecture slash lab and one lecture slash lab in the afte"&amp;"rnoon. And they were really like Friday was dedicated to DevOps slash uh, architecture.")</f>
        <v>So we built a curriculum in just very innovative way, the two classes together, a single project, a single teaching team, but we evaluate on two angles.
The course about, uh, software architecture and DevOps, or we're talking about a different way of architecting software, um, mainly distributed system, because it was easier for the DevOps parts who were triggered challenges was a distributed system.  ... And they had one, one lecture in the morning lecture slash lab and one lecture slash lab in the afternoon. And they were really like Friday was dedicated to DevOps slash uh, architecture.</v>
      </c>
      <c r="E139" s="24" t="str">
        <f>IFERROR(__xludf.DUMMYFUNCTION("""COMPUTED_VALUE"""),"Built a curriculum with DevOps and Software Architecture classes together, a single project, a single teaching team, but we evaluate on two angles.
The courses of software architecture and DevOps taught in the same day.")</f>
        <v>Built a curriculum with DevOps and Software Architecture classes together, a single project, a single teaching team, but we evaluate on two angles.
The courses of software architecture and DevOps taught in the same day.</v>
      </c>
      <c r="F139" s="24" t="str">
        <f>IFERROR(__xludf.DUMMYFUNCTION("""COMPUTED_VALUE"""),"The courses of software architecture and DevOps taught together.")</f>
        <v>The courses of software architecture and DevOps taught together.</v>
      </c>
      <c r="G139" s="45" t="str">
        <f>if(codigoRDivergenteJuiz = "first",codigoRDivergenteCodigo1,if (codigoRDivergenteJuiz = "second",codigoRDivergenteCodigo2, if (codigoRDivergenteCodigo1 = "", codigoRDivergenteCodigo2, codigoRDivergenteCodigo1)))</f>
        <v>software architecture and DevOps courses together in the curriculum</v>
      </c>
      <c r="H139" s="45" t="str">
        <f>if(codigoRDivergenteJuiz = "first",codigoRDivergenteTema1,if (codigoRDivergenteJuiz = "second",codigoRDivergenteTema2, if (codigoRDivergenteCodigo1 = "", codigoRDivergenteTema2, codigoRDivergenteTema1)))</f>
        <v>curriculum</v>
      </c>
    </row>
    <row r="140">
      <c r="A140" s="44">
        <f>IFERROR(__xludf.DUMMYFUNCTION("""COMPUTED_VALUE"""),152.0)</f>
        <v>152</v>
      </c>
      <c r="B140" s="44" t="str">
        <f>IFERROR(__xludf.DUMMYFUNCTION("""COMPUTED_VALUE"""),"R2 / R3")</f>
        <v>R2 / R3</v>
      </c>
      <c r="C140" s="44" t="str">
        <f>IFERROR(__xludf.DUMMYFUNCTION("""COMPUTED_VALUE"""),"recommendation")</f>
        <v>recommendation</v>
      </c>
      <c r="D140" s="24" t="str">
        <f>IFERROR(__xludf.DUMMYFUNCTION("""COMPUTED_VALUE"""),"And then another team uses in a 13 deploys to environment that the first team cannot get to because it's a production environment that the coder will not get access to it. So in real life, you have different teams of people that talk only through some cha"&amp;"nnels.")</f>
        <v>And then another team uses in a 13 deploys to environment that the first team cannot get to because it's a production environment that the coder will not get access to it. So in real life, you have different teams of people that talk only through some channels.</v>
      </c>
      <c r="E140" s="24" t="str">
        <f>IFERROR(__xludf.DUMMYFUNCTION("""COMPUTED_VALUE"""),"Show the operational constraints to students like coder will not get access to production environment.")</f>
        <v>Show the operational constraints to students like coder will not get access to production environment.</v>
      </c>
      <c r="F140" s="24"/>
      <c r="G140" s="45" t="str">
        <f>if(codigoRDivergenteJuiz = "first",codigoRDivergenteCodigo1,if (codigoRDivergenteJuiz = "second",codigoRDivergenteCodigo2, if (codigoRDivergenteCodigo1 = "", codigoRDivergenteCodigo2, codigoRDivergenteCodigo1)))</f>
        <v>show operational contrains like coder not get access production environment</v>
      </c>
      <c r="H140" s="45" t="str">
        <f>if(codigoRDivergenteJuiz = "first",codigoRDivergenteTema1,if (codigoRDivergenteJuiz = "second",codigoRDivergenteTema2, if (codigoRDivergenteCodigo1 = "", codigoRDivergenteTema2, codigoRDivergenteTema1)))</f>
        <v>strategies in course execution</v>
      </c>
    </row>
    <row r="141">
      <c r="A141" s="44">
        <f>IFERROR(__xludf.DUMMYFUNCTION("""COMPUTED_VALUE"""),153.0)</f>
        <v>153</v>
      </c>
      <c r="B141" s="44" t="str">
        <f>IFERROR(__xludf.DUMMYFUNCTION("""COMPUTED_VALUE"""),"R1 / R2")</f>
        <v>R1 / R2</v>
      </c>
      <c r="C141" s="44" t="str">
        <f>IFERROR(__xludf.DUMMYFUNCTION("""COMPUTED_VALUE"""),"recommendation")</f>
        <v>recommendation</v>
      </c>
      <c r="D141" s="24" t="str">
        <f>IFERROR(__xludf.DUMMYFUNCTION("""COMPUTED_VALUE"""),"And then as we go into more concept, like what is Jenkins and what is Artifactory and what is Docker, then we can go back on those things.")</f>
        <v>And then as we go into more concept, like what is Jenkins and what is Artifactory and what is Docker, then we can go back on those things.</v>
      </c>
      <c r="E141" s="24" t="str">
        <f>IFERROR(__xludf.DUMMYFUNCTION("""COMPUTED_VALUE"""),"Study the tools more when you go into the concepts. For example, deep Docker when you teach containers.")</f>
        <v>Study the tools more when you go into the concepts. For example, deep Docker when you teach containers.</v>
      </c>
      <c r="F141" s="24"/>
      <c r="G141" s="45" t="str">
        <f>if(codigoRDivergenteJuiz = "first",codigoRDivergenteCodigo1,if (codigoRDivergenteJuiz = "second",codigoRDivergenteCodigo2, if (codigoRDivergenteCodigo1 = "", codigoRDivergenteCodigo2, codigoRDivergenteCodigo1)))</f>
        <v>focus more on concepts than tools</v>
      </c>
      <c r="H141" s="45" t="str">
        <f>if(codigoRDivergenteJuiz = "first",codigoRDivergenteTema1,if (codigoRDivergenteJuiz = "second",codigoRDivergenteTema2, if (codigoRDivergenteCodigo1 = "", codigoRDivergenteTema2, codigoRDivergenteTema1)))</f>
        <v>strategies in course execution</v>
      </c>
    </row>
    <row r="142">
      <c r="A142" s="44">
        <f>IFERROR(__xludf.DUMMYFUNCTION("""COMPUTED_VALUE"""),154.0)</f>
        <v>154</v>
      </c>
      <c r="B142" s="44" t="str">
        <f>IFERROR(__xludf.DUMMYFUNCTION("""COMPUTED_VALUE"""),"R1 / R3")</f>
        <v>R1 / R3</v>
      </c>
      <c r="C142" s="44" t="str">
        <f>IFERROR(__xludf.DUMMYFUNCTION("""COMPUTED_VALUE"""),"recommendation")</f>
        <v>recommendation</v>
      </c>
      <c r="D142" s="24" t="str">
        <f>IFERROR(__xludf.DUMMYFUNCTION("""COMPUTED_VALUE"""),"what helps is to build something that is portable and something that can be broken down into several pieces where one student runs one bit and then another students runs the rest. It's also good because it forces them to work as a group.")</f>
        <v>what helps is to build something that is portable and something that can be broken down into several pieces where one student runs one bit and then another students runs the rest. It's also good because it forces them to work as a group.</v>
      </c>
      <c r="E142" s="24" t="str">
        <f>IFERROR(__xludf.DUMMYFUNCTION("""COMPUTED_VALUE"""),"Build something that is portable and something that can be broken down into several pieces where one student runs one bit and then another students runs the rest.")</f>
        <v>Build something that is portable and something that can be broken down into several pieces where one student runs one bit and then another students runs the rest.</v>
      </c>
      <c r="F142" s="24"/>
      <c r="G142" s="45" t="str">
        <f>if(codigoRDivergenteJuiz = "first",codigoRDivergenteCodigo1,if (codigoRDivergenteJuiz = "second",codigoRDivergenteCodigo2, if (codigoRDivergenteCodigo1 = "", codigoRDivergenteCodigo2, codigoRDivergenteCodigo1)))</f>
        <v>project execution composed of several pieces in various student environments</v>
      </c>
      <c r="H142" s="45" t="str">
        <f>if(codigoRDivergenteJuiz = "first",codigoRDivergenteTema1,if (codigoRDivergenteJuiz = "second",codigoRDivergenteTema2, if (codigoRDivergenteCodigo1 = "", codigoRDivergenteTema2, codigoRDivergenteTema1)))</f>
        <v>environment setup</v>
      </c>
    </row>
    <row r="143">
      <c r="A143" s="44">
        <f>IFERROR(__xludf.DUMMYFUNCTION("""COMPUTED_VALUE"""),155.0)</f>
        <v>155</v>
      </c>
      <c r="B143" s="44" t="str">
        <f>IFERROR(__xludf.DUMMYFUNCTION("""COMPUTED_VALUE"""),"R2 / R3")</f>
        <v>R2 / R3</v>
      </c>
      <c r="C143" s="44" t="str">
        <f>IFERROR(__xludf.DUMMYFUNCTION("""COMPUTED_VALUE"""),"recommendation")</f>
        <v>recommendation</v>
      </c>
      <c r="D143" s="24" t="str">
        <f>IFERROR(__xludf.DUMMYFUNCTION("""COMPUTED_VALUE"""),"In this year, if you do that, it's too early and it's going to be too hard for you as a teacher to, to know what's going on. So by forcing the technology stack and telling them.
I mean, they're free to do what they want from a functional standpoint in th"&amp;"e project.
But from a tools and technology, we force just on them to avoid too many variation between the groups.
We use a very specific language. This is to just make it easy. I mean, sometimes we give it a bit too flexible. So right now we use a Java "&amp;"and Javascript because we are targeting web application. But, uh, when we students are implementing, uh, new features, so we give them the flexibility. We say, okay, parents, if you want to implement in Python, you can do it as long as you can wrap it in,"&amp;" uh, integrated in the new code.
 We give some kind of rough summary of what the application is supposed to do.")</f>
        <v>In this year, if you do that, it's too early and it's going to be too hard for you as a teacher to, to know what's going on. So by forcing the technology stack and telling them.
I mean, they're free to do what they want from a functional standpoint in the project.
But from a tools and technology, we force just on them to avoid too many variation between the groups.
We use a very specific language. This is to just make it easy. I mean, sometimes we give it a bit too flexible. So right now we use a Java and Javascript because we are targeting web application. But, uh, when we students are implementing, uh, new features, so we give them the flexibility. We say, okay, parents, if you want to implement in Python, you can do it as long as you can wrap it in, uh, integrated in the new code.
 We give some kind of rough summary of what the application is supposed to do.</v>
      </c>
      <c r="E143" s="24" t="str">
        <f>IFERROR(__xludf.DUMMYFUNCTION("""COMPUTED_VALUE"""),"Force students to use technology stack used on course.
It is necessary to give freedom to student develop their functional solution.
We force tools and tecnology and alert them to avoid too many variation between the groups.
It is important to give fle"&amp;"xibility to students to develop their solution although some things are determined.
Give students a rough summary of what their application are supposed to do.")</f>
        <v>Force students to use technology stack used on course.
It is necessary to give freedom to student develop their functional solution.
We force tools and tecnology and alert them to avoid too many variation between the groups.
It is important to give flexibility to students to develop their solution although some things are determined.
Give students a rough summary of what their application are supposed to do.</v>
      </c>
      <c r="F143" s="24" t="str">
        <f>IFERROR(__xludf.DUMMYFUNCTION("""COMPUTED_VALUE"""),"Force students to use technology stack used on course.")</f>
        <v>Force students to use technology stack used on course.</v>
      </c>
      <c r="G143" s="45" t="str">
        <f>if(codigoRDivergenteJuiz = "first",codigoRDivergenteCodigo1,if (codigoRDivergenteJuiz = "second",codigoRDivergenteCodigo2, if (codigoRDivergenteCodigo1 = "", codigoRDivergenteCodigo2, codigoRDivergenteCodigo1)))</f>
        <v>forced technology stack</v>
      </c>
      <c r="H143" s="45" t="str">
        <f>if(codigoRDivergenteJuiz = "first",codigoRDivergenteTema1,if (codigoRDivergenteJuiz = "second",codigoRDivergenteTema2, if (codigoRDivergenteCodigo1 = "", codigoRDivergenteTema2, codigoRDivergenteTema1)))</f>
        <v>tool / technology</v>
      </c>
    </row>
    <row r="144">
      <c r="A144" s="44">
        <f>IFERROR(__xludf.DUMMYFUNCTION("""COMPUTED_VALUE"""),156.0)</f>
        <v>156</v>
      </c>
      <c r="B144" s="44" t="str">
        <f>IFERROR(__xludf.DUMMYFUNCTION("""COMPUTED_VALUE"""),"R1 / R2")</f>
        <v>R1 / R2</v>
      </c>
      <c r="C144" s="44" t="str">
        <f>IFERROR(__xludf.DUMMYFUNCTION("""COMPUTED_VALUE"""),"recommendation")</f>
        <v>recommendation</v>
      </c>
      <c r="D144" s="24" t="str">
        <f>IFERROR(__xludf.DUMMYFUNCTION("""COMPUTED_VALUE"""),"Go gradually. Um, so tha t,that was part of my strategy. The other thing is I've built a few, what I called a, um, whiteboard free session. So I go something like every week we have half a day, one hour of, uh, formal teaching. And then two hours exercise"&amp;" and we do that for like three weeks in a row. [...] So I do like three classrooms, one free session inspired by what they fail on and I continue.
")</f>
        <v>Go gradually. Um, so tha t,that was part of my strategy. The other thing is I've built a few, what I called a, um, whiteboard free session. So I go something like every week we have half a day, one hour of, uh, formal teaching. And then two hours exercise and we do that for like three weeks in a row. [...] So I do like three classrooms, one free session inspired by what they fail on and I continue.
</v>
      </c>
      <c r="E144" s="24" t="str">
        <f>IFERROR(__xludf.DUMMYFUNCTION("""COMPUTED_VALUE"""),"Build whiteboard free sessions inspired by what students have failed and the two hours exercise.")</f>
        <v>Build whiteboard free sessions inspired by what students have failed and the two hours exercise.</v>
      </c>
      <c r="F144" s="24"/>
      <c r="G144" s="45" t="str">
        <f>if(codigoRDivergenteJuiz = "first",codigoRDivergenteCodigo1,if (codigoRDivergenteJuiz = "second",codigoRDivergenteCodigo2, if (codigoRDivergenteCodigo1 = "", codigoRDivergenteCodigo2, codigoRDivergenteCodigo1)))</f>
        <v>free sessions about student problems</v>
      </c>
      <c r="H144" s="45" t="str">
        <f>if(codigoRDivergenteJuiz = "first",codigoRDivergenteTema1,if (codigoRDivergenteJuiz = "second",codigoRDivergenteTema2, if (codigoRDivergenteCodigo1 = "", codigoRDivergenteTema2, codigoRDivergenteTema1)))</f>
        <v>strategies in course execution</v>
      </c>
    </row>
    <row r="145">
      <c r="A145" s="44">
        <f>IFERROR(__xludf.DUMMYFUNCTION("""COMPUTED_VALUE"""),157.0)</f>
        <v>157</v>
      </c>
      <c r="B145" s="44" t="str">
        <f>IFERROR(__xludf.DUMMYFUNCTION("""COMPUTED_VALUE"""),"R1 / R3")</f>
        <v>R1 / R3</v>
      </c>
      <c r="C145" s="44" t="str">
        <f>IFERROR(__xludf.DUMMYFUNCTION("""COMPUTED_VALUE"""),"recommendation")</f>
        <v>recommendation</v>
      </c>
      <c r="D145" s="24" t="str">
        <f>IFERROR(__xludf.DUMMYFUNCTION("""COMPUTED_VALUE"""),"We've done live presentation, where they have something that 20 minutes to describe the architecture, to describe their build strategy, that test strategy and demonstrate it on the screen. Um, and that is evaluated by a jury of one representative from the"&amp;" software architecture class and one representative from the DevOps class.
Students have to choose some topic and say, okay, we want to do a presentation on this topic. And that topic can be anything related to DevOps.
Everyone who wanted to present a t"&amp;"ool or to do a demo or anything else they could give, uh, get some feedback from other students.")</f>
        <v>We've done live presentation, where they have something that 20 minutes to describe the architecture, to describe their build strategy, that test strategy and demonstrate it on the screen. Um, and that is evaluated by a jury of one representative from the software architecture class and one representative from the DevOps class.
Students have to choose some topic and say, okay, we want to do a presentation on this topic. And that topic can be anything related to DevOps.
Everyone who wanted to present a tool or to do a demo or anything else they could give, uh, get some feedback from other students.</v>
      </c>
      <c r="E145" s="24" t="str">
        <f>IFERROR(__xludf.DUMMYFUNCTION("""COMPUTED_VALUE"""),"The students have something that 20 minutes to describe the architecture of the project, to describe their build strategy, that test strategy and demonstrate it on the screen. That is evaluated by a jury of one representative from the software architectur"&amp;"e class and one representative from the DevOps class.
Make students prepare a presentation about topics related to DevOps.
Students can present a tool or do a demo to get some feedback from others during the classes.")</f>
        <v>The students have something that 20 minutes to describe the architecture of the project, to describe their build strategy, that test strategy and demonstrate it on the screen. That is evaluated by a jury of one representative from the software architecture class and one representative from the DevOps class.
Make students prepare a presentation about topics related to DevOps.
Students can present a tool or do a demo to get some feedback from others during the classes.</v>
      </c>
      <c r="F145" s="24" t="str">
        <f>IFERROR(__xludf.DUMMYFUNCTION("""COMPUTED_VALUE"""),"Make students prepare a presentation about topics related to DevOps.")</f>
        <v>Make students prepare a presentation about topics related to DevOps.</v>
      </c>
      <c r="G145" s="45" t="str">
        <f>if(codigoRDivergenteJuiz = "first",codigoRDivergenteCodigo1,if (codigoRDivergenteJuiz = "second",codigoRDivergenteCodigo2, if (codigoRDivergenteCodigo1 = "", codigoRDivergenteCodigo2, codigoRDivergenteCodigo1)))</f>
        <v>presentation of some DevOps topics classes by students</v>
      </c>
      <c r="H145" s="45" t="str">
        <f>if(codigoRDivergenteJuiz = "first",codigoRDivergenteTema1,if (codigoRDivergenteJuiz = "second",codigoRDivergenteTema2, if (codigoRDivergenteCodigo1 = "", codigoRDivergenteTema2, codigoRDivergenteTema1)))</f>
        <v>strategies in course execution</v>
      </c>
    </row>
    <row r="146">
      <c r="A146" s="44">
        <f>IFERROR(__xludf.DUMMYFUNCTION("""COMPUTED_VALUE"""),158.0)</f>
        <v>158</v>
      </c>
      <c r="B146" s="44" t="str">
        <f>IFERROR(__xludf.DUMMYFUNCTION("""COMPUTED_VALUE"""),"R2 / R3")</f>
        <v>R2 / R3</v>
      </c>
      <c r="C146" s="44" t="str">
        <f>IFERROR(__xludf.DUMMYFUNCTION("""COMPUTED_VALUE"""),"recommendation")</f>
        <v>recommendation</v>
      </c>
      <c r="D146" s="24" t="str">
        <f>IFERROR(__xludf.DUMMYFUNCTION("""COMPUTED_VALUE""")," we also do two evaluations, one in the middle and one at the end. So the one in the middle, we call it MVP evaluation. And we tell them, at this point, you should have reached an MVP, which is basically a walking skeleton for your code. We don't care if "&amp;"when you call the API, the only code of the API is return true, or which are 12, but we care that you have the components in place. You can build them independently and they can talk to each other. Right? So at this, we validate that your componentization"&amp;" and your architecture is good even before you start building algorithms and the functional code. Um, so we do that and that's, again, that's to catch early, um, architecture mistakes.
")</f>
        <v> we also do two evaluations, one in the middle and one at the end. So the one in the middle, we call it MVP evaluation. And we tell them, at this point, you should have reached an MVP, which is basically a walking skeleton for your code. We don't care if when you call the API, the only code of the API is return true, or which are 12, but we care that you have the components in place. You can build them independently and they can talk to each other. Right? So at this, we validate that your componentization and your architecture is good even before you start building algorithms and the functional code. Um, so we do that and that's, again, that's to catch early, um, architecture mistakes.
</v>
      </c>
      <c r="E146" s="24" t="str">
        <f>IFERROR(__xludf.DUMMYFUNCTION("""COMPUTED_VALUE"""),"Use MVP (Minimum viable product) evaluation to validate components of the project. Make an evaluation in the middle and the final course.")</f>
        <v>Use MVP (Minimum viable product) evaluation to validate components of the project. Make an evaluation in the middle and the final course.</v>
      </c>
      <c r="F146" s="24"/>
      <c r="G146" s="45" t="str">
        <f>if(codigoRDivergenteJuiz = "first",codigoRDivergenteCodigo1,if (codigoRDivergenteJuiz = "second",codigoRDivergenteCodigo2, if (codigoRDivergenteCodigo1 = "", codigoRDivergenteCodigo2, codigoRDivergenteCodigo1)))</f>
        <v>MVP evaluation</v>
      </c>
      <c r="H146" s="45" t="str">
        <f>if(codigoRDivergenteJuiz = "first",codigoRDivergenteTema1,if (codigoRDivergenteJuiz = "second",codigoRDivergenteTema2, if (codigoRDivergenteCodigo1 = "", codigoRDivergenteTema2, codigoRDivergenteTema1)))</f>
        <v>assessment</v>
      </c>
    </row>
    <row r="147">
      <c r="A147" s="44">
        <f>IFERROR(__xludf.DUMMYFUNCTION("""COMPUTED_VALUE"""),159.0)</f>
        <v>159</v>
      </c>
      <c r="B147" s="44" t="str">
        <f>IFERROR(__xludf.DUMMYFUNCTION("""COMPUTED_VALUE"""),"R1 / R2")</f>
        <v>R1 / R2</v>
      </c>
      <c r="C147" s="44" t="str">
        <f>IFERROR(__xludf.DUMMYFUNCTION("""COMPUTED_VALUE"""),"recommendation")</f>
        <v>recommendation</v>
      </c>
      <c r="D147" s="24" t="str">
        <f>IFERROR(__xludf.DUMMYFUNCTION("""COMPUTED_VALUE"""),"we also have a lot of evaluation during the exercise. When group after group, where we, we give them flags if week green, yellow, or red, based on where we think they are, uh, regarding the objectives.")</f>
        <v>we also have a lot of evaluation during the exercise. When group after group, where we, we give them flags if week green, yellow, or red, based on where we think they are, uh, regarding the objectives.</v>
      </c>
      <c r="E147" s="24" t="str">
        <f>IFERROR(__xludf.DUMMYFUNCTION("""COMPUTED_VALUE"""),"Do many evaluations of students project along with the discipline. Use green, yellow or red flags to evaluate the group.")</f>
        <v>Do many evaluations of students project along with the discipline. Use green, yellow or red flags to evaluate the group.</v>
      </c>
      <c r="F147" s="24"/>
      <c r="G147" s="45" t="str">
        <f>if(codigoRDivergenteJuiz = "first",codigoRDivergenteCodigo1,if (codigoRDivergenteJuiz = "second",codigoRDivergenteCodigo2, if (codigoRDivergenteCodigo1 = "", codigoRDivergenteCodigo2, codigoRDivergenteCodigo1)))</f>
        <v>evaluation of project students along  the discipline with color flags</v>
      </c>
      <c r="H147" s="45" t="str">
        <f>if(codigoRDivergenteJuiz = "first",codigoRDivergenteTema1,if (codigoRDivergenteJuiz = "second",codigoRDivergenteTema2, if (codigoRDivergenteCodigo1 = "", codigoRDivergenteTema2, codigoRDivergenteTema1)))</f>
        <v>assessment</v>
      </c>
    </row>
    <row r="148">
      <c r="A148" s="44">
        <f>IFERROR(__xludf.DUMMYFUNCTION("""COMPUTED_VALUE"""),160.0)</f>
        <v>160</v>
      </c>
      <c r="B148" s="44" t="str">
        <f>IFERROR(__xludf.DUMMYFUNCTION("""COMPUTED_VALUE"""),"R1 / R3")</f>
        <v>R1 / R3</v>
      </c>
      <c r="C148" s="44" t="str">
        <f>IFERROR(__xludf.DUMMYFUNCTION("""COMPUTED_VALUE"""),"recommendation")</f>
        <v>recommendation</v>
      </c>
      <c r="D148" s="24" t="str">
        <f>IFERROR(__xludf.DUMMYFUNCTION("""COMPUTED_VALUE"""),"we cannot make assumption on what they know. So we're trying to work without any assumption.
")</f>
        <v>we cannot make assumption on what they know. So we're trying to work without any assumption.
</v>
      </c>
      <c r="E148" s="24" t="str">
        <f>IFERROR(__xludf.DUMMYFUNCTION("""COMPUTED_VALUE"""),"Do not make assumption about the learning level of the students when you have students with different levels.")</f>
        <v>Do not make assumption about the learning level of the students when you have students with different levels.</v>
      </c>
      <c r="F148" s="24"/>
      <c r="G148" s="45" t="str">
        <f>if(codigoRDivergenteJuiz = "first",codigoRDivergenteCodigo1,if (codigoRDivergenteJuiz = "second",codigoRDivergenteCodigo2, if (codigoRDivergenteCodigo1 = "", codigoRDivergenteCodigo2, codigoRDivergenteCodigo1)))</f>
        <v>without assumption about the level of the students</v>
      </c>
      <c r="H148" s="45" t="str">
        <f>if(codigoRDivergenteJuiz = "first",codigoRDivergenteTema1,if (codigoRDivergenteJuiz = "second",codigoRDivergenteTema2, if (codigoRDivergenteCodigo1 = "", codigoRDivergenteTema2, codigoRDivergenteTema1)))</f>
        <v>strategies in course execution</v>
      </c>
    </row>
    <row r="149">
      <c r="A149" s="44">
        <f>IFERROR(__xludf.DUMMYFUNCTION("""COMPUTED_VALUE"""),161.0)</f>
        <v>161</v>
      </c>
      <c r="B149" s="44" t="str">
        <f>IFERROR(__xludf.DUMMYFUNCTION("""COMPUTED_VALUE"""),"R2 / R3")</f>
        <v>R2 / R3</v>
      </c>
      <c r="C149" s="44" t="str">
        <f>IFERROR(__xludf.DUMMYFUNCTION("""COMPUTED_VALUE"""),"recommendation")</f>
        <v>recommendation</v>
      </c>
      <c r="D149" s="24" t="str">
        <f>IFERROR(__xludf.DUMMYFUNCTION("""COMPUTED_VALUE"""),"We show them Kubernetes.
Let's go for something that we have more control on, uh, using for tools like Jenkins and and a stuff like Docker or Kubernetes was kind of good in a way to, uh, support the deployment and the, uh, like the building plus deployme"&amp;"nt stuff.
I want to be able to deploy it with containers. So it can be, um, through Kubernetes, it can be through Docker.")</f>
        <v>We show them Kubernetes.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v>
      </c>
      <c r="E149" s="24" t="str">
        <f>IFERROR(__xludf.DUMMYFUNCTION("""COMPUTED_VALUE"""),"Kubernetes can be chosen as DevOps tool.
Use tools like Kubernetes to have more control on support the deployment.
Uses Kubernetes as container deployment tool adopted by the course.")</f>
        <v>Kubernetes can be chosen as DevOps tool.
Use tools like Kubernetes to have more control on support the deployment.
Uses Kubernetes as container deployment tool adopted by the course.</v>
      </c>
      <c r="F149" s="24" t="str">
        <f>IFERROR(__xludf.DUMMYFUNCTION("""COMPUTED_VALUE"""),"Kubernetes can be chosen as DevOps tool.")</f>
        <v>Kubernetes can be chosen as DevOps tool.</v>
      </c>
      <c r="G149" s="45" t="str">
        <f>if(codigoRDivergenteJuiz = "first",codigoRDivergenteCodigo1,if (codigoRDivergenteJuiz = "second",codigoRDivergenteCodigo2, if (codigoRDivergenteCodigo1 = "", codigoRDivergenteCodigo2, codigoRDivergenteCodigo1)))</f>
        <v>Kubernetes ad DevOps tool</v>
      </c>
      <c r="H149" s="45" t="str">
        <f>if(codigoRDivergenteJuiz = "first",codigoRDivergenteTema1,if (codigoRDivergenteJuiz = "second",codigoRDivergenteTema2, if (codigoRDivergenteCodigo1 = "", codigoRDivergenteTema2, codigoRDivergenteTema1)))</f>
        <v>tool / technology</v>
      </c>
    </row>
    <row r="150">
      <c r="A150" s="44">
        <f>IFERROR(__xludf.DUMMYFUNCTION("""COMPUTED_VALUE"""),162.0)</f>
        <v>162</v>
      </c>
      <c r="B150" s="44" t="str">
        <f>IFERROR(__xludf.DUMMYFUNCTION("""COMPUTED_VALUE"""),"R1 / R2")</f>
        <v>R1 / R2</v>
      </c>
      <c r="C150" s="44" t="str">
        <f>IFERROR(__xludf.DUMMYFUNCTION("""COMPUTED_VALUE"""),"recommendation")</f>
        <v>recommendation</v>
      </c>
      <c r="D150" s="24" t="str">
        <f>IFERROR(__xludf.DUMMYFUNCTION("""COMPUTED_VALUE"""),"I covered it is a few lectures, like on, on DevOps and, um, which look at DevOps from a kind of generic perspective, like introducing the concept of DevOps and the challenges related to DevOps and, and, and so on. And then introducing them some of the bas"&amp;"ic tools, like for instance, so using things like continuous integration tools, like Jenkins SIM swollen. And, uh, so I tried to introduce, uh, between maybe spending about a couple of weeks doing that, like the course was about 12 weeks. And so in Zen Ap"&amp;"p there, I focus more on specialized issues. So we spent some time on performance and scalability testing and things like the good testing and so on.")</f>
        <v>I covered it is a few lectures, like on, on DevOps and, um, which look at DevOps from a kind of generic perspective, like introducing the concept of DevOps and the challenges related to DevOps and, and, and so on. And then introducing them some of the basic tools, like for instance, so using things like continuous integration tools, like Jenkins SIM swollen. And, uh, so I tried to introduce, uh, between maybe spending about a couple of weeks doing that, like the course was about 12 weeks. And so in Zen App there, I focus more on specialized issues. So we spent some time on performance and scalability testing and things like the good testing and so on.</v>
      </c>
      <c r="E150" s="24" t="str">
        <f>IFERROR(__xludf.DUMMYFUNCTION("""COMPUTED_VALUE"""),"Start with a generic perspective of DevOps, basic concepts, and after a few weeks start to focus on specialized issues.")</f>
        <v>Start with a generic perspective of DevOps, basic concepts, and after a few weeks start to focus on specialized issues.</v>
      </c>
      <c r="F150" s="24"/>
      <c r="G150" s="45" t="str">
        <f>if(codigoRDivergenteJuiz = "first",codigoRDivergenteCodigo1,if (codigoRDivergenteJuiz = "second",codigoRDivergenteCodigo2, if (codigoRDivergenteCodigo1 = "", codigoRDivergenteCodigo2, codigoRDivergenteCodigo1)))</f>
        <v>incremental teaching from DevOps concepts</v>
      </c>
      <c r="H150" s="45" t="str">
        <f>if(codigoRDivergenteJuiz = "first",codigoRDivergenteTema1,if (codigoRDivergenteJuiz = "second",codigoRDivergenteTema2, if (codigoRDivergenteCodigo1 = "", codigoRDivergenteTema2, codigoRDivergenteTema1)))</f>
        <v>strategies in course execution</v>
      </c>
    </row>
    <row r="151">
      <c r="A151" s="44">
        <f>IFERROR(__xludf.DUMMYFUNCTION("""COMPUTED_VALUE"""),163.0)</f>
        <v>163</v>
      </c>
      <c r="B151" s="44" t="str">
        <f>IFERROR(__xludf.DUMMYFUNCTION("""COMPUTED_VALUE"""),"R1 / R3")</f>
        <v>R1 / R3</v>
      </c>
      <c r="C151" s="44" t="str">
        <f>IFERROR(__xludf.DUMMYFUNCTION("""COMPUTED_VALUE"""),"recommendation")</f>
        <v>recommendation</v>
      </c>
      <c r="D151" s="24" t="str">
        <f>IFERROR(__xludf.DUMMYFUNCTION("""COMPUTED_VALUE"""),"what I do is that after introducing a concept and so on, I started really looking at very specific issues ... so in the lab we students learn, uh, in our, to be able to, for instance, to create a pipeline currency, DevOps pipeline, and, and, um, very, uh,"&amp;" set up A B tests, create test cases and do automated test, uh, test automation.")</f>
        <v>what I do is that after introducing a concept and so on, I started really looking at very specific issues ... so in the lab we students learn, uh, in our, to be able to, for instance, to create a pipeline currency, DevOps pipeline, and, and, um, very, uh, set up A B tests, create test cases and do automated test, uh, test automation.</v>
      </c>
      <c r="E151" s="24" t="str">
        <f>IFERROR(__xludf.DUMMYFUNCTION("""COMPUTED_VALUE"""),"Introduce a concept and do labs with creating DevOps pipeline, setup A/B tests, and automated tests.")</f>
        <v>Introduce a concept and do labs with creating DevOps pipeline, setup A/B tests, and automated tests.</v>
      </c>
      <c r="F151" s="24"/>
      <c r="G151" s="45" t="str">
        <f>if(codigoRDivergenteJuiz = "first",codigoRDivergenteCodigo1,if (codigoRDivergenteJuiz = "second",codigoRDivergenteCodigo2, if (codigoRDivergenteCodigo1 = "", codigoRDivergenteCodigo2, codigoRDivergenteCodigo1)))</f>
        <v>introduction of theory and realization of labs</v>
      </c>
      <c r="H151" s="45" t="str">
        <f>if(codigoRDivergenteJuiz = "first",codigoRDivergenteTema1,if (codigoRDivergenteJuiz = "second",codigoRDivergenteTema2, if (codigoRDivergenteCodigo1 = "", codigoRDivergenteTema2, codigoRDivergenteTema1)))</f>
        <v>strategies in course execution</v>
      </c>
    </row>
    <row r="152">
      <c r="A152" s="44">
        <f>IFERROR(__xludf.DUMMYFUNCTION("""COMPUTED_VALUE"""),164.0)</f>
        <v>164</v>
      </c>
      <c r="B152" s="44" t="str">
        <f>IFERROR(__xludf.DUMMYFUNCTION("""COMPUTED_VALUE"""),"R2 / R3")</f>
        <v>R2 / R3</v>
      </c>
      <c r="C152" s="44" t="str">
        <f>IFERROR(__xludf.DUMMYFUNCTION("""COMPUTED_VALUE"""),"recommendation")</f>
        <v>recommendation</v>
      </c>
      <c r="D152" s="24" t="str">
        <f>IFERROR(__xludf.DUMMYFUNCTION("""COMPUTED_VALUE"""),"The students have to do in the projects is to start by coming up with the requirements of the obvious application, and then start setting up their own environment and provide some additional functionalities that we want to implement.
 So they have set up"&amp;" their environment.
The second one is to, we give them an application. It's an actually an HVAC humidity, air conditioning and ventilation, um, and they don't develop the application, but they have to build the pipeline to support this existing applicati"&amp;"on.")</f>
        <v>The students have to do in the projects is to start by coming up with the requirements of the obvious application, and then start setting up their own environment and provide some additional functionalities that we want to implement.
 So they have set up their environment.
The second one is to, we give them an application. It's an actually an HVAC humidity, air conditioning and ventilation, um, and they don't develop the application, but they have to build the pipeline to support this existing application.</v>
      </c>
      <c r="E152" s="24" t="str">
        <f>IFERROR(__xludf.DUMMYFUNCTION("""COMPUTED_VALUE"""),"Students start setting up their own DevOps environment and provide additional feature using simple application in the project.
Let students setup their environment for themselves.
Give students an application that they have to build the pipeline to supp"&amp;"ort it.")</f>
        <v>Students start setting up their own DevOps environment and provide additional feature using simple application in the project.
Let students setup their environment for themselves.
Give students an application that they have to build the pipeline to support it.</v>
      </c>
      <c r="F152" s="24" t="str">
        <f>IFERROR(__xludf.DUMMYFUNCTION("""COMPUTED_VALUE"""),"Students setting up their own DevOps environment.")</f>
        <v>Students setting up their own DevOps environment.</v>
      </c>
      <c r="G152" s="45" t="str">
        <f>if(codigoRDivergenteJuiz = "first",codigoRDivergenteCodigo1,if (codigoRDivergenteJuiz = "second",codigoRDivergenteCodigo2, if (codigoRDivergenteCodigo1 = "", codigoRDivergenteCodigo2, codigoRDivergenteCodigo1)))</f>
        <v>students set up their DevOps environment</v>
      </c>
      <c r="H152" s="45" t="str">
        <f>if(codigoRDivergenteJuiz = "first",codigoRDivergenteTema1,if (codigoRDivergenteJuiz = "second",codigoRDivergenteTema2, if (codigoRDivergenteCodigo1 = "", codigoRDivergenteTema2, codigoRDivergenteTema1)))</f>
        <v>environment setup</v>
      </c>
    </row>
    <row r="153">
      <c r="A153" s="44">
        <f>IFERROR(__xludf.DUMMYFUNCTION("""COMPUTED_VALUE"""),165.0)</f>
        <v>165</v>
      </c>
      <c r="B153" s="44" t="str">
        <f>IFERROR(__xludf.DUMMYFUNCTION("""COMPUTED_VALUE"""),"R1 / R2")</f>
        <v>R1 / R2</v>
      </c>
      <c r="C153" s="44" t="str">
        <f>IFERROR(__xludf.DUMMYFUNCTION("""COMPUTED_VALUE"""),"recommendation")</f>
        <v>recommendation</v>
      </c>
      <c r="D153" s="24" t="str">
        <f>IFERROR(__xludf.DUMMYFUNCTION("""COMPUTED_VALUE"""),"Also making the project interesting is important because it, you can, it's very easy when you are teaching to just take a very small project, which is not very, uh, challenging in all with students.
")</f>
        <v>Also making the project interesting is important because it, you can, it's very easy when you are teaching to just take a very small project, which is not very, uh, challenging in all with students.
</v>
      </c>
      <c r="E153" s="24" t="str">
        <f>IFERROR(__xludf.DUMMYFUNCTION("""COMPUTED_VALUE"""),"The project of the class should not be very small and must be challenging.")</f>
        <v>The project of the class should not be very small and must be challenging.</v>
      </c>
      <c r="F153" s="24"/>
      <c r="G153" s="45" t="str">
        <f>if(codigoRDivergenteJuiz = "first",codigoRDivergenteCodigo1,if (codigoRDivergenteJuiz = "second",codigoRDivergenteCodigo2, if (codigoRDivergenteCodigo1 = "", codigoRDivergenteCodigo2, codigoRDivergenteCodigo1)))</f>
        <v>class project not too small but challenging</v>
      </c>
      <c r="H153" s="45" t="str">
        <f>if(codigoRDivergenteJuiz = "first",codigoRDivergenteTema1,if (codigoRDivergenteJuiz = "second",codigoRDivergenteTema2, if (codigoRDivergenteCodigo1 = "", codigoRDivergenteTema2, codigoRDivergenteTema1)))</f>
        <v>class preparation</v>
      </c>
    </row>
    <row r="154">
      <c r="A154" s="44">
        <f>IFERROR(__xludf.DUMMYFUNCTION("""COMPUTED_VALUE"""),166.0)</f>
        <v>166</v>
      </c>
      <c r="B154" s="44" t="str">
        <f>IFERROR(__xludf.DUMMYFUNCTION("""COMPUTED_VALUE"""),"R1 / R3")</f>
        <v>R1 / R3</v>
      </c>
      <c r="C154" s="44" t="str">
        <f>IFERROR(__xludf.DUMMYFUNCTION("""COMPUTED_VALUE"""),"recommendation")</f>
        <v>recommendation</v>
      </c>
      <c r="D154" s="24" t="str">
        <f>IFERROR(__xludf.DUMMYFUNCTION("""COMPUTED_VALUE"""),"for exam can be to use an open source application that we can use")</f>
        <v>for exam can be to use an open source application that we can use</v>
      </c>
      <c r="E154" s="24" t="str">
        <f>IFERROR(__xludf.DUMMYFUNCTION("""COMPUTED_VALUE"""),"For exam can be to use an open source application that we can use.")</f>
        <v>For exam can be to use an open source application that we can use.</v>
      </c>
      <c r="F154" s="24"/>
      <c r="G154" s="45" t="str">
        <f>if(codigoRDivergenteJuiz = "first",codigoRDivergenteCodigo1,if (codigoRDivergenteJuiz = "second",codigoRDivergenteCodigo2, if (codigoRDivergenteCodigo1 = "", codigoRDivergenteCodigo2, codigoRDivergenteCodigo1)))</f>
        <v>realization of exam with open source application</v>
      </c>
      <c r="H154" s="45" t="str">
        <f>if(codigoRDivergenteJuiz = "first",codigoRDivergenteTema1,if (codigoRDivergenteJuiz = "second",codigoRDivergenteTema2, if (codigoRDivergenteCodigo1 = "", codigoRDivergenteTema2, codigoRDivergenteTema1)))</f>
        <v>assessment</v>
      </c>
    </row>
    <row r="155">
      <c r="A155" s="44">
        <f>IFERROR(__xludf.DUMMYFUNCTION("""COMPUTED_VALUE"""),167.0)</f>
        <v>167</v>
      </c>
      <c r="B155" s="44" t="str">
        <f>IFERROR(__xludf.DUMMYFUNCTION("""COMPUTED_VALUE"""),"R2 / R3")</f>
        <v>R2 / R3</v>
      </c>
      <c r="C155" s="44" t="str">
        <f>IFERROR(__xludf.DUMMYFUNCTION("""COMPUTED_VALUE"""),"recommendation")</f>
        <v>recommendation</v>
      </c>
      <c r="D155" s="24" t="str">
        <f>IFERROR(__xludf.DUMMYFUNCTION("""COMPUTED_VALUE"""),"we use also SonarQube to help us on the automation")</f>
        <v>we use also SonarQube to help us on the automation</v>
      </c>
      <c r="E155" s="24" t="str">
        <f>IFERROR(__xludf.DUMMYFUNCTION("""COMPUTED_VALUE"""),"Use SonarQube to help on the automation.")</f>
        <v>Use SonarQube to help on the automation.</v>
      </c>
      <c r="F155" s="24"/>
      <c r="G155" s="45" t="str">
        <f>if(codigoRDivergenteJuiz = "first",codigoRDivergenteCodigo1,if (codigoRDivergenteJuiz = "second",codigoRDivergenteCodigo2, if (codigoRDivergenteCodigo1 = "", codigoRDivergenteCodigo2, codigoRDivergenteCodigo1)))</f>
        <v>SonarQube on automation</v>
      </c>
      <c r="H155" s="45" t="str">
        <f>if(codigoRDivergenteJuiz = "first",codigoRDivergenteTema1,if (codigoRDivergenteJuiz = "second",codigoRDivergenteTema2, if (codigoRDivergenteCodigo1 = "", codigoRDivergenteTema2, codigoRDivergenteTema1)))</f>
        <v>tool / technology</v>
      </c>
    </row>
    <row r="156">
      <c r="A156" s="44">
        <f>IFERROR(__xludf.DUMMYFUNCTION("""COMPUTED_VALUE"""),168.0)</f>
        <v>168</v>
      </c>
      <c r="B156" s="44" t="str">
        <f>IFERROR(__xludf.DUMMYFUNCTION("""COMPUTED_VALUE"""),"R1 / R2")</f>
        <v>R1 / R2</v>
      </c>
      <c r="C156" s="44" t="str">
        <f>IFERROR(__xludf.DUMMYFUNCTION("""COMPUTED_VALUE"""),"recommendation")</f>
        <v>recommendation</v>
      </c>
      <c r="D156" s="24" t="str">
        <f>IFERROR(__xludf.DUMMYFUNCTION("""COMPUTED_VALUE"""),"for performance testing we use JMeter")</f>
        <v>for performance testing we use JMeter</v>
      </c>
      <c r="E156" s="24" t="str">
        <f>IFERROR(__xludf.DUMMYFUNCTION("""COMPUTED_VALUE"""),"Use JMeter for performance testing.")</f>
        <v>Use JMeter for performance testing.</v>
      </c>
      <c r="F156" s="24"/>
      <c r="G156" s="45" t="str">
        <f>if(codigoRDivergenteJuiz = "first",codigoRDivergenteCodigo1,if (codigoRDivergenteJuiz = "second",codigoRDivergenteCodigo2, if (codigoRDivergenteCodigo1 = "", codigoRDivergenteCodigo2, codigoRDivergenteCodigo1)))</f>
        <v>jmeter as a perfomance testing tool</v>
      </c>
      <c r="H156" s="45" t="str">
        <f>if(codigoRDivergenteJuiz = "first",codigoRDivergenteTema1,if (codigoRDivergenteJuiz = "second",codigoRDivergenteTema2, if (codigoRDivergenteCodigo1 = "", codigoRDivergenteTema2, codigoRDivergenteTema1)))</f>
        <v>tool / technology</v>
      </c>
    </row>
    <row r="157">
      <c r="A157" s="44">
        <f>IFERROR(__xludf.DUMMYFUNCTION("""COMPUTED_VALUE"""),169.0)</f>
        <v>169</v>
      </c>
      <c r="B157" s="44" t="str">
        <f>IFERROR(__xludf.DUMMYFUNCTION("""COMPUTED_VALUE"""),"R1 / R3")</f>
        <v>R1 / R3</v>
      </c>
      <c r="C157" s="44" t="str">
        <f>IFERROR(__xludf.DUMMYFUNCTION("""COMPUTED_VALUE"""),"recommendation")</f>
        <v>recommendation</v>
      </c>
      <c r="D157" s="24" t="str">
        <f>IFERROR(__xludf.DUMMYFUNCTION("""COMPUTED_VALUE"""),"we also security platform like, uh, Zap")</f>
        <v>we also security platform like, uh, Zap</v>
      </c>
      <c r="E157" s="24" t="str">
        <f>IFERROR(__xludf.DUMMYFUNCTION("""COMPUTED_VALUE"""),"Use OWASP Zap as security platform.")</f>
        <v>Use OWASP Zap as security platform.</v>
      </c>
      <c r="F157" s="24"/>
      <c r="G157" s="45" t="str">
        <f>if(codigoRDivergenteJuiz = "first",codigoRDivergenteCodigo1,if (codigoRDivergenteJuiz = "second",codigoRDivergenteCodigo2, if (codigoRDivergenteCodigo1 = "", codigoRDivergenteCodigo2, codigoRDivergenteCodigo1)))</f>
        <v>owasp zap as a security platform</v>
      </c>
      <c r="H157" s="45" t="str">
        <f>if(codigoRDivergenteJuiz = "first",codigoRDivergenteTema1,if (codigoRDivergenteJuiz = "second",codigoRDivergenteTema2, if (codigoRDivergenteCodigo1 = "", codigoRDivergenteTema2, codigoRDivergenteTema1)))</f>
        <v>tool / technology</v>
      </c>
    </row>
    <row r="158">
      <c r="A158" s="44">
        <f>IFERROR(__xludf.DUMMYFUNCTION("""COMPUTED_VALUE"""),170.0)</f>
        <v>170</v>
      </c>
      <c r="B158" s="44" t="str">
        <f>IFERROR(__xludf.DUMMYFUNCTION("""COMPUTED_VALUE"""),"R2 / R3")</f>
        <v>R2 / R3</v>
      </c>
      <c r="C158" s="44" t="str">
        <f>IFERROR(__xludf.DUMMYFUNCTION("""COMPUTED_VALUE"""),"recommendation")</f>
        <v>recommendation</v>
      </c>
      <c r="D158" s="24" t="str">
        <f>IFERROR(__xludf.DUMMYFUNCTION("""COMPUTED_VALUE"""),"So in terms of the tools, I feel better. I think one of the good aspect in DevOps is that there are a lot of tools [...] DevOps tools are available and where a lot of them are free and some of them are conscious of those. So a lot of them are free. And, a"&amp;"nd then, so, so far, I think it has been good.")</f>
        <v>So in terms of the tools, I feel better. I think one of the good aspect in DevOps is that there are a lot of tools [...] DevOps tools are available and where a lot of them are free and some of them are conscious of those. So a lot of them are free. And, and then, so, so far, I think it has been good.</v>
      </c>
      <c r="E158" s="24" t="str">
        <f>IFERROR(__xludf.DUMMYFUNCTION("""COMPUTED_VALUE"""),"There are many free DevOps tools available.")</f>
        <v>There are many free DevOps tools available.</v>
      </c>
      <c r="F158" s="24"/>
      <c r="G158" s="45" t="str">
        <f>if(codigoRDivergenteJuiz = "first",codigoRDivergenteCodigo1,if (codigoRDivergenteJuiz = "second",codigoRDivergenteCodigo2, if (codigoRDivergenteCodigo1 = "", codigoRDivergenteCodigo2, codigoRDivergenteCodigo1)))</f>
        <v>Free DevOps tools avaliable</v>
      </c>
      <c r="H158" s="45" t="str">
        <f>if(codigoRDivergenteJuiz = "first",codigoRDivergenteTema1,if (codigoRDivergenteJuiz = "second",codigoRDivergenteTema2, if (codigoRDivergenteCodigo1 = "", codigoRDivergenteTema2, codigoRDivergenteTema1)))</f>
        <v>tool / technology</v>
      </c>
    </row>
    <row r="159">
      <c r="A159" s="44">
        <f>IFERROR(__xludf.DUMMYFUNCTION("""COMPUTED_VALUE"""),171.0)</f>
        <v>171</v>
      </c>
      <c r="B159" s="44" t="str">
        <f>IFERROR(__xludf.DUMMYFUNCTION("""COMPUTED_VALUE"""),"R1 / R2")</f>
        <v>R1 / R2</v>
      </c>
      <c r="C159" s="44" t="str">
        <f>IFERROR(__xludf.DUMMYFUNCTION("""COMPUTED_VALUE"""),"recommendation")</f>
        <v>recommendation</v>
      </c>
      <c r="D159" s="24" t="str">
        <f>IFERROR(__xludf.DUMMYFUNCTION("""COMPUTED_VALUE"""),"Quite often, what we do is have someone in our team to implement the application.")</f>
        <v>Quite often, what we do is have someone in our team to implement the application.</v>
      </c>
      <c r="E159" s="24" t="str">
        <f>IFERROR(__xludf.DUMMYFUNCTION("""COMPUTED_VALUE"""),"Someone from teacher staff implements the sample application.")</f>
        <v>Someone from teacher staff implements the sample application.</v>
      </c>
      <c r="F159" s="24"/>
      <c r="G159" s="45" t="str">
        <f>if(codigoRDivergenteJuiz = "first",codigoRDivergenteCodigo1,if (codigoRDivergenteJuiz = "second",codigoRDivergenteCodigo2, if (codigoRDivergenteCodigo1 = "", codigoRDivergenteCodigo2, codigoRDivergenteCodigo1)))</f>
        <v>teacher staff responsible for the implementation of the sample application</v>
      </c>
      <c r="H159" s="45" t="str">
        <f>if(codigoRDivergenteJuiz = "first",codigoRDivergenteTema1,if (codigoRDivergenteJuiz = "second",codigoRDivergenteTema2, if (codigoRDivergenteCodigo1 = "", codigoRDivergenteTema2, codigoRDivergenteTema1)))</f>
        <v>class preparation</v>
      </c>
    </row>
    <row r="160">
      <c r="A160" s="44">
        <f>IFERROR(__xludf.DUMMYFUNCTION("""COMPUTED_VALUE"""),172.0)</f>
        <v>172</v>
      </c>
      <c r="B160" s="44" t="str">
        <f>IFERROR(__xludf.DUMMYFUNCTION("""COMPUTED_VALUE"""),"R1 / R3")</f>
        <v>R1 / R3</v>
      </c>
      <c r="C160" s="44" t="str">
        <f>IFERROR(__xludf.DUMMYFUNCTION("""COMPUTED_VALUE"""),"recommendation")</f>
        <v>recommendation</v>
      </c>
      <c r="D160" s="24" t="str">
        <f>IFERROR(__xludf.DUMMYFUNCTION("""COMPUTED_VALUE"""),"So in the course I split, but so about 80% of presentation is just a regular, uh, concepts and so on and about 20% is about concrete applications.
 And so if we can find a way to be able to, to compress the experience or expertise in the practical experi"&amp;"ence and expertise in the context of lectures and so on.")</f>
        <v>So in the course I split, but so about 80% of presentation is just a regular, uh, concepts and so on and about 20% is about concrete applications.
 And so if we can find a way to be able to, to compress the experience or expertise in the practical experience and expertise in the context of lectures and so on.</v>
      </c>
      <c r="E160" s="24" t="str">
        <f>IFERROR(__xludf.DUMMYFUNCTION("""COMPUTED_VALUE"""),"Divide the course into 80% of concepts and 20% of applications.
Conciliate the experience in labs and the context of lectures.")</f>
        <v>Divide the course into 80% of concepts and 20% of applications.
Conciliate the experience in labs and the context of lectures.</v>
      </c>
      <c r="F160" s="24" t="str">
        <f>IFERROR(__xludf.DUMMYFUNCTION("""COMPUTED_VALUE"""),"Divide the course into 80% of concepts and 20% of applications.")</f>
        <v>Divide the course into 80% of concepts and 20% of applications.</v>
      </c>
      <c r="G160" s="45" t="str">
        <f>if(codigoRDivergenteJuiz = "first",codigoRDivergenteCodigo1,if (codigoRDivergenteJuiz = "second",codigoRDivergenteCodigo2, if (codigoRDivergenteCodigo1 = "", codigoRDivergenteCodigo2, codigoRDivergenteCodigo1)))</f>
        <v>teaching centers more on concepts than application</v>
      </c>
      <c r="H160" s="45" t="str">
        <f>if(codigoRDivergenteJuiz = "first",codigoRDivergenteTema1,if (codigoRDivergenteJuiz = "second",codigoRDivergenteTema2, if (codigoRDivergenteCodigo1 = "", codigoRDivergenteTema2, codigoRDivergenteTema1)))</f>
        <v>curriculum</v>
      </c>
    </row>
    <row r="161">
      <c r="A161" s="44">
        <f>IFERROR(__xludf.DUMMYFUNCTION("""COMPUTED_VALUE"""),173.0)</f>
        <v>173</v>
      </c>
      <c r="B161" s="44" t="str">
        <f>IFERROR(__xludf.DUMMYFUNCTION("""COMPUTED_VALUE"""),"R2 / R3")</f>
        <v>R2 / R3</v>
      </c>
      <c r="C161" s="44" t="str">
        <f>IFERROR(__xludf.DUMMYFUNCTION("""COMPUTED_VALUE"""),"recommendation")</f>
        <v>recommendation</v>
      </c>
      <c r="D161" s="24" t="str">
        <f>IFERROR(__xludf.DUMMYFUNCTION("""COMPUTED_VALUE"""),"We presented as a lab project [...] So the students start initially by defining the requirements and then after they start a secondary pipeline, and then they do at least a couple of weeks iterations cycle and develop cycle. And then after they go to do p"&amp;"erformance testing to do a security testing and all those kinds of things, and for each of these deliverables, we submit something, every report. And, and, uh, so that's very easy to map because it's a very practical.")</f>
        <v>We presented as a lab project [...] So the students start initially by defining the requirements and then after they start a secondary pipeline, and then they do at least a couple of weeks iterations cycle and develop cycle. And then after they go to do performance testing to do a security testing and all those kinds of things, and for each of these deliverables, we submit something, every report. And, and, uh, so that's very easy to map because it's a very practical.</v>
      </c>
      <c r="E161" s="24" t="str">
        <f>IFERROR(__xludf.DUMMYFUNCTION("""COMPUTED_VALUE"""),"We presented as a lab project with five deliverables. The students start by defining the requirements and then after they start a secondary pipeline, and then they do at least a couple of weeks iterations cycle and develop cycle. And then after they go to"&amp;" do performance testing to do a security testing, and for each of these deliverables, we submit something, every report.")</f>
        <v>We presented as a lab project with five deliverables. The students start by defining the requirements and then after they start a secondary pipeline, and then they do at least a couple of weeks iterations cycle and develop cycle. And then after they go to do performance testing to do a security testing, and for each of these deliverables, we submit something, every report.</v>
      </c>
      <c r="F161" s="24"/>
      <c r="G161" s="45" t="str">
        <f>if(codigoRDivergenteJuiz = "first",codigoRDivergenteCodigo1,if (codigoRDivergenteJuiz = "second",codigoRDivergenteCodigo2, if (codigoRDivergenteCodigo1 = "", codigoRDivergenteCodigo2, codigoRDivergenteCodigo1)))</f>
        <v>Lab projects with deliverables</v>
      </c>
      <c r="H161" s="45" t="str">
        <f>if(codigoRDivergenteJuiz = "first",codigoRDivergenteTema1,if (codigoRDivergenteJuiz = "second",codigoRDivergenteTema2, if (codigoRDivergenteCodigo1 = "", codigoRDivergenteTema2, codigoRDivergenteTema1)))</f>
        <v>strategies in course execution</v>
      </c>
    </row>
    <row r="162">
      <c r="A162" s="44">
        <f>IFERROR(__xludf.DUMMYFUNCTION("""COMPUTED_VALUE"""),175.0)</f>
        <v>175</v>
      </c>
      <c r="B162" s="44" t="str">
        <f>IFERROR(__xludf.DUMMYFUNCTION("""COMPUTED_VALUE"""),"R1 / R3")</f>
        <v>R1 / R3</v>
      </c>
      <c r="C162" s="44" t="str">
        <f>IFERROR(__xludf.DUMMYFUNCTION("""COMPUTED_VALUE"""),"recommendation")</f>
        <v>recommendation</v>
      </c>
      <c r="D162" s="24" t="str">
        <f>IFERROR(__xludf.DUMMYFUNCTION("""COMPUTED_VALUE"""),"I had a different assistant for the labs who was the next student. So the first time, and the labs were quite well received.
If you have lab assistants that are, you know, good, it's pretty easy to manage.")</f>
        <v>I had a different assistant for the labs who was the next student. So the first time, and the labs were quite well received.
If you have lab assistants that are, you know, good, it's pretty easy to manage.</v>
      </c>
      <c r="E162" s="24" t="str">
        <f>IFERROR(__xludf.DUMMYFUNCTION("""COMPUTED_VALUE"""),"Qualified teacher assistant is important to setup the labs.
It is good to have teacher assistants with labs.")</f>
        <v>Qualified teacher assistant is important to setup the labs.
It is good to have teacher assistants with labs.</v>
      </c>
      <c r="F162" s="24" t="str">
        <f>IFERROR(__xludf.DUMMYFUNCTION("""COMPUTED_VALUE"""),"Teacher assistants are helpful with labs.")</f>
        <v>Teacher assistants are helpful with labs.</v>
      </c>
      <c r="G162" s="45" t="str">
        <f>if(codigoRDivergenteJuiz = "first",codigoRDivergenteCodigo1,if (codigoRDivergenteJuiz = "second",codigoRDivergenteCodigo2, if (codigoRDivergenteCodigo1 = "", codigoRDivergenteCodigo2, codigoRDivergenteCodigo1)))</f>
        <v>labs execution with teacher assistant support</v>
      </c>
      <c r="H162" s="45" t="str">
        <f>if(codigoRDivergenteJuiz = "first",codigoRDivergenteTema1,if (codigoRDivergenteJuiz = "second",codigoRDivergenteTema2, if (codigoRDivergenteCodigo1 = "", codigoRDivergenteTema2, codigoRDivergenteTema1)))</f>
        <v>strategies in course execution</v>
      </c>
    </row>
    <row r="163">
      <c r="A163" s="44">
        <f>IFERROR(__xludf.DUMMYFUNCTION("""COMPUTED_VALUE"""),176.0)</f>
        <v>176</v>
      </c>
      <c r="B163" s="44" t="str">
        <f>IFERROR(__xludf.DUMMYFUNCTION("""COMPUTED_VALUE"""),"R2 / R3")</f>
        <v>R2 / R3</v>
      </c>
      <c r="C163" s="44" t="str">
        <f>IFERROR(__xludf.DUMMYFUNCTION("""COMPUTED_VALUE"""),"recommendation")</f>
        <v>recommendation</v>
      </c>
      <c r="D163" s="24" t="str">
        <f>IFERROR(__xludf.DUMMYFUNCTION("""COMPUTED_VALUE"""),"the unicorn [project book] who was just, just published last year is more about the Dev stuff, but it really brings it into the mindset of, of, okay, what are the issues concretely that we face.")</f>
        <v>the unicorn [project book] who was just, just published last year is more about the Dev stuff, but it really brings it into the mindset of, of, okay, what are the issues concretely that we face.</v>
      </c>
      <c r="E163" s="24" t="str">
        <f>IFERROR(__xludf.DUMMYFUNCTION("""COMPUTED_VALUE"""),"The Unicorn project book is a novel which covers the Dev side issues of DevOps.")</f>
        <v>The Unicorn project book is a novel which covers the Dev side issues of DevOps.</v>
      </c>
      <c r="F163" s="24"/>
      <c r="G163" s="45" t="str">
        <f>if(codigoRDivergenteJuiz = "first",codigoRDivergenteCodigo1,if (codigoRDivergenteJuiz = "second",codigoRDivergenteCodigo2, if (codigoRDivergenteCodigo1 = "", codigoRDivergenteCodigo2, codigoRDivergenteCodigo1)))</f>
        <v>Unicorn Project book for Dev side issues</v>
      </c>
      <c r="H163" s="45" t="str">
        <f>if(codigoRDivergenteJuiz = "first",codigoRDivergenteTema1,if (codigoRDivergenteJuiz = "second",codigoRDivergenteTema2, if (codigoRDivergenteCodigo1 = "", codigoRDivergenteTema2, codigoRDivergenteTema1)))</f>
        <v>strategies in course execution</v>
      </c>
    </row>
    <row r="164">
      <c r="A164" s="44">
        <f>IFERROR(__xludf.DUMMYFUNCTION("""COMPUTED_VALUE"""),177.0)</f>
        <v>177</v>
      </c>
      <c r="B164" s="44" t="str">
        <f>IFERROR(__xludf.DUMMYFUNCTION("""COMPUTED_VALUE"""),"R1 / R2")</f>
        <v>R1 / R2</v>
      </c>
      <c r="C164" s="44" t="str">
        <f>IFERROR(__xludf.DUMMYFUNCTION("""COMPUTED_VALUE"""),"recommendation")</f>
        <v>recommendation</v>
      </c>
      <c r="D164" s="24" t="str">
        <f>IFERROR(__xludf.DUMMYFUNCTION("""COMPUTED_VALUE"""),"The Phoenix project ...  it's written also by essentially Jean Kim ... , it's written as a novel ... you get into the, the life of people that are facing issues that's are essentially DevOps issues ... he Phoenix project is more about the Ops side of thin"&amp;"gs.")</f>
        <v>The Phoenix project ...  it's written also by essentially Jean Kim ... , it's written as a novel ... you get into the, the life of people that are facing issues that's are essentially DevOps issues ... he Phoenix project is more about the Ops side of things.</v>
      </c>
      <c r="E164" s="24" t="str">
        <f>IFERROR(__xludf.DUMMYFUNCTION("""COMPUTED_VALUE"""),"The Phoenix book by Jean Kim is a novel that covers the Ops side of DevOps.")</f>
        <v>The Phoenix book by Jean Kim is a novel that covers the Ops side of DevOps.</v>
      </c>
      <c r="F164" s="24"/>
      <c r="G164" s="45" t="str">
        <f>if(codigoRDivergenteJuiz = "first",codigoRDivergenteCodigo1,if (codigoRDivergenteJuiz = "second",codigoRDivergenteCodigo2, if (codigoRDivergenteCodigo1 = "", codigoRDivergenteCodigo2, codigoRDivergenteCodigo1)))</f>
        <v>teaching of operating activities through phoenix book</v>
      </c>
      <c r="H164" s="45" t="str">
        <f>if(codigoRDivergenteJuiz = "first",codigoRDivergenteTema1,if (codigoRDivergenteJuiz = "second",codigoRDivergenteTema2, if (codigoRDivergenteCodigo1 = "", codigoRDivergenteTema2, codigoRDivergenteTema1)))</f>
        <v>strategies in course execution</v>
      </c>
    </row>
    <row r="165">
      <c r="A165" s="44">
        <f>IFERROR(__xludf.DUMMYFUNCTION("""COMPUTED_VALUE"""),178.0)</f>
        <v>178</v>
      </c>
      <c r="B165" s="44" t="str">
        <f>IFERROR(__xludf.DUMMYFUNCTION("""COMPUTED_VALUE"""),"R1 / R3")</f>
        <v>R1 / R3</v>
      </c>
      <c r="C165" s="44" t="str">
        <f>IFERROR(__xludf.DUMMYFUNCTION("""COMPUTED_VALUE"""),"recommendation")</f>
        <v>recommendation</v>
      </c>
      <c r="D165" s="24" t="str">
        <f>IFERROR(__xludf.DUMMYFUNCTION("""COMPUTED_VALUE"""),"I need very solid, uh, research. It's a sorry, a lab assistance. The people responsible for the labs of course, assistants that that can actually deal with the students. So I'm lucky to have students and have good industrial experience, uh, to do that.")</f>
        <v>I need very solid, uh, research. It's a sorry, a lab assistance. The people responsible for the labs of course, assistants that that can actually deal with the students. So I'm lucky to have students and have good industrial experience, uh, to do that.</v>
      </c>
      <c r="E165" s="24" t="str">
        <f>IFERROR(__xludf.DUMMYFUNCTION("""COMPUTED_VALUE"""),"The teacher assistants need to be very qualified.")</f>
        <v>The teacher assistants need to be very qualified.</v>
      </c>
      <c r="F165" s="24"/>
      <c r="G165" s="45" t="str">
        <f>if(codigoRDivergenteJuiz = "first",codigoRDivergenteCodigo1,if (codigoRDivergenteJuiz = "second",codigoRDivergenteCodigo2, if (codigoRDivergenteCodigo1 = "", codigoRDivergenteCodigo2, codigoRDivergenteCodigo1)))</f>
        <v>qualified teacher assistants</v>
      </c>
      <c r="H165" s="45" t="str">
        <f>if(codigoRDivergenteJuiz = "first",codigoRDivergenteTema1,if (codigoRDivergenteJuiz = "second",codigoRDivergenteTema2, if (codigoRDivergenteCodigo1 = "", codigoRDivergenteTema2, codigoRDivergenteTema1)))</f>
        <v>strategies in course execution</v>
      </c>
    </row>
    <row r="166">
      <c r="A166" s="44">
        <f>IFERROR(__xludf.DUMMYFUNCTION("""COMPUTED_VALUE"""),179.0)</f>
        <v>179</v>
      </c>
      <c r="B166" s="44" t="str">
        <f>IFERROR(__xludf.DUMMYFUNCTION("""COMPUTED_VALUE"""),"R2 / R3")</f>
        <v>R2 / R3</v>
      </c>
      <c r="C166" s="44" t="str">
        <f>IFERROR(__xludf.DUMMYFUNCTION("""COMPUTED_VALUE"""),"recommendation")</f>
        <v>recommendation</v>
      </c>
      <c r="D166" s="24" t="str">
        <f>IFERROR(__xludf.DUMMYFUNCTION("""COMPUTED_VALUE"""),"So I chose, um, tuleap, which is an open source that was missing in mainly DevOps in France.")</f>
        <v>So I chose, um, tuleap, which is an open source that was missing in mainly DevOps in France.</v>
      </c>
      <c r="E166" s="24" t="str">
        <f>IFERROR(__xludf.DUMMYFUNCTION("""COMPUTED_VALUE"""),"Use Tuleap for lifecycle management.")</f>
        <v>Use Tuleap for lifecycle management.</v>
      </c>
      <c r="F166" s="24"/>
      <c r="G166" s="45" t="str">
        <f>if(codigoRDivergenteJuiz = "first",codigoRDivergenteCodigo1,if (codigoRDivergenteJuiz = "second",codigoRDivergenteCodigo2, if (codigoRDivergenteCodigo1 = "", codigoRDivergenteCodigo2, codigoRDivergenteCodigo1)))</f>
        <v>Tuleap for lifecycle</v>
      </c>
      <c r="H166" s="45" t="str">
        <f>if(codigoRDivergenteJuiz = "first",codigoRDivergenteTema1,if (codigoRDivergenteJuiz = "second",codigoRDivergenteTema2, if (codigoRDivergenteCodigo1 = "", codigoRDivergenteTema2, codigoRDivergenteTema1)))</f>
        <v>tool / technology</v>
      </c>
    </row>
    <row r="167">
      <c r="A167" s="44">
        <f>IFERROR(__xludf.DUMMYFUNCTION("""COMPUTED_VALUE"""),180.0)</f>
        <v>180</v>
      </c>
      <c r="B167" s="44" t="str">
        <f>IFERROR(__xludf.DUMMYFUNCTION("""COMPUTED_VALUE"""),"R1 / R2")</f>
        <v>R1 / R2</v>
      </c>
      <c r="C167" s="44" t="str">
        <f>IFERROR(__xludf.DUMMYFUNCTION("""COMPUTED_VALUE"""),"recommendation")</f>
        <v>recommendation</v>
      </c>
      <c r="D167" s="24" t="str">
        <f>IFERROR(__xludf.DUMMYFUNCTION("""COMPUTED_VALUE"""),"We try to make it minimal")</f>
        <v>We try to make it minimal</v>
      </c>
      <c r="E167" s="24" t="str">
        <f>IFERROR(__xludf.DUMMYFUNCTION("""COMPUTED_VALUE"""),"Try to make the environment setup minimal.")</f>
        <v>Try to make the environment setup minimal.</v>
      </c>
      <c r="F167" s="24"/>
      <c r="G167" s="45" t="str">
        <f>if(codigoRDivergenteJuiz = "first",codigoRDivergenteCodigo1,if (codigoRDivergenteJuiz = "second",codigoRDivergenteCodigo2, if (codigoRDivergenteCodigo1 = "", codigoRDivergenteCodigo2, codigoRDivergenteCodigo1)))</f>
        <v>environment setup minimal</v>
      </c>
      <c r="H167" s="45" t="str">
        <f>if(codigoRDivergenteJuiz = "first",codigoRDivergenteTema1,if (codigoRDivergenteJuiz = "second",codigoRDivergenteTema2, if (codigoRDivergenteCodigo1 = "", codigoRDivergenteTema2, codigoRDivergenteTema1)))</f>
        <v>environment setup</v>
      </c>
    </row>
    <row r="168">
      <c r="A168" s="44">
        <f>IFERROR(__xludf.DUMMYFUNCTION("""COMPUTED_VALUE"""),181.0)</f>
        <v>181</v>
      </c>
      <c r="B168" s="44" t="str">
        <f>IFERROR(__xludf.DUMMYFUNCTION("""COMPUTED_VALUE"""),"R1 / R3")</f>
        <v>R1 / R3</v>
      </c>
      <c r="C168" s="44" t="str">
        <f>IFERROR(__xludf.DUMMYFUNCTION("""COMPUTED_VALUE"""),"recommendation")</f>
        <v>recommendation</v>
      </c>
      <c r="D168" s="24" t="str">
        <f>IFERROR(__xludf.DUMMYFUNCTION("""COMPUTED_VALUE"""),"initially we were relying the, uh, admin, uh, personnel in our department, not admin, sorry, the, the engineering, uh, the, yeah, the, the infrastructure, the people that are responsible for the labs and so on. And now, since all of the students have thei"&amp;"r laptop, we try to make it as industrial as possible in lightweight as possible. So we don't need any internal support. [...] You just need this use to create their, uh, GitHub accounts. And, uh, you have to register to be able to get some AWS, uh, credi"&amp;"ts so that you can share with the students, but it's quite, it's quite easy.")</f>
        <v>initially we were relying the, uh, admin, uh, personnel in our department, not admin, sorry, the, the engineering, uh, the, yeah, the, the infrastructure, the people that are responsible for the labs and so on. And now, since all of the students have their laptop, we try to make it as industrial as possible in lightweight as possible. So we don't need any internal support. [...] You just need this use to create their, uh, GitHub accounts. And, uh, you have to register to be able to get some AWS, uh, credits so that you can share with the students, but it's quite, it's quite easy.</v>
      </c>
      <c r="E168" s="24" t="str">
        <f>IFERROR(__xludf.DUMMYFUNCTION("""COMPUTED_VALUE"""),"You do not need to worry about university infrastruture when the students have Github and AWS accounts and you make the environment as industrial as lightweight as possible in all of the students laptops.")</f>
        <v>You do not need to worry about university infrastruture when the students have Github and AWS accounts and you make the environment as industrial as lightweight as possible in all of the students laptops.</v>
      </c>
      <c r="F168" s="24"/>
      <c r="G168" s="45" t="str">
        <f>if(codigoRDivergenteJuiz = "first",codigoRDivergenteCodigo1,if (codigoRDivergenteJuiz = "second",codigoRDivergenteCodigo2, if (codigoRDivergenteCodigo1 = "", codigoRDivergenteCodigo2, codigoRDivergenteCodigo1)))</f>
        <v>environment as industrial as lightweight as possible in all of the student's laptops through Github and AWS account</v>
      </c>
      <c r="H168" s="45" t="str">
        <f>if(codigoRDivergenteJuiz = "first",codigoRDivergenteTema1,if (codigoRDivergenteJuiz = "second",codigoRDivergenteTema2, if (codigoRDivergenteCodigo1 = "", codigoRDivergenteTema2, codigoRDivergenteTema1)))</f>
        <v>environment setup</v>
      </c>
    </row>
    <row r="169">
      <c r="A169" s="44">
        <f>IFERROR(__xludf.DUMMYFUNCTION("""COMPUTED_VALUE"""),183.0)</f>
        <v>183</v>
      </c>
      <c r="B169" s="44" t="str">
        <f>IFERROR(__xludf.DUMMYFUNCTION("""COMPUTED_VALUE"""),"R1 / R2")</f>
        <v>R1 / R2</v>
      </c>
      <c r="C169" s="44" t="str">
        <f>IFERROR(__xludf.DUMMYFUNCTION("""COMPUTED_VALUE"""),"recommendation")</f>
        <v>recommendation</v>
      </c>
      <c r="D169" s="24" t="str">
        <f>IFERROR(__xludf.DUMMYFUNCTION("""COMPUTED_VALUE"""),"First define the objectives of your course and making sure you stick to it.
But with respect to the technologies, I think that knowledge is, will change [...] I think like one of the, uh, not too good to give it giving advices or, but I can share my expe"&amp;"rience and my thoughts. Um, I think that that's important to remember one thing as important as what is the objectives of your course.
"" I think if we lay the rooms, uh, maybe it's more clearly and more specifically, I think students, we know better wha"&amp;"t they will get from what they do. [...]
I think we will have, uh, we will, um, uh, rewrite some of the rules to make sure that, uh, students know how many points they get for what they do, uh, beforehand we should do it because, uh, it will not be perfec"&amp;"t because students can choose many different things. """)</f>
        <v>First define the objectives of your course and making sure you stick to it.
But with respect to the technologies, I think that knowledge is, will change [...] I think like one of the, uh, not too good to give it giving advices or, but I can share my experience and my thoughts. Um, I think that that's important to remember one thing as important as what is the objectives of your course.
" I think if we lay the rooms, uh, maybe it's more clearly and more specifically, I think students, we know better what they will get from what they do. [...]
I think we will have, uh, we will, um, uh, rewrite some of the rules to make sure that, uh, students know how many points they get for what they do, uh, beforehand we should do it because, uh, it will not be perfect because students can choose many different things. "</v>
      </c>
      <c r="E169" s="24" t="str">
        <f>IFERROR(__xludf.DUMMYFUNCTION("""COMPUTED_VALUE"""),"Define clearly the objectives of your course and make sure you stick to it.
Constantly remember the students about the objective of the course.
Make sure the students know the rules of the course. For example how many points they get for what they do.")</f>
        <v>Define clearly the objectives of your course and make sure you stick to it.
Constantly remember the students about the objective of the course.
Make sure the students know the rules of the course. For example how many points they get for what they do.</v>
      </c>
      <c r="F169" s="24" t="str">
        <f>IFERROR(__xludf.DUMMYFUNCTION("""COMPUTED_VALUE"""),"Explain the course objectives to the students.")</f>
        <v>Explain the course objectives to the students.</v>
      </c>
      <c r="G169" s="45" t="str">
        <f>if(codigoRDivergenteJuiz = "first",codigoRDivergenteCodigo1,if (codigoRDivergenteJuiz = "second",codigoRDivergenteCodigo2, if (codigoRDivergenteCodigo1 = "", codigoRDivergenteCodigo2, codigoRDivergenteCodigo1)))</f>
        <v>understanding of course objectives clear by students</v>
      </c>
      <c r="H169" s="45" t="str">
        <f>if(codigoRDivergenteJuiz = "first",codigoRDivergenteTema1,if (codigoRDivergenteJuiz = "second",codigoRDivergenteTema2, if (codigoRDivergenteCodigo1 = "", codigoRDivergenteTema2, codigoRDivergenteTema1)))</f>
        <v>strategies in course execution</v>
      </c>
    </row>
    <row r="170">
      <c r="A170" s="44">
        <f>IFERROR(__xludf.DUMMYFUNCTION("""COMPUTED_VALUE"""),184.0)</f>
        <v>184</v>
      </c>
      <c r="B170" s="44" t="str">
        <f>IFERROR(__xludf.DUMMYFUNCTION("""COMPUTED_VALUE"""),"R1 / R3")</f>
        <v>R1 / R3</v>
      </c>
      <c r="C170" s="44" t="str">
        <f>IFERROR(__xludf.DUMMYFUNCTION("""COMPUTED_VALUE"""),"recommendation")</f>
        <v>recommendation</v>
      </c>
      <c r="D170" s="24" t="str">
        <f>IFERROR(__xludf.DUMMYFUNCTION("""COMPUTED_VALUE"""),"I give them two case studies, uh, so to see if they can analyze a given situation.
Like theoretical exam point of view, we use the case studies. ... you have three hours explain what you do in this situation. ...  we were really grading half of the descr"&amp;"iption and half of the justification.
He grade scale was half description, half justification, and that's helped a lot, but it's always, um, qualitative in this way.")</f>
        <v>I give them two case studies, uh, so to see if they can analyze a given situation.
Like theoretical exam point of view, we use the case studies. ... you have three hours explain what you do in this situation. ...  we were really grading half of the description and half of the justification.
He grade scale was half description, half justification, and that's helped a lot, but it's always, um, qualitative in this way.</v>
      </c>
      <c r="E170" s="24" t="str">
        <f>IFERROR(__xludf.DUMMYFUNCTION("""COMPUTED_VALUE"""),"Give case studies to see if the students can analyze a given situation in the exams.
We use the case studies in theoretical exam. Students have three hours to explain what they do in this situation. We were really grading half of the description and half"&amp;" of the justification.
It is helpful to use the description and the justification of case studies on qualitative grade scale.")</f>
        <v>Give case studies to see if the students can analyze a given situation in the exams.
We use the case studies in theoretical exam. Students have three hours to explain what they do in this situation. We were really grading half of the description and half of the justification.
It is helpful to use the description and the justification of case studies on qualitative grade scale.</v>
      </c>
      <c r="F170" s="24" t="str">
        <f>IFERROR(__xludf.DUMMYFUNCTION("""COMPUTED_VALUE"""),"Use case studies in the exams.")</f>
        <v>Use case studies in the exams.</v>
      </c>
      <c r="G170" s="45" t="str">
        <f>if(codigoRDivergenteJuiz = "first",codigoRDivergenteCodigo1,if (codigoRDivergenteJuiz = "second",codigoRDivergenteCodigo2, if (codigoRDivergenteCodigo1 = "", codigoRDivergenteCodigo2, codigoRDivergenteCodigo1)))</f>
        <v>student exams by case studies</v>
      </c>
      <c r="H170" s="45" t="str">
        <f>if(codigoRDivergenteJuiz = "first",codigoRDivergenteTema1,if (codigoRDivergenteJuiz = "second",codigoRDivergenteTema2, if (codigoRDivergenteCodigo1 = "", codigoRDivergenteTema2, codigoRDivergenteTema1)))</f>
        <v>assessment</v>
      </c>
    </row>
    <row r="171">
      <c r="A171" s="44">
        <f>IFERROR(__xludf.DUMMYFUNCTION("""COMPUTED_VALUE"""),185.0)</f>
        <v>185</v>
      </c>
      <c r="B171" s="44" t="str">
        <f>IFERROR(__xludf.DUMMYFUNCTION("""COMPUTED_VALUE"""),"R2 / R3")</f>
        <v>R2 / R3</v>
      </c>
      <c r="C171" s="44" t="str">
        <f>IFERROR(__xludf.DUMMYFUNCTION("""COMPUTED_VALUE"""),"recommendation")</f>
        <v>recommendation</v>
      </c>
      <c r="D171" s="24" t="str">
        <f>IFERROR(__xludf.DUMMYFUNCTION("""COMPUTED_VALUE"""),"we use one of the topics in DevOps that becomes quite important is value stream mapping. So to be able to capture your process is pretty simple in terms of modeling as a flow of activities, value stream mapping is a technique that has been used for quite "&amp;"a long time and in production.")</f>
        <v>we use one of the topics in DevOps that becomes quite important is value stream mapping. So to be able to capture your process is pretty simple in terms of modeling as a flow of activities, value stream mapping is a technique that has been used for quite a long time and in production.</v>
      </c>
      <c r="E171" s="24" t="str">
        <f>IFERROR(__xludf.DUMMYFUNCTION("""COMPUTED_VALUE"""),"Be able to capture your DevOps process in terms of modeling as a flow of activities using value stream mapping technique.")</f>
        <v>Be able to capture your DevOps process in terms of modeling as a flow of activities using value stream mapping technique.</v>
      </c>
      <c r="F171" s="24"/>
      <c r="G171" s="45" t="str">
        <f>if(codigoRDivergenteJuiz = "first",codigoRDivergenteCodigo1,if (codigoRDivergenteJuiz = "second",codigoRDivergenteCodigo2, if (codigoRDivergenteCodigo1 = "", codigoRDivergenteCodigo2, codigoRDivergenteCodigo1)))</f>
        <v>capture DevOps process of modeling, flow activities with value stram mappin technique</v>
      </c>
      <c r="H171" s="45" t="str">
        <f>if(codigoRDivergenteJuiz = "first",codigoRDivergenteTema1,if (codigoRDivergenteJuiz = "second",codigoRDivergenteTema2, if (codigoRDivergenteCodigo1 = "", codigoRDivergenteTema2, codigoRDivergenteTema1)))</f>
        <v>devops concepts</v>
      </c>
    </row>
    <row r="172">
      <c r="A172" s="44">
        <f>IFERROR(__xludf.DUMMYFUNCTION("""COMPUTED_VALUE"""),186.0)</f>
        <v>186</v>
      </c>
      <c r="B172" s="44" t="str">
        <f>IFERROR(__xludf.DUMMYFUNCTION("""COMPUTED_VALUE"""),"R1 / R2")</f>
        <v>R1 / R2</v>
      </c>
      <c r="C172" s="44" t="str">
        <f>IFERROR(__xludf.DUMMYFUNCTION("""COMPUTED_VALUE"""),"recommendation")</f>
        <v>recommendation</v>
      </c>
      <c r="D172" s="24" t="str">
        <f>IFERROR(__xludf.DUMMYFUNCTION("""COMPUTED_VALUE"""),"it's not an analysis course, but I tried to bring it back regularly and say, okay, if you want to improve a process, whether you do so, it's one of the, one of the section in the book. And so it's okay. [...] you go from there to identify the, the points "&amp;"that could be improved, right. And then how do you want to improve it, then the techniques that are described in the book?")</f>
        <v>it's not an analysis course, but I tried to bring it back regularly and say, okay, if you want to improve a process, whether you do so, it's one of the, one of the section in the book. And so it's okay. [...] you go from there to identify the, the points that could be improved, right. And then how do you want to improve it, then the techniques that are described in the book?</v>
      </c>
      <c r="E172" s="24" t="str">
        <f>IFERROR(__xludf.DUMMYFUNCTION("""COMPUTED_VALUE"""),"constantly try to figure out how to improve the quality of the course")</f>
        <v>constantly try to figure out how to improve the quality of the course</v>
      </c>
      <c r="F172" s="24"/>
      <c r="G172" s="45" t="str">
        <f>if(codigoRDivergenteJuiz = "first",codigoRDivergenteCodigo1,if (codigoRDivergenteJuiz = "second",codigoRDivergenteCodigo2, if (codigoRDivergenteCodigo1 = "", codigoRDivergenteCodigo2, codigoRDivergenteCodigo1)))</f>
        <v>improvement of the quality of the course constantly</v>
      </c>
      <c r="H172" s="45" t="str">
        <f>if(codigoRDivergenteJuiz = "first",codigoRDivergenteTema1,if (codigoRDivergenteJuiz = "second",codigoRDivergenteTema2, if (codigoRDivergenteCodigo1 = "", codigoRDivergenteTema2, codigoRDivergenteTema1)))</f>
        <v>strategies in course execution</v>
      </c>
    </row>
    <row r="173">
      <c r="A173" s="44">
        <f>IFERROR(__xludf.DUMMYFUNCTION("""COMPUTED_VALUE"""),187.0)</f>
        <v>187</v>
      </c>
      <c r="B173" s="44" t="str">
        <f>IFERROR(__xludf.DUMMYFUNCTION("""COMPUTED_VALUE"""),"R1 / R3")</f>
        <v>R1 / R3</v>
      </c>
      <c r="C173" s="44" t="str">
        <f>IFERROR(__xludf.DUMMYFUNCTION("""COMPUTED_VALUE"""),"recommendation")</f>
        <v>recommendation</v>
      </c>
      <c r="D173" s="24" t="str">
        <f>IFERROR(__xludf.DUMMYFUNCTION("""COMPUTED_VALUE"""),"I'm thinking of bringing a couple of, um, industrial speakers as well to share their experience.
We can have people, uh, there, there are, uh, there are everywhere that we can invite and, uh, let the students know what is going on in practice, not just s"&amp;"ome, uh, theoretical, uh, problem.
The lectures were not, uh, were not presented by the teachers. They were presented by the people who are, who were from the industry and invited to the, uh, to the course to present something for students.
I think the "&amp;"course we've built in France was successful because we've done it with a software architect from IBM or the guy who was building, um, like as part of his industrial practice, he was building huge, uh, systems.
You need to have people interacting with the"&amp;" students that are practitioners and that really, uh, well know their in a way.
So we thought we were doing right, but after having discussed with industrial partners and practitioners, like not just discussed, you know, conference or attending a meetup,"&amp;" like really discussing for hours.
To carefully select the, um, I, I have a lot of industrial, uh, practitioners, guest lectures. Uh, we, we, we had the one prof that wasn't industrial.
The bigger mistake I've made was to, uh, use a coach. Uh, and we in"&amp;"vited him and the guy was, uh, setting himself running himself as a DevOps coach, but the guy just had written books and, uh, had no idea what he was talking about.")</f>
        <v>I'm thinking of bringing a couple of, um, industrial speakers as well to share their experience.
We can have people, uh, there, there are, uh, there are everywhere that we can invite and, uh, let the students know what is going on in practice, not just some, uh, theoretical, uh, problem.
The lectures were not, uh, were not presented by the teachers. They were presented by the people who are, who were from the industry and invited to the, uh, to the course to present something for students.
I think the course we've built in France was successful because we've done it with a software architect from IBM or the guy who was building, um, like as part of his industrial practice, he was building huge, uh, systems.
You need to have people interacting with the students that are practitioners and that really, uh, well know their in a way.
So we thought we were doing right, but after having discussed with industrial partners and practitioners, like not just discussed, you know, conference or attending a meetup, like really discussing for hours.
To carefully select the, um, I, I have a lot of industrial, uh, practitioners, guest lectures. Uh, we, we, we had the one prof that wasn't industrial.
The bigger mistake I've made was to, uh, use a coach. Uh, and we invited him and the guy was, uh, setting himself running himself as a DevOps coach, but the guy just had written books and, uh, had no idea what he was talking about.</v>
      </c>
      <c r="E173" s="24" t="str">
        <f>IFERROR(__xludf.DUMMYFUNCTION("""COMPUTED_VALUE"""),"Try to bring industrial speakers to share their experience.
Invite people to show students what's going on in practice, not only in theoretical problems.
The lectures could be presented by people who were from the industry.
It is important to have indu"&amp;"strial partnership to share skills to contribute to the course.
You need to have DevOps practitioners interacting with the students.
Discuss the course with industrial partners and practitioners.
You should be careful about selecting guest lectures. Pr"&amp;"efer industrial practitioners.
Do not invite a DevOps coach to do DevOps lectures.")</f>
        <v>Try to bring industrial speakers to share their experience.
Invite people to show students what's going on in practice, not only in theoretical problems.
The lectures could be presented by people who were from the industry.
It is important to have industrial partnership to share skills to contribute to the course.
You need to have DevOps practitioners interacting with the students.
Discuss the course with industrial partners and practitioners.
You should be careful about selecting guest lectures. Prefer industrial practitioners.
Do not invite a DevOps coach to do DevOps lectures.</v>
      </c>
      <c r="F173" s="24" t="str">
        <f>IFERROR(__xludf.DUMMYFUNCTION("""COMPUTED_VALUE"""),"Select industrial speakers carefully to share their experience with the students.")</f>
        <v>Select industrial speakers carefully to share their experience with the students.</v>
      </c>
      <c r="G173" s="45" t="str">
        <f>if(codigoRDivergenteJuiz = "first",codigoRDivergenteCodigo1,if (codigoRDivergenteJuiz = "second",codigoRDivergenteCodigo2, if (codigoRDivergenteCodigo1 = "", codigoRDivergenteCodigo2, codigoRDivergenteCodigo1)))</f>
        <v>careful selection of industrial guests for the course</v>
      </c>
      <c r="H173" s="45" t="str">
        <f>if(codigoRDivergenteJuiz = "first",codigoRDivergenteTema1,if (codigoRDivergenteJuiz = "second",codigoRDivergenteTema2, if (codigoRDivergenteCodigo1 = "", codigoRDivergenteTema2, codigoRDivergenteTema1)))</f>
        <v>class preparation</v>
      </c>
    </row>
    <row r="174">
      <c r="A174" s="44">
        <f>IFERROR(__xludf.DUMMYFUNCTION("""COMPUTED_VALUE"""),188.0)</f>
        <v>188</v>
      </c>
      <c r="B174" s="44" t="str">
        <f>IFERROR(__xludf.DUMMYFUNCTION("""COMPUTED_VALUE"""),"R2 / R3")</f>
        <v>R2 / R3</v>
      </c>
      <c r="C174" s="44" t="str">
        <f>IFERROR(__xludf.DUMMYFUNCTION("""COMPUTED_VALUE"""),"recommendation")</f>
        <v>recommendation</v>
      </c>
      <c r="D174" s="24" t="str">
        <f>IFERROR(__xludf.DUMMYFUNCTION("""COMPUTED_VALUE"""),"So that, I think it's one of our job to, to, to communicate with the student that it's not about the buzzword, this is something extremely serious.")</f>
        <v>So that, I think it's one of our job to, to, to communicate with the student that it's not about the buzzword, this is something extremely serious.</v>
      </c>
      <c r="E174" s="24" t="str">
        <f>IFERROR(__xludf.DUMMYFUNCTION("""COMPUTED_VALUE"""),"It's important to communicate with students that DevOps is not buzzword, it is extremely serious.")</f>
        <v>It's important to communicate with students that DevOps is not buzzword, it is extremely serious.</v>
      </c>
      <c r="F174" s="24"/>
      <c r="G174" s="45" t="str">
        <f>if(codigoRDivergenteJuiz = "first",codigoRDivergenteCodigo1,if (codigoRDivergenteJuiz = "second",codigoRDivergenteCodigo2, if (codigoRDivergenteCodigo1 = "", codigoRDivergenteCodigo2, codigoRDivergenteCodigo1)))</f>
        <v>serious communication with the student about DevOps</v>
      </c>
      <c r="H174" s="45" t="str">
        <f>if(codigoRDivergenteJuiz = "first",codigoRDivergenteTema1,if (codigoRDivergenteJuiz = "second",codigoRDivergenteTema2, if (codigoRDivergenteCodigo1 = "", codigoRDivergenteTema2, codigoRDivergenteTema1)))</f>
        <v>devops concepts</v>
      </c>
    </row>
    <row r="175">
      <c r="A175" s="44">
        <f>IFERROR(__xludf.DUMMYFUNCTION("""COMPUTED_VALUE"""),189.0)</f>
        <v>189</v>
      </c>
      <c r="B175" s="44" t="str">
        <f>IFERROR(__xludf.DUMMYFUNCTION("""COMPUTED_VALUE"""),"R1 / R2")</f>
        <v>R1 / R2</v>
      </c>
      <c r="C175" s="44" t="str">
        <f>IFERROR(__xludf.DUMMYFUNCTION("""COMPUTED_VALUE"""),"recommendation")</f>
        <v>recommendation</v>
      </c>
      <c r="D175" s="24" t="str">
        <f>IFERROR(__xludf.DUMMYFUNCTION("""COMPUTED_VALUE"""),"Then do, um, do some research about it, write an essay or, uh, or if there is, um, there is a tool available, uh, on GitHub it's, if it's open source, they can contribute to that, uh, to that tool and maybe fix some issues and report it to the teachers.
"&amp;"Many of them did was to engage in the, uh, in the development process of the, uh, of the large projects that other people are working on. And, uh, they could choose a project, I think with more than a hundred stars. ...  And they had to make sure that the"&amp;"y pass all the, uh, all the steps and they had to do some contributions, but to there, to those for repositories. And, uh, and they had to also engage in a conversation with other people from other teams, uh, in the process that, uh, they were, uh, making"&amp;" those contributions.
They could contribute to some open source projects that are large projects and they are being used. So it's something that I'm looking for. Something we had some stats, uh, on github.")</f>
        <v>Then do, um, do some research about it, write an essay or, uh, or if there is, um, there is a tool available, uh, on GitHub it's, if it's open source, they can contribute to that, uh, to that tool and maybe fix some issues and report it to the teachers.
Many of them did was to engage in the, uh, in the development process of the, uh, of the large projects that other people are working on. And, uh, they could choose a project, I think with more than a hundred stars. ...  And they had to make sure that they pass all the, uh, all the steps and they had to do some contributions, but to there, to those for repositories. And, uh, and they had to also engage in a conversation with other people from other teams, uh, in the process that, uh, they were, uh, making those contributions.
They could contribute to some open source projects that are large projects and they are being used. So it's something that I'm looking for. Something we had some stats, uh, on github.</v>
      </c>
      <c r="E175" s="24" t="str">
        <f>IFERROR(__xludf.DUMMYFUNCTION("""COMPUTED_VALUE"""),"Do some research about DevOps topic, write an essay, and if the tool is open source, contribute to that tool and fix some issues and report it to the teachers.
The students should contribute and engage in the development process of the large projects wit"&amp;"h more than a hundred stars on Github.
Students could contribute to some open source projects that are large and being used and had more than one hundred stars.")</f>
        <v>Do some research about DevOps topic, write an essay, and if the tool is open source, contribute to that tool and fix some issues and report it to the teachers.
The students should contribute and engage in the development process of the large projects with more than a hundred stars on Github.
Students could contribute to some open source projects that are large and being used and had more than one hundred stars.</v>
      </c>
      <c r="F175" s="24" t="str">
        <f>IFERROR(__xludf.DUMMYFUNCTION("""COMPUTED_VALUE"""),"Do some research about DevOps topic, write an essay, and if the tool is open source, contribute to that tool and fix some issues and report it to the teachers. The open source project should have more than a hundred stars on Github.")</f>
        <v>Do some research about DevOps topic, write an essay, and if the tool is open source, contribute to that tool and fix some issues and report it to the teachers. The open source project should have more than a hundred stars on Github.</v>
      </c>
      <c r="G175" s="45" t="str">
        <f>if(codigoRDivergenteJuiz = "first",codigoRDivergenteCodigo1,if (codigoRDivergenteJuiz = "second",codigoRDivergenteCodigo2, if (codigoRDivergenteCodigo1 = "", codigoRDivergenteCodigo2, codigoRDivergenteCodigo1)))</f>
        <v>participation of the students in GitHub open source projects</v>
      </c>
      <c r="H175" s="45" t="str">
        <f>if(codigoRDivergenteJuiz = "first",codigoRDivergenteTema1,if (codigoRDivergenteJuiz = "second",codigoRDivergenteTema2, if (codigoRDivergenteCodigo1 = "", codigoRDivergenteTema2, codigoRDivergenteTema1)))</f>
        <v>class preparation</v>
      </c>
    </row>
    <row r="176">
      <c r="A176" s="44">
        <f>IFERROR(__xludf.DUMMYFUNCTION("""COMPUTED_VALUE"""),190.0)</f>
        <v>190</v>
      </c>
      <c r="B176" s="44" t="str">
        <f>IFERROR(__xludf.DUMMYFUNCTION("""COMPUTED_VALUE"""),"R1 / R3")</f>
        <v>R1 / R3</v>
      </c>
      <c r="C176" s="44" t="str">
        <f>IFERROR(__xludf.DUMMYFUNCTION("""COMPUTED_VALUE"""),"recommendation")</f>
        <v>recommendation</v>
      </c>
      <c r="D176" s="24" t="str">
        <f>IFERROR(__xludf.DUMMYFUNCTION("""COMPUTED_VALUE"""),"So, uh, we didn't have some predefined, uh, projects, and as we can, yes, this was a bigger problem for us.")</f>
        <v>So, uh, we didn't have some predefined, uh, projects, and as we can, yes, this was a bigger problem for us.</v>
      </c>
      <c r="E176" s="24" t="str">
        <f>IFERROR(__xludf.DUMMYFUNCTION("""COMPUTED_VALUE"""),"Predefined project is important for the organization of the course.")</f>
        <v>Predefined project is important for the organization of the course.</v>
      </c>
      <c r="F176" s="24"/>
      <c r="G176" s="45" t="str">
        <f>if(codigoRDivergenteJuiz = "first",codigoRDivergenteCodigo1,if (codigoRDivergenteJuiz = "second",codigoRDivergenteCodigo2, if (codigoRDivergenteCodigo1 = "", codigoRDivergenteCodigo2, codigoRDivergenteCodigo1)))</f>
        <v>dangers of a not predefined project for the organization of the course</v>
      </c>
      <c r="H176" s="45" t="str">
        <f>if(codigoRDivergenteJuiz = "first",codigoRDivergenteTema1,if (codigoRDivergenteJuiz = "second",codigoRDivergenteTema2, if (codigoRDivergenteCodigo1 = "", codigoRDivergenteTema2, codigoRDivergenteTema1)))</f>
        <v>class preparation</v>
      </c>
    </row>
    <row r="177">
      <c r="A177" s="44">
        <f>IFERROR(__xludf.DUMMYFUNCTION("""COMPUTED_VALUE"""),191.0)</f>
        <v>191</v>
      </c>
      <c r="B177" s="44" t="str">
        <f>IFERROR(__xludf.DUMMYFUNCTION("""COMPUTED_VALUE"""),"R2 / R3")</f>
        <v>R2 / R3</v>
      </c>
      <c r="C177" s="44" t="str">
        <f>IFERROR(__xludf.DUMMYFUNCTION("""COMPUTED_VALUE"""),"recommendation")</f>
        <v>recommendation</v>
      </c>
      <c r="D177" s="24" t="str">
        <f>IFERROR(__xludf.DUMMYFUNCTION("""COMPUTED_VALUE"""),"In fact, some of them, we asked them to, um, to, if they wanted to do a tutorial on a tool, we ask them to upload that tutorial on, uh, Katacoda.
So we asked the students, uh, to, uh, use another tool if they want to present something that doesn't work o"&amp;"n katacoda. So, uh, the way that we solved it was to change the requirements and to change the, uh, change the environment and the tools that they had to use.
So that's the course automation and executable tutorial was, uh, chatter, katacoda, um, website"&amp;". They use the katacoda that website to, uh, to write a tutorial on a tool for them DevOps.")</f>
        <v>In fact, some of them, we asked them to, um, to, if they wanted to do a tutorial on a tool, we ask them to upload that tutorial on, uh, Katacoda.
So we asked the students, uh, to, uh, use another tool if they want to present something that doesn't work on katacoda. So, uh, the way that we solved it was to change the requirements and to change the, uh, change the environment and the tools that they had to use.
So that's the course automation and executable tutorial was, uh, chatter, katacoda, um, website. They use the katacoda that website to, uh, to write a tutorial on a tool for them DevOps.</v>
      </c>
      <c r="E177" s="24" t="str">
        <f>IFERROR(__xludf.DUMMYFUNCTION("""COMPUTED_VALUE"""),"Use the Katacoda website to students create tutorials about tools.
Change the requirements and the tools to solve the issues in environment setup on Katacoda.
The students write a tutorial about a DevOps tool on katacoda to describe the course automatio"&amp;"n.")</f>
        <v>Use the Katacoda website to students create tutorials about tools.
Change the requirements and the tools to solve the issues in environment setup on Katacoda.
The students write a tutorial about a DevOps tool on katacoda to describe the course automation.</v>
      </c>
      <c r="F177" s="24" t="str">
        <f>IFERROR(__xludf.DUMMYFUNCTION("""COMPUTED_VALUE"""),"Use the Katacoda website to students create tutorials about tools. Change the requirements and the tools to solve the issues on Katacoda.")</f>
        <v>Use the Katacoda website to students create tutorials about tools. Change the requirements and the tools to solve the issues on Katacoda.</v>
      </c>
      <c r="G177" s="45" t="str">
        <f>if(codigoRDivergenteJuiz = "first",codigoRDivergenteCodigo1,if (codigoRDivergenteJuiz = "second",codigoRDivergenteCodigo2, if (codigoRDivergenteCodigo1 = "", codigoRDivergenteCodigo2, codigoRDivergenteCodigo1)))</f>
        <v>Katacoda website to tutorials about tools.</v>
      </c>
      <c r="H177" s="45" t="str">
        <f>if(codigoRDivergenteJuiz = "first",codigoRDivergenteTema1,if (codigoRDivergenteJuiz = "second",codigoRDivergenteTema2, if (codigoRDivergenteCodigo1 = "", codigoRDivergenteTema2, codigoRDivergenteTema1)))</f>
        <v>tool / technology</v>
      </c>
    </row>
    <row r="178">
      <c r="A178" s="44">
        <f>IFERROR(__xludf.DUMMYFUNCTION("""COMPUTED_VALUE"""),192.0)</f>
        <v>192</v>
      </c>
      <c r="B178" s="44" t="str">
        <f>IFERROR(__xludf.DUMMYFUNCTION("""COMPUTED_VALUE"""),"R1 / R2")</f>
        <v>R1 / R2</v>
      </c>
      <c r="C178" s="44" t="str">
        <f>IFERROR(__xludf.DUMMYFUNCTION("""COMPUTED_VALUE"""),"recommendation")</f>
        <v>recommendation</v>
      </c>
      <c r="D178" s="24" t="str">
        <f>IFERROR(__xludf.DUMMYFUNCTION("""COMPUTED_VALUE"""),"And they had to also engage in a conversation with other people from other teams, uh, in the process that, uh, they were, uh, making those contributions.
Other task that we ask them to do something for our own course, and, uh, then, uh, engage in a conve"&amp;"rsation with TAs and other students to make sure everything's more work well.
")</f>
        <v>And they had to also engage in a conversation with other people from other teams, uh, in the process that, uh, they were, uh, making those contributions.
Other task that we ask them to do something for our own course, and, uh, then, uh, engage in a conversation with TAs and other students to make sure everything's more work well.
</v>
      </c>
      <c r="E178" s="24" t="str">
        <f>IFERROR(__xludf.DUMMYFUNCTION("""COMPUTED_VALUE"""),"Make students engage with people from other teams in the classes.
Engage in a conversation with teacher assistants and other students to make sure everything's more work well.")</f>
        <v>Make students engage with people from other teams in the classes.
Engage in a conversation with teacher assistants and other students to make sure everything's more work well.</v>
      </c>
      <c r="F178" s="24" t="str">
        <f>IFERROR(__xludf.DUMMYFUNCTION("""COMPUTED_VALUE"""),"Make students engage with people from other teams in the classes.")</f>
        <v>Make students engage with people from other teams in the classes.</v>
      </c>
      <c r="G178" s="45" t="str">
        <f>if(codigoRDivergenteJuiz = "first",codigoRDivergenteCodigo1,if (codigoRDivergenteJuiz = "second",codigoRDivergenteCodigo2, if (codigoRDivergenteCodigo1 = "", codigoRDivergenteCodigo2, codigoRDivergenteCodigo1)))</f>
        <v>students collaboration between different teams</v>
      </c>
      <c r="H178" s="45" t="str">
        <f>if(codigoRDivergenteJuiz = "first",codigoRDivergenteTema1,if (codigoRDivergenteJuiz = "second",codigoRDivergenteTema2, if (codigoRDivergenteCodigo1 = "", codigoRDivergenteTema2, codigoRDivergenteTema1)))</f>
        <v>devops concepts</v>
      </c>
    </row>
    <row r="179">
      <c r="A179" s="44">
        <f>IFERROR(__xludf.DUMMYFUNCTION("""COMPUTED_VALUE"""),193.0)</f>
        <v>193</v>
      </c>
      <c r="B179" s="44" t="str">
        <f>IFERROR(__xludf.DUMMYFUNCTION("""COMPUTED_VALUE"""),"R1 / R3")</f>
        <v>R1 / R3</v>
      </c>
      <c r="C179" s="44" t="str">
        <f>IFERROR(__xludf.DUMMYFUNCTION("""COMPUTED_VALUE"""),"recommendation")</f>
        <v>recommendation</v>
      </c>
      <c r="D179" s="24" t="str">
        <f>IFERROR(__xludf.DUMMYFUNCTION("""COMPUTED_VALUE"""),"if it was up to me, I would put some time to laying the background. And I'm talking about basics of DevOps and basics of some tools that are mainly used by everyone.")</f>
        <v>if it was up to me, I would put some time to laying the background. And I'm talking about basics of DevOps and basics of some tools that are mainly used by everyone.</v>
      </c>
      <c r="E179" s="24" t="str">
        <f>IFERROR(__xludf.DUMMYFUNCTION("""COMPUTED_VALUE"""),"Teacher assistants help students with basics of DevOps concepts and tools.")</f>
        <v>Teacher assistants help students with basics of DevOps concepts and tools.</v>
      </c>
      <c r="F179" s="24"/>
      <c r="G179" s="45" t="str">
        <f>if(codigoRDivergenteJuiz = "first",codigoRDivergenteCodigo1,if (codigoRDivergenteJuiz = "second",codigoRDivergenteCodigo2, if (codigoRDivergenteCodigo1 = "", codigoRDivergenteCodigo2, codigoRDivergenteCodigo1)))</f>
        <v>improvement of knowledge of students in DevOps concepts and tools by a teacher assistant</v>
      </c>
      <c r="H179" s="45" t="str">
        <f>if(codigoRDivergenteJuiz = "first",codigoRDivergenteTema1,if (codigoRDivergenteJuiz = "second",codigoRDivergenteTema2, if (codigoRDivergenteCodigo1 = "", codigoRDivergenteTema2, codigoRDivergenteTema1)))</f>
        <v>strategies in course execution</v>
      </c>
    </row>
    <row r="180">
      <c r="A180" s="44">
        <f>IFERROR(__xludf.DUMMYFUNCTION("""COMPUTED_VALUE"""),194.0)</f>
        <v>194</v>
      </c>
      <c r="B180" s="44" t="str">
        <f>IFERROR(__xludf.DUMMYFUNCTION("""COMPUTED_VALUE"""),"R2 / R3")</f>
        <v>R2 / R3</v>
      </c>
      <c r="C180" s="44" t="str">
        <f>IFERROR(__xludf.DUMMYFUNCTION("""COMPUTED_VALUE"""),"recommendation")</f>
        <v>recommendation</v>
      </c>
      <c r="D180" s="24" t="str">
        <f>IFERROR(__xludf.DUMMYFUNCTION("""COMPUTED_VALUE"""),"I think the time that we had was actually enough, it was, I think about two months ... Students had, uh, four hours in each week and they had to work on the projects, um, as well.  ...  they had some information, some background about software engineering"&amp;".")</f>
        <v>I think the time that we had was actually enough, it was, I think about two months ... Students had, uh, four hours in each week and they had to work on the projects, um, as well.  ...  they had some information, some background about software engineering.</v>
      </c>
      <c r="E180" s="24" t="str">
        <f>IFERROR(__xludf.DUMMYFUNCTION("""COMPUTED_VALUE"""),"Two months with four hours in each week is enough to students with some background about software engineering.")</f>
        <v>Two months with four hours in each week is enough to students with some background about software engineering.</v>
      </c>
      <c r="F180" s="24"/>
      <c r="G180" s="45" t="str">
        <f>if(codigoRDivergenteJuiz = "first",codigoRDivergenteCodigo1,if (codigoRDivergenteJuiz = "second",codigoRDivergenteCodigo2, if (codigoRDivergenteCodigo1 = "", codigoRDivergenteCodigo2, codigoRDivergenteCodigo1)))</f>
        <v>backgroun about software engenieeting</v>
      </c>
      <c r="H180" s="45" t="str">
        <f>if(codigoRDivergenteJuiz = "first",codigoRDivergenteTema1,if (codigoRDivergenteJuiz = "second",codigoRDivergenteTema2, if (codigoRDivergenteCodigo1 = "", codigoRDivergenteTema2, codigoRDivergenteTema1)))</f>
        <v>curriculum</v>
      </c>
    </row>
    <row r="181">
      <c r="A181" s="44">
        <f>IFERROR(__xludf.DUMMYFUNCTION("""COMPUTED_VALUE"""),195.0)</f>
        <v>195</v>
      </c>
      <c r="B181" s="44" t="str">
        <f>IFERROR(__xludf.DUMMYFUNCTION("""COMPUTED_VALUE"""),"R1 / R2")</f>
        <v>R1 / R2</v>
      </c>
      <c r="C181" s="44" t="str">
        <f>IFERROR(__xludf.DUMMYFUNCTION("""COMPUTED_VALUE"""),"recommendation")</f>
        <v>recommendation</v>
      </c>
      <c r="D181" s="24" t="str">
        <f>IFERROR(__xludf.DUMMYFUNCTION("""COMPUTED_VALUE"""),"So I had to find one that was dying and, uh, hopefully the colleague who was handling his dying course forgot to answer to an email.")</f>
        <v>So I had to find one that was dying and, uh, hopefully the colleague who was handling his dying course forgot to answer to an email.</v>
      </c>
      <c r="E181" s="24" t="str">
        <f>IFERROR(__xludf.DUMMYFUNCTION("""COMPUTED_VALUE"""),"Look for a dying course to include a DevOps one in the curriculum.")</f>
        <v>Look for a dying course to include a DevOps one in the curriculum.</v>
      </c>
      <c r="F181" s="24"/>
      <c r="G181" s="45" t="str">
        <f>if(codigoRDivergenteJuiz = "first",codigoRDivergenteCodigo1,if (codigoRDivergenteJuiz = "second",codigoRDivergenteCodigo2, if (codigoRDivergenteCodigo1 = "", codigoRDivergenteCodigo2, codigoRDivergenteCodigo1)))</f>
        <v>inclusion of DevOps discipline on curriculum</v>
      </c>
      <c r="H181" s="45" t="str">
        <f>if(codigoRDivergenteJuiz = "first",codigoRDivergenteTema1,if (codigoRDivergenteJuiz = "second",codigoRDivergenteTema2, if (codigoRDivergenteCodigo1 = "", codigoRDivergenteTema2, codigoRDivergenteTema1)))</f>
        <v>curriculum</v>
      </c>
    </row>
    <row r="182">
      <c r="A182" s="44">
        <f>IFERROR(__xludf.DUMMYFUNCTION("""COMPUTED_VALUE"""),196.0)</f>
        <v>196</v>
      </c>
      <c r="B182" s="44" t="str">
        <f>IFERROR(__xludf.DUMMYFUNCTION("""COMPUTED_VALUE"""),"R1 / R3")</f>
        <v>R1 / R3</v>
      </c>
      <c r="C182" s="44" t="str">
        <f>IFERROR(__xludf.DUMMYFUNCTION("""COMPUTED_VALUE"""),"recommendation")</f>
        <v>recommendation</v>
      </c>
      <c r="D182" s="24" t="str">
        <f>IFERROR(__xludf.DUMMYFUNCTION("""COMPUTED_VALUE"""),"So it's constantly discussing and constantly sharing in an open way, uh, what's happening, how it's teach, uh, how it's story telling and how, how things are going.")</f>
        <v>So it's constantly discussing and constantly sharing in an open way, uh, what's happening, how it's teach, uh, how it's story telling and how, how things are going.</v>
      </c>
      <c r="E182" s="24" t="str">
        <f>IFERROR(__xludf.DUMMYFUNCTION("""COMPUTED_VALUE"""),"Constantly discuss and share the DevOps teaching in an open way.")</f>
        <v>Constantly discuss and share the DevOps teaching in an open way.</v>
      </c>
      <c r="F182" s="24"/>
      <c r="G182" s="45" t="str">
        <f>if(codigoRDivergenteJuiz = "first",codigoRDivergenteCodigo1,if (codigoRDivergenteJuiz = "second",codigoRDivergenteCodigo2, if (codigoRDivergenteCodigo1 = "", codigoRDivergenteCodigo2, codigoRDivergenteCodigo1)))</f>
        <v>discussion and share of DevOps teaching in an open way</v>
      </c>
      <c r="H182" s="45" t="str">
        <f>if(codigoRDivergenteJuiz = "first",codigoRDivergenteTema1,if (codigoRDivergenteJuiz = "second",codigoRDivergenteTema2, if (codigoRDivergenteCodigo1 = "", codigoRDivergenteTema2, codigoRDivergenteTema1)))</f>
        <v>devops concepts</v>
      </c>
    </row>
    <row r="183">
      <c r="A183" s="44">
        <f>IFERROR(__xludf.DUMMYFUNCTION("""COMPUTED_VALUE"""),197.0)</f>
        <v>197</v>
      </c>
      <c r="B183" s="44" t="str">
        <f>IFERROR(__xludf.DUMMYFUNCTION("""COMPUTED_VALUE"""),"R2 / R3")</f>
        <v>R2 / R3</v>
      </c>
      <c r="C183" s="44" t="str">
        <f>IFERROR(__xludf.DUMMYFUNCTION("""COMPUTED_VALUE"""),"recommendation")</f>
        <v>recommendation</v>
      </c>
      <c r="D183" s="24" t="str">
        <f>IFERROR(__xludf.DUMMYFUNCTION("""COMPUTED_VALUE"""),"So this guy was really half time IBM and half time in the faculty of engineering.")</f>
        <v>So this guy was really half time IBM and half time in the faculty of engineering.</v>
      </c>
      <c r="E183" s="24" t="str">
        <f>IFERROR(__xludf.DUMMYFUNCTION("""COMPUTED_VALUE"""),"Teachers could be half time industrial and half time faculty.")</f>
        <v>Teachers could be half time industrial and half time faculty.</v>
      </c>
      <c r="F183" s="24"/>
      <c r="G183" s="45" t="str">
        <f>if(codigoRDivergenteJuiz = "first",codigoRDivergenteCodigo1,if (codigoRDivergenteJuiz = "second",codigoRDivergenteCodigo2, if (codigoRDivergenteCodigo1 = "", codigoRDivergenteCodigo2, codigoRDivergenteCodigo1)))</f>
        <v>half time industrial nd half time faculty</v>
      </c>
      <c r="H183" s="45" t="str">
        <f>if(codigoRDivergenteJuiz = "first",codigoRDivergenteTema1,if (codigoRDivergenteJuiz = "second",codigoRDivergenteTema2, if (codigoRDivergenteCodigo1 = "", codigoRDivergenteTema2, codigoRDivergenteTema1)))</f>
        <v>class preparation</v>
      </c>
    </row>
    <row r="184">
      <c r="A184" s="44">
        <f>IFERROR(__xludf.DUMMYFUNCTION("""COMPUTED_VALUE"""),198.0)</f>
        <v>198</v>
      </c>
      <c r="B184" s="44" t="str">
        <f>IFERROR(__xludf.DUMMYFUNCTION("""COMPUTED_VALUE"""),"R1 / R2")</f>
        <v>R1 / R2</v>
      </c>
      <c r="C184" s="44" t="str">
        <f>IFERROR(__xludf.DUMMYFUNCTION("""COMPUTED_VALUE"""),"recommendation")</f>
        <v>recommendation</v>
      </c>
      <c r="D184" s="24" t="str">
        <f>IFERROR(__xludf.DUMMYFUNCTION("""COMPUTED_VALUE"""),"we use the bluemix, uh, platform from, uh, IBM, that was really, everything was integrated and those kinds of things that was really good in a way,")</f>
        <v>we use the bluemix, uh, platform from, uh, IBM, that was really, everything was integrated and those kinds of things that was really good in a way,</v>
      </c>
      <c r="E184" s="24" t="str">
        <f>IFERROR(__xludf.DUMMYFUNCTION("""COMPUTED_VALUE"""),"DevOps tools are well integrated in Bluemix platform from IBM.")</f>
        <v>DevOps tools are well integrated in Bluemix platform from IBM.</v>
      </c>
      <c r="F184" s="24"/>
      <c r="G184" s="45" t="str">
        <f>if(codigoRDivergenteJuiz = "first",codigoRDivergenteCodigo1,if (codigoRDivergenteJuiz = "second",codigoRDivergenteCodigo2, if (codigoRDivergenteCodigo1 = "", codigoRDivergenteCodigo2, codigoRDivergenteCodigo1)))</f>
        <v>Bluemix platform as a DevOps tool</v>
      </c>
      <c r="H184" s="45" t="str">
        <f>if(codigoRDivergenteJuiz = "first",codigoRDivergenteTema1,if (codigoRDivergenteJuiz = "second",codigoRDivergenteTema2, if (codigoRDivergenteCodigo1 = "", codigoRDivergenteTema2, codigoRDivergenteTema1)))</f>
        <v>tool / technology</v>
      </c>
    </row>
    <row r="185">
      <c r="A185" s="44">
        <f>IFERROR(__xludf.DUMMYFUNCTION("""COMPUTED_VALUE"""),199.0)</f>
        <v>199</v>
      </c>
      <c r="B185" s="44" t="str">
        <f>IFERROR(__xludf.DUMMYFUNCTION("""COMPUTED_VALUE"""),"R1 / R3")</f>
        <v>R1 / R3</v>
      </c>
      <c r="C185" s="44" t="str">
        <f>IFERROR(__xludf.DUMMYFUNCTION("""COMPUTED_VALUE"""),"recommendation")</f>
        <v>recommendation</v>
      </c>
      <c r="D185" s="24" t="str">
        <f>IFERROR(__xludf.DUMMYFUNCTION("""COMPUTED_VALUE"""),"And it was selected by 80% of the cohort, which usually an elective course is like 20%. So is it like we had a lot of students inside these insights because they all wanted to learn about devops.")</f>
        <v>And it was selected by 80% of the cohort, which usually an elective course is like 20%. So is it like we had a lot of students inside these insights because they all wanted to learn about devops.</v>
      </c>
      <c r="E185" s="24" t="str">
        <f>IFERROR(__xludf.DUMMYFUNCTION("""COMPUTED_VALUE"""),"DevOps course as elective course have students that wanted to learn about DevOps.")</f>
        <v>DevOps course as elective course have students that wanted to learn about DevOps.</v>
      </c>
      <c r="F185" s="24"/>
      <c r="G185" s="45" t="str">
        <f>if(codigoRDivergenteJuiz = "first",codigoRDivergenteCodigo1,if (codigoRDivergenteJuiz = "second",codigoRDivergenteCodigo2, if (codigoRDivergenteCodigo1 = "", codigoRDivergenteCodigo2, codigoRDivergenteCodigo1)))</f>
        <v>student interest in an elective DevOps course</v>
      </c>
      <c r="H185" s="45" t="str">
        <f>if(codigoRDivergenteJuiz = "first",codigoRDivergenteTema1,if (codigoRDivergenteJuiz = "second",codigoRDivergenteTema2, if (codigoRDivergenteCodigo1 = "", codigoRDivergenteTema2, codigoRDivergenteTema1)))</f>
        <v>curriculum</v>
      </c>
    </row>
    <row r="186">
      <c r="A186" s="44">
        <f>IFERROR(__xludf.DUMMYFUNCTION("""COMPUTED_VALUE"""),200.0)</f>
        <v>200</v>
      </c>
      <c r="B186" s="44" t="str">
        <f>IFERROR(__xludf.DUMMYFUNCTION("""COMPUTED_VALUE"""),"R2 / R3")</f>
        <v>R2 / R3</v>
      </c>
      <c r="C186" s="44" t="str">
        <f>IFERROR(__xludf.DUMMYFUNCTION("""COMPUTED_VALUE"""),"recommendation")</f>
        <v>recommendation</v>
      </c>
      <c r="D186" s="24" t="str">
        <f>IFERROR(__xludf.DUMMYFUNCTION("""COMPUTED_VALUE"""),"what we've done was first to, um, continuously evaluate the teams are they were working on the project.")</f>
        <v>what we've done was first to, um, continuously evaluate the teams are they were working on the project.</v>
      </c>
      <c r="E186" s="24" t="str">
        <f>IFERROR(__xludf.DUMMYFUNCTION("""COMPUTED_VALUE"""),"Make a continuous evaluation of the projects of the students.")</f>
        <v>Make a continuous evaluation of the projects of the students.</v>
      </c>
      <c r="F186" s="24"/>
      <c r="G186" s="45" t="str">
        <f>if(codigoRDivergenteJuiz = "first",codigoRDivergenteCodigo1,if (codigoRDivergenteJuiz = "second",codigoRDivergenteCodigo2, if (codigoRDivergenteCodigo1 = "", codigoRDivergenteCodigo2, codigoRDivergenteCodigo1)))</f>
        <v>Continuous evaluation of projects</v>
      </c>
      <c r="H186" s="45" t="str">
        <f>if(codigoRDivergenteJuiz = "first",codigoRDivergenteTema1,if (codigoRDivergenteJuiz = "second",codigoRDivergenteTema2, if (codigoRDivergenteCodigo1 = "", codigoRDivergenteTema2, codigoRDivergenteTema1)))</f>
        <v>assessment</v>
      </c>
    </row>
  </sheetData>
  <printOptions gridLines="1" horizontalCentered="1"/>
  <pageMargins bottom="0.75" footer="0.0" header="0.0" left="0.7" right="0.7" top="0.75"/>
  <pageSetup fitToHeight="0" paperSize="9" cellComments="atEnd" orientation="landscape" pageOrder="overThenDown"/>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36.43"/>
    <col customWidth="1" min="2" max="2" width="14.0"/>
    <col customWidth="1" min="3" max="3" width="16.43"/>
    <col customWidth="1" min="4" max="4" width="22.14"/>
    <col customWidth="1" min="5" max="5" width="24.0"/>
    <col customWidth="1" min="6" max="6" width="7.0"/>
    <col customWidth="1" min="7" max="7" width="8.86"/>
    <col customWidth="1" min="8" max="8" width="8.43"/>
    <col customWidth="1" min="9" max="9" width="108.86"/>
    <col customWidth="1" min="10" max="10" width="8.43"/>
  </cols>
  <sheetData>
    <row r="1">
      <c r="A1" s="70" t="s">
        <v>6</v>
      </c>
      <c r="B1" s="71" t="s">
        <v>555</v>
      </c>
      <c r="C1" s="71" t="s">
        <v>556</v>
      </c>
      <c r="D1" s="71" t="s">
        <v>557</v>
      </c>
      <c r="E1" s="71" t="s">
        <v>558</v>
      </c>
      <c r="F1" s="71" t="s">
        <v>559</v>
      </c>
      <c r="G1" s="71" t="s">
        <v>560</v>
      </c>
      <c r="H1" s="71"/>
      <c r="I1" s="71"/>
      <c r="J1" s="71"/>
    </row>
    <row r="2">
      <c r="A2" s="72" t="s">
        <v>12</v>
      </c>
      <c r="B2" s="73">
        <f>countifs('Challenge Codes-Final'!H:H,A2)</f>
        <v>14</v>
      </c>
      <c r="C2" s="74">
        <f t="shared" ref="C2:C9" si="1">B2/B$9</f>
        <v>0.1686746988</v>
      </c>
      <c r="D2" s="73">
        <f>countifs('Recommendation Codes-Final'!H:H,A2)</f>
        <v>12</v>
      </c>
      <c r="E2" s="74">
        <f t="shared" ref="E2:E9" si="2">D2/D$9</f>
        <v>0.06486486486</v>
      </c>
      <c r="F2" s="73">
        <f t="shared" ref="F2:F8" si="3">B2+D2</f>
        <v>26</v>
      </c>
      <c r="G2" s="74">
        <f t="shared" ref="G2:G9" si="4">F2/F$9</f>
        <v>0.09701492537</v>
      </c>
      <c r="H2" s="74"/>
      <c r="I2" s="74"/>
      <c r="J2" s="74"/>
    </row>
    <row r="3">
      <c r="A3" s="72" t="s">
        <v>18</v>
      </c>
      <c r="B3" s="73">
        <f>countifs('Challenge Codes-Final'!H:H,A3)</f>
        <v>15</v>
      </c>
      <c r="C3" s="74">
        <f t="shared" si="1"/>
        <v>0.1807228916</v>
      </c>
      <c r="D3" s="73">
        <f>countifs('Recommendation Codes-Final'!H:H,A3)</f>
        <v>47</v>
      </c>
      <c r="E3" s="74">
        <f t="shared" si="2"/>
        <v>0.2540540541</v>
      </c>
      <c r="F3" s="73">
        <f t="shared" si="3"/>
        <v>62</v>
      </c>
      <c r="G3" s="74">
        <f t="shared" si="4"/>
        <v>0.2313432836</v>
      </c>
      <c r="H3" s="74"/>
      <c r="I3" s="74"/>
      <c r="J3" s="74"/>
    </row>
    <row r="4">
      <c r="A4" s="72" t="s">
        <v>16</v>
      </c>
      <c r="B4" s="73">
        <f>countifs('Challenge Codes-Final'!H:H,A4)</f>
        <v>14</v>
      </c>
      <c r="C4" s="74">
        <f t="shared" si="1"/>
        <v>0.1686746988</v>
      </c>
      <c r="D4" s="73">
        <f>countifs('Recommendation Codes-Final'!H:H,A4)</f>
        <v>13</v>
      </c>
      <c r="E4" s="74">
        <f t="shared" si="2"/>
        <v>0.07027027027</v>
      </c>
      <c r="F4" s="73">
        <f t="shared" si="3"/>
        <v>27</v>
      </c>
      <c r="G4" s="74">
        <f t="shared" si="4"/>
        <v>0.1007462687</v>
      </c>
      <c r="H4" s="74"/>
      <c r="I4" s="74"/>
      <c r="J4" s="74"/>
    </row>
    <row r="5">
      <c r="A5" s="72" t="s">
        <v>29</v>
      </c>
      <c r="B5" s="73">
        <f>countifs('Challenge Codes-Final'!H:H,A5)</f>
        <v>10</v>
      </c>
      <c r="C5" s="74">
        <f t="shared" si="1"/>
        <v>0.1204819277</v>
      </c>
      <c r="D5" s="73">
        <f>countifs('Recommendation Codes-Final'!H:H,A5)</f>
        <v>17</v>
      </c>
      <c r="E5" s="74">
        <f t="shared" si="2"/>
        <v>0.09189189189</v>
      </c>
      <c r="F5" s="73">
        <f t="shared" si="3"/>
        <v>27</v>
      </c>
      <c r="G5" s="74">
        <f t="shared" si="4"/>
        <v>0.1007462687</v>
      </c>
      <c r="H5" s="74"/>
      <c r="I5" s="74"/>
      <c r="J5" s="74"/>
    </row>
    <row r="6">
      <c r="A6" s="72" t="s">
        <v>24</v>
      </c>
      <c r="B6" s="73">
        <f>countifs('Challenge Codes-Final'!H:H,A6)</f>
        <v>12</v>
      </c>
      <c r="C6" s="74">
        <f t="shared" si="1"/>
        <v>0.1445783133</v>
      </c>
      <c r="D6" s="73">
        <f>countifs('Recommendation Codes-Final'!H:H,A6)</f>
        <v>22</v>
      </c>
      <c r="E6" s="74">
        <f t="shared" si="2"/>
        <v>0.1189189189</v>
      </c>
      <c r="F6" s="73">
        <f t="shared" si="3"/>
        <v>34</v>
      </c>
      <c r="G6" s="74">
        <f t="shared" si="4"/>
        <v>0.1268656716</v>
      </c>
      <c r="H6" s="74"/>
      <c r="I6" s="74"/>
      <c r="J6" s="74"/>
    </row>
    <row r="7">
      <c r="A7" s="72" t="s">
        <v>10</v>
      </c>
      <c r="B7" s="73">
        <f>countifs('Challenge Codes-Final'!H:H,A7)</f>
        <v>8</v>
      </c>
      <c r="C7" s="74">
        <f t="shared" si="1"/>
        <v>0.09638554217</v>
      </c>
      <c r="D7" s="73">
        <f>countifs('Recommendation Codes-Final'!H:H,A7)</f>
        <v>25</v>
      </c>
      <c r="E7" s="74">
        <f t="shared" si="2"/>
        <v>0.1351351351</v>
      </c>
      <c r="F7" s="73">
        <f t="shared" si="3"/>
        <v>33</v>
      </c>
      <c r="G7" s="74">
        <f t="shared" si="4"/>
        <v>0.1231343284</v>
      </c>
      <c r="H7" s="74"/>
      <c r="I7" s="74"/>
      <c r="J7" s="74"/>
    </row>
    <row r="8">
      <c r="A8" s="72" t="s">
        <v>73</v>
      </c>
      <c r="B8" s="73">
        <f>countifs('Challenge Codes-Final'!H:H,A8)</f>
        <v>10</v>
      </c>
      <c r="C8" s="74">
        <f t="shared" si="1"/>
        <v>0.1204819277</v>
      </c>
      <c r="D8" s="73">
        <f>countifs('Recommendation Codes-Final'!H:H,A8)</f>
        <v>49</v>
      </c>
      <c r="E8" s="74">
        <f t="shared" si="2"/>
        <v>0.2648648649</v>
      </c>
      <c r="F8" s="73">
        <f t="shared" si="3"/>
        <v>59</v>
      </c>
      <c r="G8" s="74">
        <f t="shared" si="4"/>
        <v>0.2201492537</v>
      </c>
      <c r="H8" s="74"/>
      <c r="I8" s="74"/>
      <c r="J8" s="74"/>
    </row>
    <row r="9">
      <c r="A9" s="75" t="s">
        <v>561</v>
      </c>
      <c r="B9" s="76">
        <f>sum(B2:B8)</f>
        <v>83</v>
      </c>
      <c r="C9" s="74">
        <f t="shared" si="1"/>
        <v>1</v>
      </c>
      <c r="D9" s="76">
        <f>sum(D2:D8)</f>
        <v>185</v>
      </c>
      <c r="E9" s="74">
        <f t="shared" si="2"/>
        <v>1</v>
      </c>
      <c r="F9" s="76">
        <f>sum(F2:F8)</f>
        <v>268</v>
      </c>
      <c r="G9" s="74">
        <f t="shared" si="4"/>
        <v>1</v>
      </c>
      <c r="H9" s="74"/>
      <c r="I9" s="74"/>
      <c r="J9" s="74"/>
    </row>
    <row r="10">
      <c r="A10" s="77"/>
      <c r="B10" s="78"/>
      <c r="C10" s="79"/>
      <c r="D10" s="78"/>
      <c r="E10" s="79"/>
      <c r="F10" s="78"/>
      <c r="G10" s="78"/>
      <c r="H10" s="78"/>
      <c r="I10" s="78"/>
      <c r="J10" s="78"/>
    </row>
    <row r="11">
      <c r="C11" s="80"/>
      <c r="E11" s="80"/>
    </row>
    <row r="12">
      <c r="C12" s="80"/>
      <c r="E12" s="80"/>
    </row>
    <row r="13">
      <c r="C13" s="80"/>
      <c r="E13" s="80"/>
    </row>
    <row r="14">
      <c r="A14" s="77"/>
      <c r="B14" s="77"/>
      <c r="C14" s="81"/>
      <c r="D14" s="77"/>
      <c r="E14" s="81"/>
      <c r="F14" s="77"/>
      <c r="G14" s="77"/>
      <c r="H14" s="77"/>
      <c r="I14" s="77"/>
      <c r="J14" s="77"/>
    </row>
    <row r="15">
      <c r="A15" s="77"/>
      <c r="B15" s="77"/>
      <c r="C15" s="81"/>
      <c r="D15" s="77"/>
      <c r="E15" s="81"/>
      <c r="F15" s="77"/>
      <c r="G15" s="77"/>
      <c r="H15" s="77"/>
      <c r="I15" s="77"/>
      <c r="J15" s="77"/>
    </row>
    <row r="16">
      <c r="A16" s="78"/>
      <c r="B16" s="78"/>
      <c r="C16" s="79"/>
      <c r="D16" s="78"/>
      <c r="E16" s="79"/>
      <c r="F16" s="78"/>
      <c r="G16" s="78"/>
      <c r="H16" s="78"/>
      <c r="I16" s="78"/>
      <c r="J16" s="78"/>
    </row>
    <row r="17">
      <c r="A17" s="77"/>
      <c r="B17" s="78"/>
      <c r="C17" s="79"/>
      <c r="D17" s="78"/>
      <c r="E17" s="79"/>
      <c r="F17" s="78"/>
      <c r="G17" s="78"/>
      <c r="H17" s="78"/>
      <c r="I17" s="78"/>
      <c r="J17" s="78"/>
    </row>
    <row r="18">
      <c r="A18" s="77"/>
      <c r="B18" s="77"/>
      <c r="C18" s="81"/>
      <c r="D18" s="77"/>
      <c r="E18" s="81"/>
      <c r="F18" s="77"/>
      <c r="G18" s="77"/>
      <c r="H18" s="77"/>
      <c r="I18" s="77"/>
      <c r="J18" s="77"/>
    </row>
    <row r="19">
      <c r="A19" s="77"/>
      <c r="B19" s="77"/>
      <c r="C19" s="81"/>
      <c r="D19" s="77"/>
      <c r="E19" s="81"/>
      <c r="F19" s="77"/>
      <c r="G19" s="77"/>
      <c r="H19" s="77"/>
      <c r="I19" s="77"/>
      <c r="J19" s="77"/>
    </row>
    <row r="20">
      <c r="A20" s="77"/>
      <c r="B20" s="77"/>
      <c r="C20" s="81"/>
      <c r="D20" s="77"/>
      <c r="E20" s="81"/>
      <c r="F20" s="77"/>
      <c r="G20" s="77"/>
      <c r="H20" s="77"/>
      <c r="I20" s="77"/>
      <c r="J20" s="77"/>
    </row>
    <row r="21">
      <c r="A21" s="78"/>
      <c r="B21" s="78"/>
      <c r="C21" s="79"/>
      <c r="D21" s="78"/>
      <c r="E21" s="79"/>
      <c r="F21" s="78"/>
      <c r="G21" s="78"/>
      <c r="H21" s="78"/>
      <c r="I21" s="78"/>
      <c r="J21" s="78"/>
    </row>
    <row r="22">
      <c r="A22" s="77"/>
      <c r="B22" s="78"/>
      <c r="C22" s="79"/>
      <c r="D22" s="78"/>
      <c r="E22" s="79"/>
      <c r="F22" s="78"/>
      <c r="G22" s="78"/>
      <c r="H22" s="78"/>
      <c r="I22" s="78"/>
      <c r="J22" s="78"/>
    </row>
    <row r="23">
      <c r="A23" s="77"/>
      <c r="B23" s="76"/>
      <c r="C23" s="82"/>
      <c r="D23" s="76"/>
      <c r="E23" s="82"/>
      <c r="F23" s="76"/>
      <c r="G23" s="76"/>
      <c r="H23" s="76"/>
      <c r="I23" s="76"/>
      <c r="J23" s="76"/>
    </row>
    <row r="24">
      <c r="B24" s="76"/>
      <c r="C24" s="82"/>
      <c r="D24" s="76"/>
      <c r="E24" s="82"/>
      <c r="F24" s="76"/>
      <c r="G24" s="76"/>
      <c r="H24" s="76"/>
      <c r="I24" s="76"/>
      <c r="J24" s="76"/>
    </row>
    <row r="25">
      <c r="B25" s="78"/>
      <c r="C25" s="79"/>
      <c r="D25" s="78"/>
      <c r="E25" s="79"/>
      <c r="F25" s="78"/>
      <c r="G25" s="78"/>
      <c r="H25" s="78"/>
      <c r="I25" s="78"/>
      <c r="J25" s="78"/>
    </row>
    <row r="26">
      <c r="A26" s="77"/>
      <c r="B26" s="78"/>
      <c r="C26" s="79"/>
      <c r="D26" s="78"/>
      <c r="E26" s="79"/>
      <c r="F26" s="78"/>
      <c r="G26" s="78"/>
      <c r="H26" s="78"/>
      <c r="I26" s="78"/>
      <c r="J26" s="78"/>
    </row>
    <row r="27">
      <c r="B27" s="77"/>
      <c r="C27" s="81"/>
      <c r="D27" s="77"/>
      <c r="E27" s="81"/>
      <c r="F27" s="77"/>
      <c r="G27" s="77"/>
      <c r="H27" s="77"/>
      <c r="I27" s="77"/>
      <c r="J27" s="77"/>
    </row>
  </sheetData>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10.14"/>
    <col customWidth="1" min="2" max="2" width="98.71"/>
    <col customWidth="1" min="3" max="3" width="72.43"/>
    <col customWidth="1" min="4" max="4" width="48.71"/>
    <col customWidth="1" min="5" max="5" width="35.57"/>
    <col customWidth="1" min="6" max="6" width="48.29"/>
  </cols>
  <sheetData>
    <row r="1">
      <c r="A1" s="2" t="s">
        <v>562</v>
      </c>
      <c r="B1" s="83" t="s">
        <v>2</v>
      </c>
      <c r="C1" s="2" t="s">
        <v>3</v>
      </c>
      <c r="D1" s="2" t="s">
        <v>4</v>
      </c>
      <c r="E1" s="84" t="s">
        <v>5</v>
      </c>
      <c r="F1" s="84" t="s">
        <v>6</v>
      </c>
    </row>
    <row r="2" ht="106.5" customHeight="1">
      <c r="A2" s="13">
        <v>1.0</v>
      </c>
      <c r="B2" s="37" t="s">
        <v>563</v>
      </c>
      <c r="C2" s="13" t="s">
        <v>564</v>
      </c>
      <c r="D2" s="13" t="s">
        <v>565</v>
      </c>
      <c r="E2" s="13" t="str">
        <f>IFERROR(__xludf.DUMMYFUNCTION("filter('Challenge Codes-Final'!G:H,'Challenge Codes-Final'!A:A=A2)"),"insufficient knowledge of students")</f>
        <v>insufficient knowledge of students</v>
      </c>
      <c r="F2" s="13" t="str">
        <f>IFERROR(__xludf.DUMMYFUNCTION("""COMPUTED_VALUE"""),"curriculum")</f>
        <v>curriculum</v>
      </c>
    </row>
    <row r="3">
      <c r="A3" s="13">
        <v>2.0</v>
      </c>
      <c r="B3" s="37" t="s">
        <v>566</v>
      </c>
      <c r="C3" s="13" t="s">
        <v>567</v>
      </c>
      <c r="D3" s="13" t="s">
        <v>568</v>
      </c>
      <c r="E3" s="13" t="str">
        <f>IFERROR(__xludf.DUMMYFUNCTION("filter('Challenge Codes-Final'!G:H,'Challenge Codes-Final'!A:A=A3)"),"Difficulty in setting up the environment")</f>
        <v>Difficulty in setting up the environment</v>
      </c>
      <c r="F3" s="13" t="str">
        <f>IFERROR(__xludf.DUMMYFUNCTION("""COMPUTED_VALUE"""),"environment setup")</f>
        <v>environment setup</v>
      </c>
    </row>
    <row r="4" ht="69.75" customHeight="1">
      <c r="A4" s="13">
        <v>3.0</v>
      </c>
      <c r="B4" s="37" t="s">
        <v>569</v>
      </c>
      <c r="C4" s="13" t="s">
        <v>570</v>
      </c>
      <c r="D4" s="13" t="s">
        <v>571</v>
      </c>
      <c r="E4" s="13" t="str">
        <f>IFERROR(__xludf.DUMMYFUNCTION("filter('Challenge Codes-Final'!G:H,'Challenge Codes-Final'!A:A=A4)"),"lack of computing resources")</f>
        <v>lack of computing resources</v>
      </c>
      <c r="F4" s="13" t="str">
        <f>IFERROR(__xludf.DUMMYFUNCTION("""COMPUTED_VALUE"""),"environment setup")</f>
        <v>environment setup</v>
      </c>
    </row>
    <row r="5" ht="115.5" customHeight="1">
      <c r="A5" s="13">
        <v>4.0</v>
      </c>
      <c r="B5" s="37" t="s">
        <v>572</v>
      </c>
      <c r="C5" s="85" t="s">
        <v>573</v>
      </c>
      <c r="D5" s="13" t="s">
        <v>574</v>
      </c>
      <c r="E5" s="13" t="str">
        <f>IFERROR(__xludf.DUMMYFUNCTION("filter('Challenge Codes-Final'!G:H,'Challenge Codes-Final'!A:A=A5)"),"Difficulty in using internet Cloud services")</f>
        <v>Difficulty in using internet Cloud services</v>
      </c>
      <c r="F5" s="13" t="str">
        <f>IFERROR(__xludf.DUMMYFUNCTION("""COMPUTED_VALUE"""),"environment setup")</f>
        <v>environment setup</v>
      </c>
    </row>
    <row r="6" ht="134.25" customHeight="1">
      <c r="A6" s="13">
        <v>6.0</v>
      </c>
      <c r="B6" s="37" t="s">
        <v>575</v>
      </c>
      <c r="C6" s="13" t="s">
        <v>576</v>
      </c>
      <c r="D6" s="13" t="s">
        <v>577</v>
      </c>
      <c r="E6" s="13" t="str">
        <f>IFERROR(__xludf.DUMMYFUNCTION("filter('Challenge Codes-Final'!G:H,'Challenge Codes-Final'!A:A=A6)"),"Lack of taxonomy of DevOps concepts")</f>
        <v>Lack of taxonomy of DevOps concepts</v>
      </c>
      <c r="F6" s="13" t="str">
        <f>IFERROR(__xludf.DUMMYFUNCTION("""COMPUTED_VALUE"""),"devops concepts")</f>
        <v>devops concepts</v>
      </c>
    </row>
    <row r="7" ht="134.25" customHeight="1">
      <c r="A7" s="13">
        <v>7.0</v>
      </c>
      <c r="B7" s="37" t="s">
        <v>578</v>
      </c>
      <c r="C7" s="13" t="s">
        <v>579</v>
      </c>
      <c r="D7" s="13"/>
      <c r="E7" s="13" t="str">
        <f>IFERROR(__xludf.DUMMYFUNCTION("filter('Challenge Codes-Final'!G:H,'Challenge Codes-Final'!A:A=A7)"),"Lack of specific tool for DevOps teaching")</f>
        <v>Lack of specific tool for DevOps teaching</v>
      </c>
      <c r="F7" s="13" t="str">
        <f>IFERROR(__xludf.DUMMYFUNCTION("""COMPUTED_VALUE"""),"tool / technology")</f>
        <v>tool / technology</v>
      </c>
    </row>
    <row r="8" ht="221.25" customHeight="1">
      <c r="A8" s="13">
        <v>8.0</v>
      </c>
      <c r="B8" s="37" t="s">
        <v>580</v>
      </c>
      <c r="C8" s="13" t="s">
        <v>581</v>
      </c>
      <c r="D8" s="13" t="s">
        <v>582</v>
      </c>
      <c r="E8" s="13" t="str">
        <f>IFERROR(__xludf.DUMMYFUNCTION("filter('Challenge Codes-Final'!G:H,'Challenge Codes-Final'!A:A=A8)"),"Limited time on teaching DevOps")</f>
        <v>Limited time on teaching DevOps</v>
      </c>
      <c r="F8" s="13" t="str">
        <f>IFERROR(__xludf.DUMMYFUNCTION("""COMPUTED_VALUE"""),"curriculum")</f>
        <v>curriculum</v>
      </c>
    </row>
    <row r="9" ht="134.25" customHeight="1">
      <c r="A9" s="13">
        <v>9.0</v>
      </c>
      <c r="B9" s="37" t="s">
        <v>583</v>
      </c>
      <c r="C9" s="13" t="s">
        <v>584</v>
      </c>
      <c r="D9" s="13" t="s">
        <v>585</v>
      </c>
      <c r="E9" s="13" t="str">
        <f>IFERROR(__xludf.DUMMYFUNCTION("filter('Challenge Codes-Final'!G:H,'Challenge Codes-Final'!A:A=A9)"),"Difficulty during institution's resources authorization.")</f>
        <v>Difficulty during institution's resources authorization.</v>
      </c>
      <c r="F9" s="13" t="str">
        <f>IFERROR(__xludf.DUMMYFUNCTION("""COMPUTED_VALUE"""),"environment setup")</f>
        <v>environment setup</v>
      </c>
    </row>
    <row r="10" ht="134.25" customHeight="1">
      <c r="A10" s="13">
        <v>10.0</v>
      </c>
      <c r="B10" s="37" t="s">
        <v>586</v>
      </c>
      <c r="C10" s="13" t="s">
        <v>587</v>
      </c>
      <c r="D10" s="13"/>
      <c r="E10" s="13" t="str">
        <f>IFERROR(__xludf.DUMMYFUNCTION("filter('Challenge Codes-Final'!G:H,'Challenge Codes-Final'!A:A=A10)"),"No automated environment configuration tool.")</f>
        <v>No automated environment configuration tool.</v>
      </c>
      <c r="F10" s="13" t="str">
        <f>IFERROR(__xludf.DUMMYFUNCTION("""COMPUTED_VALUE"""),"environment setup")</f>
        <v>environment setup</v>
      </c>
    </row>
    <row r="11" ht="134.25" customHeight="1">
      <c r="A11" s="13">
        <v>11.0</v>
      </c>
      <c r="B11" s="37" t="s">
        <v>588</v>
      </c>
      <c r="C11" s="13" t="s">
        <v>589</v>
      </c>
      <c r="D11" s="13"/>
      <c r="E11" s="13" t="str">
        <f>IFERROR(__xludf.DUMMYFUNCTION("filter('Challenge Codes-Final'!G:H,'Challenge Codes-Final'!A:A=A11)"),"Lack of tools installation script.")</f>
        <v>Lack of tools installation script.</v>
      </c>
      <c r="F11" s="13" t="str">
        <f>IFERROR(__xludf.DUMMYFUNCTION("""COMPUTED_VALUE"""),"environment setup")</f>
        <v>environment setup</v>
      </c>
    </row>
    <row r="12" ht="123.75" customHeight="1">
      <c r="A12" s="13">
        <v>12.0</v>
      </c>
      <c r="B12" s="37" t="s">
        <v>590</v>
      </c>
      <c r="C12" s="13" t="s">
        <v>591</v>
      </c>
      <c r="D12" s="13" t="s">
        <v>592</v>
      </c>
      <c r="E12" s="13" t="str">
        <f>IFERROR(__xludf.DUMMYFUNCTION("filter('Challenge Codes-Final'!G:H,'Challenge Codes-Final'!A:A=A12)"),"Insufficient literature.")</f>
        <v>Insufficient literature.</v>
      </c>
      <c r="F12" s="13" t="str">
        <f>IFERROR(__xludf.DUMMYFUNCTION("""COMPUTED_VALUE"""),"class preparation")</f>
        <v>class preparation</v>
      </c>
    </row>
    <row r="13" ht="123.75" customHeight="1">
      <c r="A13" s="13">
        <v>13.0</v>
      </c>
      <c r="B13" s="37" t="s">
        <v>593</v>
      </c>
      <c r="C13" s="13" t="s">
        <v>594</v>
      </c>
      <c r="D13" s="13" t="s">
        <v>595</v>
      </c>
      <c r="E13" s="13" t="str">
        <f>IFERROR(__xludf.DUMMYFUNCTION("filter('Challenge Codes-Final'!G:H,'Challenge Codes-Final'!A:A=A13)"),"Exercises with professional scenarios")</f>
        <v>Exercises with professional scenarios</v>
      </c>
      <c r="F13" s="13" t="str">
        <f>IFERROR(__xludf.DUMMYFUNCTION("""COMPUTED_VALUE"""),"strategies in course execution")</f>
        <v>strategies in course execution</v>
      </c>
    </row>
    <row r="14" ht="123.75" customHeight="1">
      <c r="A14" s="13">
        <v>14.0</v>
      </c>
      <c r="B14" s="37" t="s">
        <v>596</v>
      </c>
      <c r="C14" s="13" t="s">
        <v>597</v>
      </c>
      <c r="D14" s="13" t="s">
        <v>598</v>
      </c>
      <c r="E14" s="13" t="str">
        <f>IFERROR(__xludf.DUMMYFUNCTION("filter('Challenge Codes-Final'!G:H,'Challenge Codes-Final'!A:A=A14)"),"Difficulty in teaching about operationalization and addition of new system features")</f>
        <v>Difficulty in teaching about operationalization and addition of new system features</v>
      </c>
      <c r="F14" s="13" t="str">
        <f>IFERROR(__xludf.DUMMYFUNCTION("""COMPUTED_VALUE"""),"devops concepts")</f>
        <v>devops concepts</v>
      </c>
    </row>
    <row r="15" ht="123.75" customHeight="1">
      <c r="A15" s="13">
        <v>15.0</v>
      </c>
      <c r="B15" s="37" t="s">
        <v>599</v>
      </c>
      <c r="C15" s="13" t="s">
        <v>600</v>
      </c>
      <c r="D15" s="13"/>
      <c r="E15" s="13" t="str">
        <f>IFERROR(__xludf.DUMMYFUNCTION("filter('Challenge Codes-Final'!G:H,'Challenge Codes-Final'!A:A=A15)"),"Difficulty in evaluating the understanding of Continuous Delivery")</f>
        <v>Difficulty in evaluating the understanding of Continuous Delivery</v>
      </c>
      <c r="F15" s="13" t="str">
        <f>IFERROR(__xludf.DUMMYFUNCTION("""COMPUTED_VALUE"""),"assessment")</f>
        <v>assessment</v>
      </c>
    </row>
    <row r="16" ht="123.75" customHeight="1">
      <c r="A16" s="13">
        <v>16.0</v>
      </c>
      <c r="B16" s="37" t="s">
        <v>601</v>
      </c>
      <c r="C16" s="13" t="s">
        <v>602</v>
      </c>
      <c r="D16" s="13" t="s">
        <v>603</v>
      </c>
      <c r="E16" s="13" t="str">
        <f>IFERROR(__xludf.DUMMYFUNCTION("filter('Challenge Codes-Final'!G:H,'Challenge Codes-Final'!A:A=A16)"),"Difficulty in tool change")</f>
        <v>Difficulty in tool change</v>
      </c>
      <c r="F16" s="13" t="str">
        <f>IFERROR(__xludf.DUMMYFUNCTION("""COMPUTED_VALUE"""),"environment setup")</f>
        <v>environment setup</v>
      </c>
    </row>
    <row r="17">
      <c r="A17" s="13">
        <v>17.0</v>
      </c>
      <c r="B17" s="37" t="s">
        <v>604</v>
      </c>
      <c r="C17" s="13" t="s">
        <v>605</v>
      </c>
      <c r="D17" s="13"/>
      <c r="E17" s="13" t="str">
        <f>IFERROR(__xludf.DUMMYFUNCTION("filter('Challenge Codes-Final'!G:H,'Challenge Codes-Final'!A:A=A17)"),"Difficulty with Docker")</f>
        <v>Difficulty with Docker</v>
      </c>
      <c r="F17" s="13" t="str">
        <f>IFERROR(__xludf.DUMMYFUNCTION("""COMPUTED_VALUE"""),"tool / technology")</f>
        <v>tool / technology</v>
      </c>
    </row>
    <row r="18">
      <c r="A18" s="13">
        <v>19.0</v>
      </c>
      <c r="B18" s="37" t="s">
        <v>606</v>
      </c>
      <c r="C18" s="13" t="s">
        <v>607</v>
      </c>
      <c r="D18" s="86"/>
      <c r="E18" s="13" t="str">
        <f>IFERROR(__xludf.DUMMYFUNCTION("filter('Challenge Codes-Final'!G:H,'Challenge Codes-Final'!A:A=A18)"),"Difficulty in understanding the importance of setting the environment")</f>
        <v>Difficulty in understanding the importance of setting the environment</v>
      </c>
      <c r="F18" s="13" t="str">
        <f>IFERROR(__xludf.DUMMYFUNCTION("""COMPUTED_VALUE"""),"environment setup")</f>
        <v>environment setup</v>
      </c>
    </row>
    <row r="19">
      <c r="A19" s="13">
        <v>22.0</v>
      </c>
      <c r="B19" s="37" t="s">
        <v>608</v>
      </c>
      <c r="C19" s="13" t="s">
        <v>609</v>
      </c>
      <c r="D19" s="13" t="s">
        <v>610</v>
      </c>
      <c r="E19" s="13" t="str">
        <f>IFERROR(__xludf.DUMMYFUNCTION("filter('Challenge Codes-Final'!G:H,'Challenge Codes-Final'!A:A=A19)"),"Abundance of tools for DevOps practices")</f>
        <v>Abundance of tools for DevOps practices</v>
      </c>
      <c r="F19" s="13" t="str">
        <f>IFERROR(__xludf.DUMMYFUNCTION("""COMPUTED_VALUE"""),"tool / technology")</f>
        <v>tool / technology</v>
      </c>
    </row>
    <row r="20">
      <c r="A20" s="13">
        <v>25.0</v>
      </c>
      <c r="B20" s="37" t="s">
        <v>611</v>
      </c>
      <c r="C20" s="13" t="s">
        <v>612</v>
      </c>
      <c r="D20" s="13" t="s">
        <v>613</v>
      </c>
      <c r="E20" s="13" t="str">
        <f>IFERROR(__xludf.DUMMYFUNCTION("filter('Challenge Codes-Final'!G:H,'Challenge Codes-Final'!A:A=A20)"),"Lack of step-by-step instructions about cultural part teaching")</f>
        <v>Lack of step-by-step instructions about cultural part teaching</v>
      </c>
      <c r="F20" s="13" t="str">
        <f>IFERROR(__xludf.DUMMYFUNCTION("""COMPUTED_VALUE"""),"devops concepts")</f>
        <v>devops concepts</v>
      </c>
    </row>
    <row r="21">
      <c r="A21" s="13">
        <v>26.0</v>
      </c>
      <c r="B21" s="37" t="s">
        <v>614</v>
      </c>
      <c r="C21" s="13" t="s">
        <v>615</v>
      </c>
      <c r="D21" s="13" t="s">
        <v>616</v>
      </c>
      <c r="E21" s="13" t="str">
        <f>IFERROR(__xludf.DUMMYFUNCTION("filter('Challenge Codes-Final'!G:H,'Challenge Codes-Final'!A:A=A21)"),"Student disinterest in cultural aspects of DevOps.")</f>
        <v>Student disinterest in cultural aspects of DevOps.</v>
      </c>
      <c r="F21" s="13" t="str">
        <f>IFERROR(__xludf.DUMMYFUNCTION("""COMPUTED_VALUE"""),"devops concepts")</f>
        <v>devops concepts</v>
      </c>
    </row>
    <row r="22">
      <c r="A22" s="13">
        <v>27.0</v>
      </c>
      <c r="B22" s="37" t="s">
        <v>617</v>
      </c>
      <c r="C22" s="13" t="s">
        <v>618</v>
      </c>
      <c r="D22" s="13"/>
      <c r="E22" s="13" t="str">
        <f>IFERROR(__xludf.DUMMYFUNCTION("filter('Challenge Codes-Final'!G:H,'Challenge Codes-Final'!A:A=A22)"),"Difficulty in remote work with students: privacy, availability, infrastructure difference, environment configuration.")</f>
        <v>Difficulty in remote work with students: privacy, availability, infrastructure difference, environment configuration.</v>
      </c>
      <c r="F22" s="13" t="str">
        <f>IFERROR(__xludf.DUMMYFUNCTION("""COMPUTED_VALUE"""),"strategies in course execution")</f>
        <v>strategies in course execution</v>
      </c>
    </row>
    <row r="23">
      <c r="A23" s="13">
        <v>28.0</v>
      </c>
      <c r="B23" s="37" t="s">
        <v>619</v>
      </c>
      <c r="C23" s="13" t="s">
        <v>620</v>
      </c>
      <c r="D23" s="13"/>
      <c r="E23" s="13" t="str">
        <f>IFERROR(__xludf.DUMMYFUNCTION("filter('Challenge Codes-Final'!G:H,'Challenge Codes-Final'!A:A=A23)"),"Difficulty in using assessments with traditional tests")</f>
        <v>Difficulty in using assessments with traditional tests</v>
      </c>
      <c r="F23" s="13" t="str">
        <f>IFERROR(__xludf.DUMMYFUNCTION("""COMPUTED_VALUE"""),"assessment")</f>
        <v>assessment</v>
      </c>
    </row>
    <row r="24">
      <c r="A24" s="13">
        <v>29.0</v>
      </c>
      <c r="B24" s="37" t="s">
        <v>621</v>
      </c>
      <c r="C24" s="13" t="s">
        <v>622</v>
      </c>
      <c r="D24" s="13" t="s">
        <v>623</v>
      </c>
      <c r="E24" s="13" t="str">
        <f>IFERROR(__xludf.DUMMYFUNCTION("filter('Challenge Codes-Final'!G:H,'Challenge Codes-Final'!A:A=A24)"),"Wide coverage of diverse areas by DevOps teaching.")</f>
        <v>Wide coverage of diverse areas by DevOps teaching.</v>
      </c>
      <c r="F24" s="13" t="str">
        <f>IFERROR(__xludf.DUMMYFUNCTION("""COMPUTED_VALUE"""),"curriculum")</f>
        <v>curriculum</v>
      </c>
    </row>
    <row r="25">
      <c r="A25" s="13">
        <v>30.0</v>
      </c>
      <c r="B25" s="37" t="s">
        <v>624</v>
      </c>
      <c r="C25" s="13" t="s">
        <v>625</v>
      </c>
      <c r="D25" s="13" t="s">
        <v>626</v>
      </c>
      <c r="E25" s="13" t="str">
        <f>IFERROR(__xludf.DUMMYFUNCTION("filter('Challenge Codes-Final'!G:H,'Challenge Codes-Final'!A:A=A25)"),"Greater difficulty in understanding by students with little experience in Dev and Ops")</f>
        <v>Greater difficulty in understanding by students with little experience in Dev and Ops</v>
      </c>
      <c r="F25" s="13" t="str">
        <f>IFERROR(__xludf.DUMMYFUNCTION("""COMPUTED_VALUE"""),"devops concepts")</f>
        <v>devops concepts</v>
      </c>
    </row>
    <row r="26">
      <c r="A26" s="13">
        <v>31.0</v>
      </c>
      <c r="B26" s="37" t="s">
        <v>627</v>
      </c>
      <c r="C26" s="13" t="s">
        <v>628</v>
      </c>
      <c r="D26" s="13" t="s">
        <v>629</v>
      </c>
      <c r="E26" s="13" t="str">
        <f>IFERROR(__xludf.DUMMYFUNCTION("filter('Challenge Codes-Final'!G:H,'Challenge Codes-Final'!A:A=A26)"),"Teacher background necessary in DevSecOps teaching: security and development")</f>
        <v>Teacher background necessary in DevSecOps teaching: security and development</v>
      </c>
      <c r="F26" s="13" t="str">
        <f>IFERROR(__xludf.DUMMYFUNCTION("""COMPUTED_VALUE"""),"class preparation")</f>
        <v>class preparation</v>
      </c>
    </row>
    <row r="27">
      <c r="A27" s="13">
        <v>32.0</v>
      </c>
      <c r="B27" s="37" t="s">
        <v>630</v>
      </c>
      <c r="C27" s="13" t="s">
        <v>631</v>
      </c>
      <c r="D27" s="13" t="s">
        <v>632</v>
      </c>
      <c r="E27" s="13" t="str">
        <f>IFERROR(__xludf.DUMMYFUNCTION("filter('Challenge Codes-Final'!G:H,'Challenge Codes-Final'!A:A=A27)"),"Difficulty in collaboration with groups of students who have very different experiences")</f>
        <v>Difficulty in collaboration with groups of students who have very different experiences</v>
      </c>
      <c r="F27" s="13" t="str">
        <f>IFERROR(__xludf.DUMMYFUNCTION("""COMPUTED_VALUE"""),"strategies in course execution")</f>
        <v>strategies in course execution</v>
      </c>
    </row>
    <row r="28">
      <c r="A28" s="13">
        <v>33.0</v>
      </c>
      <c r="B28" s="37" t="s">
        <v>633</v>
      </c>
      <c r="C28" s="13" t="s">
        <v>634</v>
      </c>
      <c r="D28" s="13"/>
      <c r="E28" s="13" t="str">
        <f>IFERROR(__xludf.DUMMYFUNCTION("filter('Challenge Codes-Final'!G:H,'Challenge Codes-Final'!A:A=A28)"),"difficult tools configuration on remote teaching")</f>
        <v>difficult tools configuration on remote teaching</v>
      </c>
      <c r="F28" s="13" t="str">
        <f>IFERROR(__xludf.DUMMYFUNCTION("""COMPUTED_VALUE"""),"tool / technology")</f>
        <v>tool / technology</v>
      </c>
    </row>
    <row r="29">
      <c r="A29" s="13">
        <v>34.0</v>
      </c>
      <c r="B29" s="87" t="s">
        <v>635</v>
      </c>
      <c r="C29" s="13" t="s">
        <v>636</v>
      </c>
      <c r="D29" s="13" t="s">
        <v>637</v>
      </c>
      <c r="E29" s="13" t="str">
        <f>IFERROR(__xludf.DUMMYFUNCTION("filter('Challenge Codes-Final'!G:H,'Challenge Codes-Final'!A:A=A29)"),"small examples not satisfactory.")</f>
        <v>small examples not satisfactory.</v>
      </c>
      <c r="F29" s="13" t="str">
        <f>IFERROR(__xludf.DUMMYFUNCTION("""COMPUTED_VALUE"""),"tool / technology")</f>
        <v>tool / technology</v>
      </c>
    </row>
    <row r="30">
      <c r="A30" s="13">
        <v>35.0</v>
      </c>
      <c r="B30" s="37" t="s">
        <v>638</v>
      </c>
      <c r="C30" s="13" t="s">
        <v>639</v>
      </c>
      <c r="D30" s="13" t="s">
        <v>171</v>
      </c>
      <c r="E30" s="13" t="str">
        <f>IFERROR(__xludf.DUMMYFUNCTION("filter('Challenge Codes-Final'!G:H,'Challenge Codes-Final'!A:A=A30)"),"It's challeging to balance DevOps theory and practice.")</f>
        <v>It's challeging to balance DevOps theory and practice.</v>
      </c>
      <c r="F30" s="13" t="str">
        <f>IFERROR(__xludf.DUMMYFUNCTION("""COMPUTED_VALUE"""),"devops concepts")</f>
        <v>devops concepts</v>
      </c>
    </row>
    <row r="31">
      <c r="A31" s="27">
        <v>36.0</v>
      </c>
      <c r="B31" s="88" t="s">
        <v>640</v>
      </c>
      <c r="C31" s="27" t="s">
        <v>641</v>
      </c>
      <c r="D31" s="27" t="s">
        <v>642</v>
      </c>
      <c r="E31" s="13" t="str">
        <f>IFERROR(__xludf.DUMMYFUNCTION("filter('Challenge Codes-Final'!G:H,'Challenge Codes-Final'!A:A=A31)"),"students' difficulty in remote learning: in monitoring and keeping in contact ")</f>
        <v>students' difficulty in remote learning: in monitoring and keeping in contact </v>
      </c>
      <c r="F31" s="13" t="str">
        <f>IFERROR(__xludf.DUMMYFUNCTION("""COMPUTED_VALUE"""),"strategies in course execution")</f>
        <v>strategies in course execution</v>
      </c>
    </row>
    <row r="32">
      <c r="A32" s="13">
        <v>37.0</v>
      </c>
      <c r="B32" s="88" t="s">
        <v>643</v>
      </c>
      <c r="C32" s="13" t="s">
        <v>644</v>
      </c>
      <c r="D32" s="13"/>
      <c r="E32" s="13" t="str">
        <f>IFERROR(__xludf.DUMMYFUNCTION("filter('Challenge Codes-Final'!G:H,'Challenge Codes-Final'!A:A=A32)"),"Difficulty in an understanding environment, tools and network configuration.")</f>
        <v>Difficulty in an understanding environment, tools and network configuration.</v>
      </c>
      <c r="F32" s="13" t="str">
        <f>IFERROR(__xludf.DUMMYFUNCTION("""COMPUTED_VALUE"""),"environment setup")</f>
        <v>environment setup</v>
      </c>
    </row>
    <row r="33" ht="53.25" customHeight="1">
      <c r="A33" s="13">
        <v>38.0</v>
      </c>
      <c r="B33" s="88" t="s">
        <v>645</v>
      </c>
      <c r="C33" s="86" t="s">
        <v>646</v>
      </c>
      <c r="D33" s="86"/>
      <c r="E33" s="13" t="str">
        <f>IFERROR(__xludf.DUMMYFUNCTION("filter('Challenge Codes-Final'!G:H,'Challenge Codes-Final'!A:A=A33)"),"Students with difficulty in automating systems.")</f>
        <v>Students with difficulty in automating systems.</v>
      </c>
      <c r="F33" s="13" t="str">
        <f>IFERROR(__xludf.DUMMYFUNCTION("""COMPUTED_VALUE"""),"tool / technology")</f>
        <v>tool / technology</v>
      </c>
    </row>
    <row r="34">
      <c r="A34" s="13">
        <v>39.0</v>
      </c>
      <c r="B34" s="37" t="s">
        <v>647</v>
      </c>
      <c r="C34" s="13" t="s">
        <v>648</v>
      </c>
      <c r="D34" s="13" t="s">
        <v>649</v>
      </c>
      <c r="E34" s="13" t="str">
        <f>IFERROR(__xludf.DUMMYFUNCTION("filter('Challenge Codes-Final'!G:H,'Challenge Codes-Final'!A:A=A34)"),"Difficulty at select of a realistic example system for students")</f>
        <v>Difficulty at select of a realistic example system for students</v>
      </c>
      <c r="F34" s="13" t="str">
        <f>IFERROR(__xludf.DUMMYFUNCTION("""COMPUTED_VALUE"""),"tool / technology")</f>
        <v>tool / technology</v>
      </c>
    </row>
    <row r="35">
      <c r="A35" s="13">
        <v>40.0</v>
      </c>
      <c r="B35" s="37" t="s">
        <v>650</v>
      </c>
      <c r="C35" s="13" t="s">
        <v>651</v>
      </c>
      <c r="D35" s="86" t="s">
        <v>652</v>
      </c>
      <c r="E35" s="13" t="str">
        <f>IFERROR(__xludf.DUMMYFUNCTION("filter('Challenge Codes-Final'!G:H,'Challenge Codes-Final'!A:A=A35)"),"Little time during preparation of a well-designed example system by the teacher with little time ")</f>
        <v>Little time during preparation of a well-designed example system by the teacher with little time </v>
      </c>
      <c r="F35" s="13" t="str">
        <f>IFERROR(__xludf.DUMMYFUNCTION("""COMPUTED_VALUE"""),"class preparation")</f>
        <v>class preparation</v>
      </c>
    </row>
    <row r="36">
      <c r="A36" s="13">
        <v>41.0</v>
      </c>
      <c r="B36" s="37" t="s">
        <v>653</v>
      </c>
      <c r="C36" s="13" t="s">
        <v>654</v>
      </c>
      <c r="D36" s="86" t="s">
        <v>655</v>
      </c>
      <c r="E36" s="13" t="str">
        <f>IFERROR(__xludf.DUMMYFUNCTION("filter('Challenge Codes-Final'!G:H,'Challenge Codes-Final'!A:A=A36)"),"teacher constantly updated with the industry")</f>
        <v>teacher constantly updated with the industry</v>
      </c>
      <c r="F36" s="13" t="str">
        <f>IFERROR(__xludf.DUMMYFUNCTION("""COMPUTED_VALUE"""),"class preparation")</f>
        <v>class preparation</v>
      </c>
    </row>
    <row r="37">
      <c r="A37" s="13">
        <v>42.0</v>
      </c>
      <c r="B37" s="37" t="s">
        <v>656</v>
      </c>
      <c r="C37" s="13" t="s">
        <v>657</v>
      </c>
      <c r="D37" s="13" t="s">
        <v>658</v>
      </c>
      <c r="E37" s="13" t="str">
        <f>IFERROR(__xludf.DUMMYFUNCTION("filter('Challenge Codes-Final'!G:H,'Challenge Codes-Final'!A:A=A37)"),"Difficulty supporting multiple tools and environments")</f>
        <v>Difficulty supporting multiple tools and environments</v>
      </c>
      <c r="F37" s="13" t="str">
        <f>IFERROR(__xludf.DUMMYFUNCTION("""COMPUTED_VALUE"""),"tool / technology")</f>
        <v>tool / technology</v>
      </c>
    </row>
    <row r="38">
      <c r="A38" s="27">
        <v>43.0</v>
      </c>
      <c r="B38" s="88" t="s">
        <v>659</v>
      </c>
      <c r="C38" s="27" t="s">
        <v>660</v>
      </c>
      <c r="D38" s="27" t="s">
        <v>661</v>
      </c>
      <c r="E38" s="13" t="str">
        <f>IFERROR(__xludf.DUMMYFUNCTION("filter('Challenge Codes-Final'!G:H,'Challenge Codes-Final'!A:A=A38)"),"No time for initial setup of student environment")</f>
        <v>No time for initial setup of student environment</v>
      </c>
      <c r="F38" s="13" t="str">
        <f>IFERROR(__xludf.DUMMYFUNCTION("""COMPUTED_VALUE"""),"environment setup")</f>
        <v>environment setup</v>
      </c>
    </row>
    <row r="39">
      <c r="A39" s="13">
        <v>44.0</v>
      </c>
      <c r="B39" s="37" t="s">
        <v>662</v>
      </c>
      <c r="C39" s="13" t="s">
        <v>663</v>
      </c>
      <c r="D39" s="86" t="s">
        <v>664</v>
      </c>
      <c r="E39" s="13" t="str">
        <f>IFERROR(__xludf.DUMMYFUNCTION("filter('Challenge Codes-Final'!G:H,'Challenge Codes-Final'!A:A=A39)"),"There is no unified material for DevOps teaching.")</f>
        <v>There is no unified material for DevOps teaching.</v>
      </c>
      <c r="F39" s="13" t="str">
        <f>IFERROR(__xludf.DUMMYFUNCTION("""COMPUTED_VALUE"""),"class preparation")</f>
        <v>class preparation</v>
      </c>
    </row>
    <row r="40">
      <c r="A40" s="13">
        <v>45.0</v>
      </c>
      <c r="B40" s="37" t="s">
        <v>665</v>
      </c>
      <c r="C40" s="13" t="s">
        <v>666</v>
      </c>
      <c r="D40" s="13" t="s">
        <v>667</v>
      </c>
      <c r="E40" s="13" t="str">
        <f>IFERROR(__xludf.DUMMYFUNCTION("filter('Challenge Codes-Final'!G:H,'Challenge Codes-Final'!A:A=A40)"),"Difficulty in condensing suitable material for classes")</f>
        <v>Difficulty in condensing suitable material for classes</v>
      </c>
      <c r="F40" s="13" t="str">
        <f>IFERROR(__xludf.DUMMYFUNCTION("""COMPUTED_VALUE"""),"class preparation")</f>
        <v>class preparation</v>
      </c>
    </row>
    <row r="41">
      <c r="A41" s="13">
        <v>46.0</v>
      </c>
      <c r="B41" s="37" t="s">
        <v>668</v>
      </c>
      <c r="C41" s="13" t="s">
        <v>669</v>
      </c>
      <c r="D41" s="13" t="s">
        <v>670</v>
      </c>
      <c r="E41" s="13" t="str">
        <f>IFERROR(__xludf.DUMMYFUNCTION("filter('Challenge Codes-Final'!G:H,'Challenge Codes-Final'!A:A=A41)"),"Strong reliance on student-limited support material")</f>
        <v>Strong reliance on student-limited support material</v>
      </c>
      <c r="F41" s="13" t="str">
        <f>IFERROR(__xludf.DUMMYFUNCTION("""COMPUTED_VALUE"""),"strategies in course execution")</f>
        <v>strategies in course execution</v>
      </c>
    </row>
    <row r="42">
      <c r="A42" s="13">
        <v>47.0</v>
      </c>
      <c r="B42" s="37" t="s">
        <v>671</v>
      </c>
      <c r="C42" s="13" t="s">
        <v>672</v>
      </c>
      <c r="D42" s="13"/>
      <c r="E42" s="13" t="str">
        <f>IFERROR(__xludf.DUMMYFUNCTION("filter('Challenge Codes-Final'!G:H,'Challenge Codes-Final'!A:A=A42)"),"Difficulty in subjective DevOps concepts during assessment.")</f>
        <v>Difficulty in subjective DevOps concepts during assessment.</v>
      </c>
      <c r="F42" s="13" t="str">
        <f>IFERROR(__xludf.DUMMYFUNCTION("""COMPUTED_VALUE"""),"assessment")</f>
        <v>assessment</v>
      </c>
    </row>
    <row r="43">
      <c r="A43" s="13">
        <v>48.0</v>
      </c>
      <c r="B43" s="37" t="s">
        <v>673</v>
      </c>
      <c r="C43" s="13" t="s">
        <v>674</v>
      </c>
      <c r="D43" s="13" t="s">
        <v>675</v>
      </c>
      <c r="E43" s="13" t="str">
        <f>IFERROR(__xludf.DUMMYFUNCTION("filter('Challenge Codes-Final'!G:H,'Challenge Codes-Final'!A:A=A43)"),"Difficulty in structuring the learning journey")</f>
        <v>Difficulty in structuring the learning journey</v>
      </c>
      <c r="F43" s="13" t="str">
        <f>IFERROR(__xludf.DUMMYFUNCTION("""COMPUTED_VALUE"""),"class preparation")</f>
        <v>class preparation</v>
      </c>
    </row>
    <row r="44">
      <c r="A44" s="13">
        <v>49.0</v>
      </c>
      <c r="B44" s="37" t="s">
        <v>676</v>
      </c>
      <c r="C44" s="13" t="s">
        <v>677</v>
      </c>
      <c r="D44" s="13"/>
      <c r="E44" s="13" t="str">
        <f>IFERROR(__xludf.DUMMYFUNCTION("filter('Challenge Codes-Final'!G:H,'Challenge Codes-Final'!A:A=A44)"),"Requirement of great effort during assessment of large classes")</f>
        <v>Requirement of great effort during assessment of large classes</v>
      </c>
      <c r="F44" s="13" t="str">
        <f>IFERROR(__xludf.DUMMYFUNCTION("""COMPUTED_VALUE"""),"assessment")</f>
        <v>assessment</v>
      </c>
    </row>
    <row r="45">
      <c r="A45" s="13">
        <v>50.0</v>
      </c>
      <c r="B45" s="37" t="s">
        <v>678</v>
      </c>
      <c r="C45" s="13" t="s">
        <v>679</v>
      </c>
      <c r="D45" s="13" t="s">
        <v>680</v>
      </c>
      <c r="E45" s="13" t="str">
        <f>IFERROR(__xludf.DUMMYFUNCTION("filter('Challenge Codes-Final'!G:H,'Challenge Codes-Final'!A:A=A45)"),"Difficult during the creation of the classes without reference to a previous discipline.")</f>
        <v>Difficult during the creation of the classes without reference to a previous discipline.</v>
      </c>
      <c r="F45" s="13" t="str">
        <f>IFERROR(__xludf.DUMMYFUNCTION("""COMPUTED_VALUE"""),"class preparation")</f>
        <v>class preparation</v>
      </c>
    </row>
    <row r="46">
      <c r="A46" s="27">
        <v>51.0</v>
      </c>
      <c r="B46" s="88" t="s">
        <v>681</v>
      </c>
      <c r="C46" s="27" t="s">
        <v>682</v>
      </c>
      <c r="D46" s="27"/>
      <c r="E46" s="13" t="str">
        <f>IFERROR(__xludf.DUMMYFUNCTION("filter('Challenge Codes-Final'!G:H,'Challenge Codes-Final'!A:A=A46)"),"Challenge during the creation of the teaching plan related to rapid and constant changes in DevOps  ")</f>
        <v>Challenge during the creation of the teaching plan related to rapid and constant changes in DevOps  </v>
      </c>
      <c r="F46" s="13" t="str">
        <f>IFERROR(__xludf.DUMMYFUNCTION("""COMPUTED_VALUE"""),"curriculum")</f>
        <v>curriculum</v>
      </c>
    </row>
    <row r="47">
      <c r="A47" s="27">
        <v>52.0</v>
      </c>
      <c r="B47" s="88" t="s">
        <v>683</v>
      </c>
      <c r="C47" s="27" t="s">
        <v>684</v>
      </c>
      <c r="D47" s="27"/>
      <c r="E47" s="13" t="str">
        <f>IFERROR(__xludf.DUMMYFUNCTION("filter('Challenge Codes-Final'!G:H,'Challenge Codes-Final'!A:A=A47)"),"Difficulty related to linking DevOps with other disciplines")</f>
        <v>Difficulty related to linking DevOps with other disciplines</v>
      </c>
      <c r="F47" s="13" t="str">
        <f>IFERROR(__xludf.DUMMYFUNCTION("""COMPUTED_VALUE"""),"devops concepts")</f>
        <v>devops concepts</v>
      </c>
    </row>
    <row r="48">
      <c r="A48" s="27">
        <v>53.0</v>
      </c>
      <c r="B48" s="88" t="s">
        <v>685</v>
      </c>
      <c r="C48" s="27" t="s">
        <v>55</v>
      </c>
      <c r="D48" s="27"/>
      <c r="E48" s="13" t="str">
        <f>IFERROR(__xludf.DUMMYFUNCTION("filter('Challenge Codes-Final'!G:H,'Challenge Codes-Final'!A:A=A48)"),"Environment set up in a cloud service cost money.")</f>
        <v>Environment set up in a cloud service cost money.</v>
      </c>
      <c r="F48" s="13" t="str">
        <f>IFERROR(__xludf.DUMMYFUNCTION("""COMPUTED_VALUE"""),"environment setup")</f>
        <v>environment setup</v>
      </c>
    </row>
    <row r="49">
      <c r="A49" s="27">
        <v>54.0</v>
      </c>
      <c r="B49" s="88" t="s">
        <v>686</v>
      </c>
      <c r="C49" s="27" t="s">
        <v>687</v>
      </c>
      <c r="D49" s="27"/>
      <c r="E49" s="13" t="str">
        <f>IFERROR(__xludf.DUMMYFUNCTION("filter('Challenge Codes-Final'!G:H,'Challenge Codes-Final'!A:A=A49)"),"limitation of VirtualBox")</f>
        <v>limitation of VirtualBox</v>
      </c>
      <c r="F49" s="13" t="str">
        <f>IFERROR(__xludf.DUMMYFUNCTION("""COMPUTED_VALUE"""),"tool / technology")</f>
        <v>tool / technology</v>
      </c>
    </row>
    <row r="50">
      <c r="A50" s="27">
        <v>55.0</v>
      </c>
      <c r="B50" s="88" t="s">
        <v>688</v>
      </c>
      <c r="C50" s="27" t="s">
        <v>689</v>
      </c>
      <c r="D50" s="27" t="s">
        <v>690</v>
      </c>
      <c r="E50" s="13" t="str">
        <f>IFERROR(__xludf.DUMMYFUNCTION("filter('Challenge Codes-Final'!G:H,'Challenge Codes-Final'!A:A=A50)"),"Challenge of integration of all DevOps tools together ")</f>
        <v>Challenge of integration of all DevOps tools together </v>
      </c>
      <c r="F50" s="13" t="str">
        <f>IFERROR(__xludf.DUMMYFUNCTION("""COMPUTED_VALUE"""),"tool / technology")</f>
        <v>tool / technology</v>
      </c>
    </row>
    <row r="51">
      <c r="A51" s="27">
        <v>56.0</v>
      </c>
      <c r="B51" s="88" t="s">
        <v>691</v>
      </c>
      <c r="C51" s="27" t="s">
        <v>692</v>
      </c>
      <c r="D51" s="27" t="s">
        <v>693</v>
      </c>
      <c r="E51" s="13" t="str">
        <f>IFERROR(__xludf.DUMMYFUNCTION("filter('Challenge Codes-Final'!G:H,'Challenge Codes-Final'!A:A=A51)"),"difficulty in agile techniques")</f>
        <v>difficulty in agile techniques</v>
      </c>
      <c r="F51" s="13" t="str">
        <f>IFERROR(__xludf.DUMMYFUNCTION("""COMPUTED_VALUE"""),"devops concepts")</f>
        <v>devops concepts</v>
      </c>
    </row>
    <row r="52">
      <c r="A52" s="27">
        <v>57.0</v>
      </c>
      <c r="B52" s="88" t="s">
        <v>694</v>
      </c>
      <c r="C52" s="27" t="s">
        <v>695</v>
      </c>
      <c r="D52" s="27"/>
      <c r="E52" s="13" t="str">
        <f>IFERROR(__xludf.DUMMYFUNCTION("filter('Challenge Codes-Final'!G:H,'Challenge Codes-Final'!A:A=A52)"),"difficulty in the evaluation of students learn level")</f>
        <v>difficulty in the evaluation of students learn level</v>
      </c>
      <c r="F52" s="13" t="str">
        <f>IFERROR(__xludf.DUMMYFUNCTION("""COMPUTED_VALUE"""),"assessment")</f>
        <v>assessment</v>
      </c>
    </row>
    <row r="53">
      <c r="A53" s="27">
        <v>58.0</v>
      </c>
      <c r="B53" s="88" t="s">
        <v>696</v>
      </c>
      <c r="C53" s="27" t="s">
        <v>696</v>
      </c>
      <c r="D53" s="27"/>
      <c r="E53" s="13" t="str">
        <f>IFERROR(__xludf.DUMMYFUNCTION("filter('Challenge Codes-Final'!G:H,'Challenge Codes-Final'!A:A=A53)"),"Difficulty in hands-on classes with 45 or more students")</f>
        <v>Difficulty in hands-on classes with 45 or more students</v>
      </c>
      <c r="F53" s="13" t="str">
        <f>IFERROR(__xludf.DUMMYFUNCTION("""COMPUTED_VALUE"""),"strategies in course execution")</f>
        <v>strategies in course execution</v>
      </c>
    </row>
    <row r="54">
      <c r="A54" s="27">
        <v>59.0</v>
      </c>
      <c r="B54" s="88" t="s">
        <v>697</v>
      </c>
      <c r="C54" s="27" t="s">
        <v>698</v>
      </c>
      <c r="D54" s="27"/>
      <c r="E54" s="13" t="str">
        <f>IFERROR(__xludf.DUMMYFUNCTION("filter('Challenge Codes-Final'!G:H,'Challenge Codes-Final'!A:A=A54)"),"operational activities ignored")</f>
        <v>operational activities ignored</v>
      </c>
      <c r="F54" s="13" t="str">
        <f>IFERROR(__xludf.DUMMYFUNCTION("""COMPUTED_VALUE"""),"environment setup")</f>
        <v>environment setup</v>
      </c>
    </row>
    <row r="55">
      <c r="A55" s="27">
        <v>60.0</v>
      </c>
      <c r="B55" s="88" t="s">
        <v>699</v>
      </c>
      <c r="C55" s="27" t="s">
        <v>700</v>
      </c>
      <c r="D55" s="27"/>
      <c r="E55" s="13" t="str">
        <f>IFERROR(__xludf.DUMMYFUNCTION("filter('Challenge Codes-Final'!G:H,'Challenge Codes-Final'!A:A=A55)"),"many devops concepts")</f>
        <v>many devops concepts</v>
      </c>
      <c r="F55" s="13" t="str">
        <f>IFERROR(__xludf.DUMMYFUNCTION("""COMPUTED_VALUE"""),"devops concepts")</f>
        <v>devops concepts</v>
      </c>
    </row>
    <row r="56">
      <c r="A56" s="27">
        <v>61.0</v>
      </c>
      <c r="B56" s="88" t="s">
        <v>701</v>
      </c>
      <c r="C56" s="27" t="s">
        <v>702</v>
      </c>
      <c r="D56" s="27"/>
      <c r="E56" s="13" t="str">
        <f>IFERROR(__xludf.DUMMYFUNCTION("filter('Challenge Codes-Final'!G:H,'Challenge Codes-Final'!A:A=A56)"),"Dangerous of teaching too many tools")</f>
        <v>Dangerous of teaching too many tools</v>
      </c>
      <c r="F56" s="13" t="str">
        <f>IFERROR(__xludf.DUMMYFUNCTION("""COMPUTED_VALUE"""),"tool / technology")</f>
        <v>tool / technology</v>
      </c>
    </row>
    <row r="57">
      <c r="A57" s="27">
        <v>62.0</v>
      </c>
      <c r="B57" s="88" t="s">
        <v>703</v>
      </c>
      <c r="C57" s="27" t="s">
        <v>704</v>
      </c>
      <c r="D57" s="27"/>
      <c r="E57" s="13" t="str">
        <f>IFERROR(__xludf.DUMMYFUNCTION("filter('Challenge Codes-Final'!G:H,'Challenge Codes-Final'!A:A=A57)"),"DevOps students without sufficient level at their companies")</f>
        <v>DevOps students without sufficient level at their companies</v>
      </c>
      <c r="F57" s="13" t="str">
        <f>IFERROR(__xludf.DUMMYFUNCTION("""COMPUTED_VALUE"""),"devops concepts")</f>
        <v>devops concepts</v>
      </c>
    </row>
    <row r="58">
      <c r="A58" s="27">
        <v>63.0</v>
      </c>
      <c r="B58" s="88" t="s">
        <v>705</v>
      </c>
      <c r="C58" s="27" t="s">
        <v>706</v>
      </c>
      <c r="D58" s="27"/>
      <c r="E58" s="13" t="str">
        <f>IFERROR(__xludf.DUMMYFUNCTION("filter('Challenge Codes-Final'!G:H,'Challenge Codes-Final'!A:A=A58)"),"few industry strategies unless papers")</f>
        <v>few industry strategies unless papers</v>
      </c>
      <c r="F58" s="13" t="str">
        <f>IFERROR(__xludf.DUMMYFUNCTION("""COMPUTED_VALUE"""),"class preparation")</f>
        <v>class preparation</v>
      </c>
    </row>
    <row r="59">
      <c r="A59" s="27">
        <v>64.0</v>
      </c>
      <c r="B59" s="88" t="s">
        <v>707</v>
      </c>
      <c r="C59" s="27" t="s">
        <v>708</v>
      </c>
      <c r="D59" s="27"/>
      <c r="E59" s="13" t="str">
        <f>IFERROR(__xludf.DUMMYFUNCTION("filter('Challenge Codes-Final'!G:H,'Challenge Codes-Final'!A:A=A59)"),"Without correlation between task done and learned correctly")</f>
        <v>Without correlation between task done and learned correctly</v>
      </c>
      <c r="F59" s="13" t="str">
        <f>IFERROR(__xludf.DUMMYFUNCTION("""COMPUTED_VALUE"""),"assessment")</f>
        <v>assessment</v>
      </c>
    </row>
    <row r="60">
      <c r="A60" s="27">
        <v>65.0</v>
      </c>
      <c r="B60" s="88" t="s">
        <v>709</v>
      </c>
      <c r="C60" s="27" t="s">
        <v>710</v>
      </c>
      <c r="D60" s="27"/>
      <c r="E60" s="13" t="str">
        <f>IFERROR(__xludf.DUMMYFUNCTION("filter('Challenge Codes-Final'!G:H,'Challenge Codes-Final'!A:A=A60)"),"difficulty for understand the importance of a correct software over just compiling")</f>
        <v>difficulty for understand the importance of a correct software over just compiling</v>
      </c>
      <c r="F60" s="13" t="str">
        <f>IFERROR(__xludf.DUMMYFUNCTION("""COMPUTED_VALUE"""),"devops concepts")</f>
        <v>devops concepts</v>
      </c>
    </row>
    <row r="61">
      <c r="A61" s="27">
        <v>66.0</v>
      </c>
      <c r="B61" s="88" t="s">
        <v>711</v>
      </c>
      <c r="C61" s="27" t="s">
        <v>712</v>
      </c>
      <c r="D61" s="27" t="s">
        <v>713</v>
      </c>
      <c r="E61" s="13" t="str">
        <f>IFERROR(__xludf.DUMMYFUNCTION("filter('Challenge Codes-Final'!G:H,'Challenge Codes-Final'!A:A=A61)"),"students without motivation in DevOps course")</f>
        <v>students without motivation in DevOps course</v>
      </c>
      <c r="F61" s="13" t="str">
        <f>IFERROR(__xludf.DUMMYFUNCTION("""COMPUTED_VALUE"""),"strategies in course execution")</f>
        <v>strategies in course execution</v>
      </c>
    </row>
    <row r="62">
      <c r="A62" s="27">
        <v>67.0</v>
      </c>
      <c r="B62" s="88" t="s">
        <v>714</v>
      </c>
      <c r="C62" s="27" t="s">
        <v>715</v>
      </c>
      <c r="D62" s="27"/>
      <c r="E62" s="13" t="str">
        <f>IFERROR(__xludf.DUMMYFUNCTION("filter('Challenge Codes-Final'!G:H,'Challenge Codes-Final'!A:A=A62)"),"Continous deployment require a lot of interconnected machines running different services with visibility to each other")</f>
        <v>Continous deployment require a lot of interconnected machines running different services with visibility to each other</v>
      </c>
      <c r="F62" s="13" t="str">
        <f>IFERROR(__xludf.DUMMYFUNCTION("""COMPUTED_VALUE"""),"environment setup")</f>
        <v>environment setup</v>
      </c>
    </row>
    <row r="63">
      <c r="A63" s="27">
        <v>68.0</v>
      </c>
      <c r="B63" s="88" t="s">
        <v>716</v>
      </c>
      <c r="C63" s="27" t="s">
        <v>717</v>
      </c>
      <c r="D63" s="27"/>
      <c r="E63" s="13" t="str">
        <f>IFERROR(__xludf.DUMMYFUNCTION("filter('Challenge Codes-Final'!G:H,'Challenge Codes-Final'!A:A=A63)"),"difficulty in the supervision of students work with a lot of virtual machines")</f>
        <v>difficulty in the supervision of students work with a lot of virtual machines</v>
      </c>
      <c r="F63" s="13" t="str">
        <f>IFERROR(__xludf.DUMMYFUNCTION("""COMPUTED_VALUE"""),"strategies in course execution")</f>
        <v>strategies in course execution</v>
      </c>
    </row>
    <row r="64">
      <c r="A64" s="27">
        <v>69.0</v>
      </c>
      <c r="B64" s="88" t="s">
        <v>718</v>
      </c>
      <c r="C64" s="27" t="s">
        <v>719</v>
      </c>
      <c r="D64" s="27"/>
      <c r="E64" s="13" t="str">
        <f>IFERROR(__xludf.DUMMYFUNCTION("filter('Challenge Codes-Final'!G:H,'Challenge Codes-Final'!A:A=A64)"),"difficulty in students understanding about deployment side without the knowledge of operational activities")</f>
        <v>difficulty in students understanding about deployment side without the knowledge of operational activities</v>
      </c>
      <c r="F64" s="13" t="str">
        <f>IFERROR(__xludf.DUMMYFUNCTION("""COMPUTED_VALUE"""),"devops concepts")</f>
        <v>devops concepts</v>
      </c>
    </row>
    <row r="65">
      <c r="A65" s="27">
        <v>70.0</v>
      </c>
      <c r="B65" s="88" t="s">
        <v>720</v>
      </c>
      <c r="C65" s="27" t="s">
        <v>721</v>
      </c>
      <c r="D65" s="27"/>
      <c r="E65" s="13" t="str">
        <f>IFERROR(__xludf.DUMMYFUNCTION("filter('Challenge Codes-Final'!G:H,'Challenge Codes-Final'!A:A=A65)"),"Hard preparation of simple and robust technologies")</f>
        <v>Hard preparation of simple and robust technologies</v>
      </c>
      <c r="F65" s="13" t="str">
        <f>IFERROR(__xludf.DUMMYFUNCTION("""COMPUTED_VALUE"""),"tool / technology")</f>
        <v>tool / technology</v>
      </c>
    </row>
    <row r="66">
      <c r="A66" s="27">
        <v>71.0</v>
      </c>
      <c r="B66" s="88" t="s">
        <v>722</v>
      </c>
      <c r="C66" s="27" t="s">
        <v>723</v>
      </c>
      <c r="D66" s="27" t="s">
        <v>724</v>
      </c>
      <c r="E66" s="13" t="str">
        <f>IFERROR(__xludf.DUMMYFUNCTION("filter('Challenge Codes-Final'!G:H,'Challenge Codes-Final'!A:A=A66)"),"laborious exercise preparation")</f>
        <v>laborious exercise preparation</v>
      </c>
      <c r="F66" s="13" t="str">
        <f>IFERROR(__xludf.DUMMYFUNCTION("""COMPUTED_VALUE"""),"class preparation")</f>
        <v>class preparation</v>
      </c>
    </row>
    <row r="67">
      <c r="A67" s="27">
        <v>72.0</v>
      </c>
      <c r="B67" s="88" t="s">
        <v>725</v>
      </c>
      <c r="C67" s="27" t="s">
        <v>726</v>
      </c>
      <c r="D67" s="27"/>
      <c r="E67" s="13" t="str">
        <f>IFERROR(__xludf.DUMMYFUNCTION("filter('Challenge Codes-Final'!G:H,'Challenge Codes-Final'!A:A=A67)"),"requirement of teaching a lot of DevOps knowledge from the professor perspective")</f>
        <v>requirement of teaching a lot of DevOps knowledge from the professor perspective</v>
      </c>
      <c r="F67" s="13" t="str">
        <f>IFERROR(__xludf.DUMMYFUNCTION("""COMPUTED_VALUE"""),"class preparation")</f>
        <v>class preparation</v>
      </c>
    </row>
    <row r="68">
      <c r="A68" s="27">
        <v>73.0</v>
      </c>
      <c r="B68" s="88" t="s">
        <v>727</v>
      </c>
      <c r="C68" s="27" t="s">
        <v>728</v>
      </c>
      <c r="D68" s="27"/>
      <c r="E68" s="13" t="str">
        <f>IFERROR(__xludf.DUMMYFUNCTION("filter('Challenge Codes-Final'!G:H,'Challenge Codes-Final'!A:A=A68)"),"arduous analysis for each project")</f>
        <v>arduous analysis for each project</v>
      </c>
      <c r="F68" s="13" t="str">
        <f>IFERROR(__xludf.DUMMYFUNCTION("""COMPUTED_VALUE"""),"assessment")</f>
        <v>assessment</v>
      </c>
    </row>
    <row r="69">
      <c r="A69" s="27">
        <v>74.0</v>
      </c>
      <c r="B69" s="88" t="s">
        <v>729</v>
      </c>
      <c r="C69" s="27" t="s">
        <v>730</v>
      </c>
      <c r="D69" s="27"/>
      <c r="E69" s="13" t="str">
        <f>IFERROR(__xludf.DUMMYFUNCTION("filter('Challenge Codes-Final'!G:H,'Challenge Codes-Final'!A:A=A69)"),"without time to practice Kubernetes")</f>
        <v>without time to practice Kubernetes</v>
      </c>
      <c r="F69" s="13" t="str">
        <f>IFERROR(__xludf.DUMMYFUNCTION("""COMPUTED_VALUE"""),"curriculum")</f>
        <v>curriculum</v>
      </c>
    </row>
    <row r="70">
      <c r="A70" s="27">
        <v>75.0</v>
      </c>
      <c r="B70" s="88" t="s">
        <v>731</v>
      </c>
      <c r="C70" s="27" t="s">
        <v>732</v>
      </c>
      <c r="D70" s="27"/>
      <c r="E70" s="13" t="str">
        <f>IFERROR(__xludf.DUMMYFUNCTION("filter('Challenge Codes-Final'!G:H,'Challenge Codes-Final'!A:A=A70)"),"limitation of about professor´s asks due many activities")</f>
        <v>limitation of about professor´s asks due many activities</v>
      </c>
      <c r="F70" s="13" t="str">
        <f>IFERROR(__xludf.DUMMYFUNCTION("""COMPUTED_VALUE"""),"strategies in course execution")</f>
        <v>strategies in course execution</v>
      </c>
    </row>
    <row r="71">
      <c r="A71" s="27">
        <v>76.0</v>
      </c>
      <c r="B71" s="88" t="s">
        <v>733</v>
      </c>
      <c r="C71" s="27" t="s">
        <v>734</v>
      </c>
      <c r="D71" s="27" t="s">
        <v>735</v>
      </c>
      <c r="E71" s="13" t="str">
        <f>IFERROR(__xludf.DUMMYFUNCTION("filter('Challenge Codes-Final'!G:H,'Challenge Codes-Final'!A:A=A71)"),"Challenge of creation of an attractive DevOps course")</f>
        <v>Challenge of creation of an attractive DevOps course</v>
      </c>
      <c r="F71" s="13" t="str">
        <f>IFERROR(__xludf.DUMMYFUNCTION("""COMPUTED_VALUE"""),"class preparation")</f>
        <v>class preparation</v>
      </c>
    </row>
    <row r="72">
      <c r="A72" s="27">
        <v>77.0</v>
      </c>
      <c r="B72" s="88" t="s">
        <v>736</v>
      </c>
      <c r="C72" s="27" t="s">
        <v>737</v>
      </c>
      <c r="D72" s="27" t="s">
        <v>738</v>
      </c>
      <c r="E72" s="13" t="str">
        <f>IFERROR(__xludf.DUMMYFUNCTION("filter('Challenge Codes-Final'!G:H,'Challenge Codes-Final'!A:A=A72)"),"no convention about DevOps course curriculum")</f>
        <v>no convention about DevOps course curriculum</v>
      </c>
      <c r="F72" s="13" t="str">
        <f>IFERROR(__xludf.DUMMYFUNCTION("""COMPUTED_VALUE"""),"curriculum")</f>
        <v>curriculum</v>
      </c>
    </row>
    <row r="73">
      <c r="A73" s="27">
        <v>78.0</v>
      </c>
      <c r="B73" s="88" t="s">
        <v>739</v>
      </c>
      <c r="C73" s="27" t="s">
        <v>740</v>
      </c>
      <c r="D73" s="27"/>
      <c r="E73" s="13" t="str">
        <f>IFERROR(__xludf.DUMMYFUNCTION("filter('Challenge Codes-Final'!G:H,'Challenge Codes-Final'!A:A=A73)"),"Students' understanding of the importance of DevOps concepts over the tools")</f>
        <v>Students' understanding of the importance of DevOps concepts over the tools</v>
      </c>
      <c r="F73" s="13" t="str">
        <f>IFERROR(__xludf.DUMMYFUNCTION("""COMPUTED_VALUE"""),"devops concepts")</f>
        <v>devops concepts</v>
      </c>
    </row>
    <row r="74">
      <c r="A74" s="27">
        <v>79.0</v>
      </c>
      <c r="B74" s="88" t="s">
        <v>741</v>
      </c>
      <c r="C74" s="27" t="s">
        <v>742</v>
      </c>
      <c r="D74" s="27"/>
      <c r="E74" s="13" t="str">
        <f>IFERROR(__xludf.DUMMYFUNCTION("filter('Challenge Codes-Final'!G:H,'Challenge Codes-Final'!A:A=A74)"),"arduous manage of Jira lifecycles licence")</f>
        <v>arduous manage of Jira lifecycles licence</v>
      </c>
      <c r="F74" s="13" t="str">
        <f>IFERROR(__xludf.DUMMYFUNCTION("""COMPUTED_VALUE"""),"tool / technology")</f>
        <v>tool / technology</v>
      </c>
    </row>
    <row r="75">
      <c r="A75" s="27">
        <v>80.0</v>
      </c>
      <c r="B75" s="88" t="s">
        <v>743</v>
      </c>
      <c r="C75" s="27" t="s">
        <v>744</v>
      </c>
      <c r="D75" s="27"/>
      <c r="E75" s="13" t="str">
        <f>IFERROR(__xludf.DUMMYFUNCTION("filter('Challenge Codes-Final'!G:H,'Challenge Codes-Final'!A:A=A75)"),"difficulty students in relationship with an environment point of view")</f>
        <v>difficulty students in relationship with an environment point of view</v>
      </c>
      <c r="F75" s="13" t="str">
        <f>IFERROR(__xludf.DUMMYFUNCTION("""COMPUTED_VALUE"""),"strategies in course execution")</f>
        <v>strategies in course execution</v>
      </c>
    </row>
    <row r="76">
      <c r="A76" s="27">
        <v>81.0</v>
      </c>
      <c r="B76" s="88" t="s">
        <v>745</v>
      </c>
      <c r="C76" s="27" t="s">
        <v>746</v>
      </c>
      <c r="D76" s="27"/>
      <c r="E76" s="13" t="str">
        <f>IFERROR(__xludf.DUMMYFUNCTION("filter('Challenge Codes-Final'!G:H,'Challenge Codes-Final'!A:A=A76)"),"difference between industry desire about student knowledge of DevOps and DevOps academic teaching")</f>
        <v>difference between industry desire about student knowledge of DevOps and DevOps academic teaching</v>
      </c>
      <c r="F76" s="13" t="str">
        <f>IFERROR(__xludf.DUMMYFUNCTION("""COMPUTED_VALUE"""),"curriculum")</f>
        <v>curriculum</v>
      </c>
    </row>
    <row r="77">
      <c r="A77" s="27">
        <v>82.0</v>
      </c>
      <c r="B77" s="88" t="s">
        <v>747</v>
      </c>
      <c r="C77" s="27" t="s">
        <v>748</v>
      </c>
      <c r="D77" s="27"/>
      <c r="E77" s="13" t="str">
        <f>IFERROR(__xludf.DUMMYFUNCTION("filter('Challenge Codes-Final'!G:H,'Challenge Codes-Final'!A:A=A77)"),"spacific tools do not woth with katacoda")</f>
        <v>spacific tools do not woth with katacoda</v>
      </c>
      <c r="F77" s="13" t="str">
        <f>IFERROR(__xludf.DUMMYFUNCTION("""COMPUTED_VALUE"""),"tool / technology")</f>
        <v>tool / technology</v>
      </c>
    </row>
    <row r="78">
      <c r="A78" s="27">
        <v>83.0</v>
      </c>
      <c r="B78" s="88" t="s">
        <v>749</v>
      </c>
      <c r="C78" s="27" t="s">
        <v>750</v>
      </c>
      <c r="D78" s="27"/>
      <c r="E78" s="13" t="str">
        <f>IFERROR(__xludf.DUMMYFUNCTION("filter('Challenge Codes-Final'!G:H,'Challenge Codes-Final'!A:A=A78)"),"challenging evaluation with the same criteria a classroom with different technologies")</f>
        <v>challenging evaluation with the same criteria a classroom with different technologies</v>
      </c>
      <c r="F78" s="13" t="str">
        <f>IFERROR(__xludf.DUMMYFUNCTION("""COMPUTED_VALUE"""),"assessment")</f>
        <v>assessment</v>
      </c>
    </row>
    <row r="79">
      <c r="A79" s="27">
        <v>84.0</v>
      </c>
      <c r="B79" s="88" t="s">
        <v>751</v>
      </c>
      <c r="C79" s="27" t="s">
        <v>752</v>
      </c>
      <c r="D79" s="27"/>
      <c r="E79" s="13" t="str">
        <f>IFERROR(__xludf.DUMMYFUNCTION("filter('Challenge Codes-Final'!G:H,'Challenge Codes-Final'!A:A=A79)"),"student scores based on Github commit approval")</f>
        <v>student scores based on Github commit approval</v>
      </c>
      <c r="F79" s="13" t="str">
        <f>IFERROR(__xludf.DUMMYFUNCTION("""COMPUTED_VALUE"""),"assessment")</f>
        <v>assessment</v>
      </c>
    </row>
    <row r="80">
      <c r="A80" s="27">
        <v>85.0</v>
      </c>
      <c r="B80" s="88" t="s">
        <v>753</v>
      </c>
      <c r="C80" s="27" t="s">
        <v>754</v>
      </c>
      <c r="D80" s="27"/>
      <c r="E80" s="13" t="str">
        <f>IFERROR(__xludf.DUMMYFUNCTION("filter('Challenge Codes-Final'!G:H,'Challenge Codes-Final'!A:A=A80)"),"how pipeline deployment works")</f>
        <v>how pipeline deployment works</v>
      </c>
      <c r="F80" s="13" t="str">
        <f>IFERROR(__xludf.DUMMYFUNCTION("""COMPUTED_VALUE"""),"devops concepts")</f>
        <v>devops concepts</v>
      </c>
    </row>
    <row r="81">
      <c r="A81" s="27">
        <v>86.0</v>
      </c>
      <c r="B81" s="88" t="s">
        <v>755</v>
      </c>
      <c r="C81" s="27" t="s">
        <v>756</v>
      </c>
      <c r="D81" s="27" t="s">
        <v>757</v>
      </c>
      <c r="E81" s="13" t="str">
        <f>IFERROR(__xludf.DUMMYFUNCTION("filter('Challenge Codes-Final'!G:H,'Challenge Codes-Final'!A:A=A81)"),"difficulty in debugging of lab sessions")</f>
        <v>difficulty in debugging of lab sessions</v>
      </c>
      <c r="F81" s="13" t="str">
        <f>IFERROR(__xludf.DUMMYFUNCTION("""COMPUTED_VALUE"""),"environment setup")</f>
        <v>environment setup</v>
      </c>
    </row>
    <row r="82">
      <c r="A82" s="27">
        <v>87.0</v>
      </c>
      <c r="B82" s="88" t="s">
        <v>758</v>
      </c>
      <c r="C82" s="27" t="s">
        <v>759</v>
      </c>
      <c r="D82" s="27"/>
      <c r="E82" s="13" t="str">
        <f>IFERROR(__xludf.DUMMYFUNCTION("filter('Challenge Codes-Final'!G:H,'Challenge Codes-Final'!A:A=A82)"),"problems with a lot of pipelines in Bambo")</f>
        <v>problems with a lot of pipelines in Bambo</v>
      </c>
      <c r="F82" s="13" t="str">
        <f>IFERROR(__xludf.DUMMYFUNCTION("""COMPUTED_VALUE"""),"tool / technology")</f>
        <v>tool / technology</v>
      </c>
    </row>
    <row r="83">
      <c r="A83" s="27">
        <v>88.0</v>
      </c>
      <c r="B83" s="88" t="s">
        <v>760</v>
      </c>
      <c r="C83" s="27" t="s">
        <v>761</v>
      </c>
      <c r="D83" s="27"/>
      <c r="E83" s="13" t="str">
        <f>IFERROR(__xludf.DUMMYFUNCTION("filter('Challenge Codes-Final'!G:H,'Challenge Codes-Final'!A:A=A83)"),"quantitative grade scale on description and case study")</f>
        <v>quantitative grade scale on description and case study</v>
      </c>
      <c r="F83" s="13" t="str">
        <f>IFERROR(__xludf.DUMMYFUNCTION("""COMPUTED_VALUE"""),"assessment")</f>
        <v>assessment</v>
      </c>
    </row>
    <row r="84">
      <c r="A84" s="27">
        <v>90.0</v>
      </c>
      <c r="B84" s="88" t="s">
        <v>762</v>
      </c>
      <c r="C84" s="27" t="s">
        <v>763</v>
      </c>
      <c r="D84" s="27"/>
      <c r="E84" s="13" t="str">
        <f>IFERROR(__xludf.DUMMYFUNCTION("filter('Challenge Codes-Final'!G:H,'Challenge Codes-Final'!A:A=A84)"),"no consensual about DevOps discipline mandatory")</f>
        <v>no consensual about DevOps discipline mandatory</v>
      </c>
      <c r="F84" s="13" t="str">
        <f>IFERROR(__xludf.DUMMYFUNCTION("""COMPUTED_VALUE"""),"curriculum")</f>
        <v>curriculum</v>
      </c>
    </row>
  </sheetData>
  <drawing r:id="rId1"/>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12.0"/>
    <col customWidth="1" min="2" max="2" width="98.71"/>
    <col customWidth="1" min="3" max="3" width="72.43"/>
    <col customWidth="1" min="4" max="6" width="32.43"/>
  </cols>
  <sheetData>
    <row r="1">
      <c r="A1" s="2" t="s">
        <v>562</v>
      </c>
      <c r="B1" s="2" t="s">
        <v>2</v>
      </c>
      <c r="C1" s="2" t="s">
        <v>3</v>
      </c>
      <c r="D1" s="2" t="s">
        <v>4</v>
      </c>
      <c r="E1" s="4" t="s">
        <v>5</v>
      </c>
      <c r="F1" s="4" t="s">
        <v>6</v>
      </c>
    </row>
    <row r="2" ht="106.5" customHeight="1">
      <c r="A2" s="37">
        <v>1.0</v>
      </c>
      <c r="B2" s="89" t="s">
        <v>764</v>
      </c>
      <c r="C2" s="37" t="s">
        <v>765</v>
      </c>
      <c r="D2" s="37" t="s">
        <v>766</v>
      </c>
      <c r="E2" s="37" t="str">
        <f>IFERROR(__xludf.DUMMYFUNCTION("filter('Recommendation Codes-Final'!G:H,'Recommendation Codes-Final'!A:A=A2)"),"agreement between educational institution and internet cloud services")</f>
        <v>agreement between educational institution and internet cloud services</v>
      </c>
      <c r="F2" s="37" t="str">
        <f>IFERROR(__xludf.DUMMYFUNCTION("""COMPUTED_VALUE"""),"tool / technology")</f>
        <v>tool / technology</v>
      </c>
    </row>
    <row r="3" ht="69.75" customHeight="1">
      <c r="A3" s="37">
        <v>2.0</v>
      </c>
      <c r="B3" s="89" t="s">
        <v>767</v>
      </c>
      <c r="C3" s="37" t="s">
        <v>768</v>
      </c>
      <c r="D3" s="37" t="s">
        <v>769</v>
      </c>
      <c r="E3" s="37" t="str">
        <f>IFERROR(__xludf.DUMMYFUNCTION("filter('Recommendation Codes-Final'!G:H,'Recommendation Codes-Final'!A:A=A3)"),"setting up scenarios on the student's computer")</f>
        <v>setting up scenarios on the student's computer</v>
      </c>
      <c r="F3" s="37" t="str">
        <f>IFERROR(__xludf.DUMMYFUNCTION("""COMPUTED_VALUE"""),"environment setup")</f>
        <v>environment setup</v>
      </c>
    </row>
    <row r="4" ht="69.75" customHeight="1">
      <c r="A4" s="37">
        <v>4.0</v>
      </c>
      <c r="B4" s="89" t="s">
        <v>770</v>
      </c>
      <c r="C4" s="37" t="s">
        <v>771</v>
      </c>
      <c r="D4" s="37"/>
      <c r="E4" s="37" t="str">
        <f>IFERROR(__xludf.DUMMYFUNCTION("filter('Recommendation Codes-Final'!G:H,'Recommendation Codes-Final'!A:A=A4)"),"No definition of DevOps concepts")</f>
        <v>No definition of DevOps concepts</v>
      </c>
      <c r="F4" s="37" t="str">
        <f>IFERROR(__xludf.DUMMYFUNCTION("""COMPUTED_VALUE"""),"devops concepts")</f>
        <v>devops concepts</v>
      </c>
    </row>
    <row r="5" ht="115.5" customHeight="1">
      <c r="A5" s="37">
        <v>5.0</v>
      </c>
      <c r="B5" s="89" t="s">
        <v>772</v>
      </c>
      <c r="C5" s="37" t="s">
        <v>773</v>
      </c>
      <c r="D5" s="37" t="s">
        <v>774</v>
      </c>
      <c r="E5" s="37" t="str">
        <f>IFERROR(__xludf.DUMMYFUNCTION("filter('Recommendation Codes-Final'!G:H,'Recommendation Codes-Final'!A:A=A5)"),"Assessment of learning with practical projects and activities.")</f>
        <v>Assessment of learning with practical projects and activities.</v>
      </c>
      <c r="F5" s="37" t="str">
        <f>IFERROR(__xludf.DUMMYFUNCTION("""COMPUTED_VALUE"""),"assessment")</f>
        <v>assessment</v>
      </c>
    </row>
    <row r="6" ht="134.25" customHeight="1">
      <c r="A6" s="37">
        <v>7.0</v>
      </c>
      <c r="B6" s="89" t="s">
        <v>775</v>
      </c>
      <c r="C6" s="37" t="s">
        <v>776</v>
      </c>
      <c r="D6" s="37"/>
      <c r="E6" s="37" t="str">
        <f>IFERROR(__xludf.DUMMYFUNCTION("filter('Recommendation Codes-Final'!G:H,'Recommendation Codes-Final'!A:A=A6)"),"GNS3 as a DevOps Teaching Support Tool")</f>
        <v>GNS3 as a DevOps Teaching Support Tool</v>
      </c>
      <c r="F6" s="37" t="str">
        <f>IFERROR(__xludf.DUMMYFUNCTION("""COMPUTED_VALUE"""),"tool / technology")</f>
        <v>tool / technology</v>
      </c>
    </row>
    <row r="7" ht="134.25" customHeight="1">
      <c r="A7" s="37">
        <v>8.0</v>
      </c>
      <c r="B7" s="89" t="s">
        <v>777</v>
      </c>
      <c r="C7" s="37" t="s">
        <v>778</v>
      </c>
      <c r="D7" s="37"/>
      <c r="E7" s="37" t="str">
        <f>IFERROR(__xludf.DUMMYFUNCTION("filter('Recommendation Codes-Final'!G:H,'Recommendation Codes-Final'!A:A=A7)"),"Use of Ansible, Terraform as a tool during DevOps teaching")</f>
        <v>Use of Ansible, Terraform as a tool during DevOps teaching</v>
      </c>
      <c r="F7" s="37" t="str">
        <f>IFERROR(__xludf.DUMMYFUNCTION("""COMPUTED_VALUE"""),"tool / technology")</f>
        <v>tool / technology</v>
      </c>
    </row>
    <row r="8" ht="221.25" customHeight="1">
      <c r="A8" s="37">
        <v>9.0</v>
      </c>
      <c r="B8" s="89" t="s">
        <v>779</v>
      </c>
      <c r="C8" s="37" t="s">
        <v>780</v>
      </c>
      <c r="D8" s="37" t="s">
        <v>781</v>
      </c>
      <c r="E8" s="37" t="str">
        <f>IFERROR(__xludf.DUMMYFUNCTION("filter('Recommendation Codes-Final'!G:H,'Recommendation Codes-Final'!A:A=A8)"),"Incremental teaching based on projects and practical activities.")</f>
        <v>Incremental teaching based on projects and practical activities.</v>
      </c>
      <c r="F8" s="37" t="str">
        <f>IFERROR(__xludf.DUMMYFUNCTION("""COMPUTED_VALUE"""),"strategies in course execution")</f>
        <v>strategies in course execution</v>
      </c>
    </row>
    <row r="9" ht="134.25" customHeight="1">
      <c r="A9" s="37">
        <v>10.0</v>
      </c>
      <c r="B9" s="89" t="s">
        <v>782</v>
      </c>
      <c r="C9" s="37" t="s">
        <v>783</v>
      </c>
      <c r="D9" s="37" t="s">
        <v>784</v>
      </c>
      <c r="E9" s="37" t="str">
        <f>IFERROR(__xludf.DUMMYFUNCTION("filter('Recommendation Codes-Final'!G:H,'Recommendation Codes-Final'!A:A=A9)"),"Non-deep theory class.")</f>
        <v>Non-deep theory class.</v>
      </c>
      <c r="F9" s="37" t="str">
        <f>IFERROR(__xludf.DUMMYFUNCTION("""COMPUTED_VALUE"""),"strategies in course execution")</f>
        <v>strategies in course execution</v>
      </c>
    </row>
    <row r="10" ht="134.25" customHeight="1">
      <c r="A10" s="37">
        <v>11.0</v>
      </c>
      <c r="B10" s="89" t="s">
        <v>785</v>
      </c>
      <c r="C10" s="37" t="s">
        <v>786</v>
      </c>
      <c r="D10" s="37" t="s">
        <v>787</v>
      </c>
      <c r="E10" s="37" t="str">
        <f>IFERROR(__xludf.DUMMYFUNCTION("filter('Recommendation Codes-Final'!G:H,'Recommendation Codes-Final'!A:A=A10)"),"Division between Dev and Ops disciplines.")</f>
        <v>Division between Dev and Ops disciplines.</v>
      </c>
      <c r="F10" s="37" t="str">
        <f>IFERROR(__xludf.DUMMYFUNCTION("""COMPUTED_VALUE"""),"curriculum")</f>
        <v>curriculum</v>
      </c>
    </row>
    <row r="11" ht="134.25" customHeight="1">
      <c r="A11" s="37">
        <v>12.0</v>
      </c>
      <c r="B11" s="89" t="s">
        <v>788</v>
      </c>
      <c r="C11" s="37" t="s">
        <v>789</v>
      </c>
      <c r="D11" s="37" t="s">
        <v>790</v>
      </c>
      <c r="E11" s="37" t="str">
        <f>IFERROR(__xludf.DUMMYFUNCTION("filter('Recommendation Codes-Final'!G:H,'Recommendation Codes-Final'!A:A=A11)"),"resources from the student's side instead of academy")</f>
        <v>resources from the student's side instead of academy</v>
      </c>
      <c r="F11" s="37" t="str">
        <f>IFERROR(__xludf.DUMMYFUNCTION("""COMPUTED_VALUE"""),"environment setup")</f>
        <v>environment setup</v>
      </c>
    </row>
    <row r="12" ht="123.75" customHeight="1">
      <c r="A12" s="37">
        <v>13.0</v>
      </c>
      <c r="B12" s="89" t="s">
        <v>791</v>
      </c>
      <c r="C12" s="37" t="s">
        <v>792</v>
      </c>
      <c r="D12" s="37" t="s">
        <v>793</v>
      </c>
      <c r="E12" s="37" t="str">
        <f>IFERROR(__xludf.DUMMYFUNCTION("filter('Recommendation Codes-Final'!G:H,'Recommendation Codes-Final'!A:A=A12)"),"Use of a textbook.")</f>
        <v>Use of a textbook.</v>
      </c>
      <c r="F12" s="37" t="str">
        <f>IFERROR(__xludf.DUMMYFUNCTION("""COMPUTED_VALUE"""),"class preparation")</f>
        <v>class preparation</v>
      </c>
    </row>
    <row r="13" ht="123.75" customHeight="1">
      <c r="A13" s="37">
        <v>14.0</v>
      </c>
      <c r="B13" s="89" t="s">
        <v>794</v>
      </c>
      <c r="C13" s="37" t="s">
        <v>795</v>
      </c>
      <c r="D13" s="37"/>
      <c r="E13" s="37" t="str">
        <f>IFERROR(__xludf.DUMMYFUNCTION("filter('Recommendation Codes-Final'!G:H,'Recommendation Codes-Final'!A:A=A13)"),"Perfecting of skills with non-functional requirements")</f>
        <v>Perfecting of skills with non-functional requirements</v>
      </c>
      <c r="F13" s="37" t="str">
        <f>IFERROR(__xludf.DUMMYFUNCTION("""COMPUTED_VALUE"""),"curriculum")</f>
        <v>curriculum</v>
      </c>
    </row>
    <row r="14" ht="123.75" customHeight="1">
      <c r="A14" s="37">
        <v>15.0</v>
      </c>
      <c r="B14" s="89" t="s">
        <v>796</v>
      </c>
      <c r="C14" s="37" t="s">
        <v>797</v>
      </c>
      <c r="D14" s="37" t="s">
        <v>798</v>
      </c>
      <c r="E14" s="37" t="str">
        <f>IFERROR(__xludf.DUMMYFUNCTION("filter('Recommendation Codes-Final'!G:H,'Recommendation Codes-Final'!A:A=A14)"),"Use of a learning tool")</f>
        <v>Use of a learning tool</v>
      </c>
      <c r="F14" s="37" t="str">
        <f>IFERROR(__xludf.DUMMYFUNCTION("""COMPUTED_VALUE"""),"tool / technology")</f>
        <v>tool / technology</v>
      </c>
    </row>
    <row r="15" ht="123.75" customHeight="1">
      <c r="A15" s="37">
        <v>16.0</v>
      </c>
      <c r="B15" s="89" t="s">
        <v>799</v>
      </c>
      <c r="C15" s="37" t="s">
        <v>800</v>
      </c>
      <c r="D15" s="37" t="s">
        <v>801</v>
      </c>
      <c r="E15" s="37" t="str">
        <f>IFERROR(__xludf.DUMMYFUNCTION("filter('Recommendation Codes-Final'!G:H,'Recommendation Codes-Final'!A:A=A15)"),"Necessity of a DevOps discipline")</f>
        <v>Necessity of a DevOps discipline</v>
      </c>
      <c r="F15" s="37" t="str">
        <f>IFERROR(__xludf.DUMMYFUNCTION("""COMPUTED_VALUE"""),"curriculum")</f>
        <v>curriculum</v>
      </c>
    </row>
    <row r="16" ht="123.75" customHeight="1">
      <c r="A16" s="37">
        <v>17.0</v>
      </c>
      <c r="B16" s="89" t="s">
        <v>802</v>
      </c>
      <c r="C16" s="37" t="s">
        <v>803</v>
      </c>
      <c r="D16" s="37" t="s">
        <v>804</v>
      </c>
      <c r="E16" s="37" t="str">
        <f>IFERROR(__xludf.DUMMYFUNCTION("filter('Recommendation Codes-Final'!G:H,'Recommendation Codes-Final'!A:A=A16)"),"Evaluation of participation in teamwork")</f>
        <v>Evaluation of participation in teamwork</v>
      </c>
      <c r="F16" s="37" t="str">
        <f>IFERROR(__xludf.DUMMYFUNCTION("""COMPUTED_VALUE"""),"assessment")</f>
        <v>assessment</v>
      </c>
    </row>
    <row r="17">
      <c r="A17" s="37">
        <v>18.0</v>
      </c>
      <c r="B17" s="89" t="s">
        <v>805</v>
      </c>
      <c r="C17" s="37" t="s">
        <v>806</v>
      </c>
      <c r="D17" s="37"/>
      <c r="E17" s="37" t="str">
        <f>IFERROR(__xludf.DUMMYFUNCTION("filter('Recommendation Codes-Final'!G:H,'Recommendation Codes-Final'!A:A=A17)"),"Monitoring by a supportive learning environment.")</f>
        <v>Monitoring by a supportive learning environment.</v>
      </c>
      <c r="F17" s="37" t="str">
        <f>IFERROR(__xludf.DUMMYFUNCTION("""COMPUTED_VALUE"""),"tool / technology")</f>
        <v>tool / technology</v>
      </c>
    </row>
    <row r="18">
      <c r="A18" s="37">
        <v>19.0</v>
      </c>
      <c r="B18" s="89" t="s">
        <v>807</v>
      </c>
      <c r="C18" s="37" t="s">
        <v>808</v>
      </c>
      <c r="D18" s="37"/>
      <c r="E18" s="37" t="str">
        <f>IFERROR(__xludf.DUMMYFUNCTION("filter('Recommendation Codes-Final'!G:H,'Recommendation Codes-Final'!A:A=A18)"),"Adoption of tools from instructors   by students")</f>
        <v>Adoption of tools from instructors   by students</v>
      </c>
      <c r="F18" s="37" t="str">
        <f>IFERROR(__xludf.DUMMYFUNCTION("""COMPUTED_VALUE"""),"tool / technology")</f>
        <v>tool / technology</v>
      </c>
    </row>
    <row r="19">
      <c r="A19" s="37">
        <v>20.0</v>
      </c>
      <c r="B19" s="89" t="s">
        <v>809</v>
      </c>
      <c r="C19" s="37" t="s">
        <v>810</v>
      </c>
      <c r="D19" s="37"/>
      <c r="E19" s="37" t="str">
        <f>IFERROR(__xludf.DUMMYFUNCTION("filter('Recommendation Codes-Final'!G:H,'Recommendation Codes-Final'!A:A=A19)"),"DevOps discipline with the considerable workload.")</f>
        <v>DevOps discipline with the considerable workload.</v>
      </c>
      <c r="F19" s="37" t="str">
        <f>IFERROR(__xludf.DUMMYFUNCTION("""COMPUTED_VALUE"""),"curriculum")</f>
        <v>curriculum</v>
      </c>
    </row>
    <row r="20">
      <c r="A20" s="37">
        <v>21.0</v>
      </c>
      <c r="B20" s="89" t="s">
        <v>811</v>
      </c>
      <c r="C20" s="37" t="s">
        <v>812</v>
      </c>
      <c r="D20" s="37" t="s">
        <v>813</v>
      </c>
      <c r="E20" s="37" t="str">
        <f>IFERROR(__xludf.DUMMYFUNCTION("filter('Recommendation Codes-Final'!G:H,'Recommendation Codes-Final'!A:A=A20)"),"Socialization of knowledge of practical activities")</f>
        <v>Socialization of knowledge of practical activities</v>
      </c>
      <c r="F20" s="37" t="str">
        <f>IFERROR(__xludf.DUMMYFUNCTION("""COMPUTED_VALUE"""),"strategies in course execution")</f>
        <v>strategies in course execution</v>
      </c>
    </row>
    <row r="21">
      <c r="A21" s="37">
        <v>22.0</v>
      </c>
      <c r="B21" s="89" t="s">
        <v>814</v>
      </c>
      <c r="C21" s="37" t="s">
        <v>815</v>
      </c>
      <c r="D21" s="37"/>
      <c r="E21" s="37" t="str">
        <f>IFERROR(__xludf.DUMMYFUNCTION("filter('Recommendation Codes-Final'!G:H,'Recommendation Codes-Final'!A:A=A21)"),"Teachers as clients")</f>
        <v>Teachers as clients</v>
      </c>
      <c r="F21" s="37" t="str">
        <f>IFERROR(__xludf.DUMMYFUNCTION("""COMPUTED_VALUE"""),"strategies in course execution")</f>
        <v>strategies in course execution</v>
      </c>
    </row>
    <row r="22">
      <c r="A22" s="37">
        <v>23.0</v>
      </c>
      <c r="B22" s="89" t="s">
        <v>816</v>
      </c>
      <c r="C22" s="37" t="s">
        <v>817</v>
      </c>
      <c r="D22" s="37"/>
      <c r="E22" s="37" t="str">
        <f>IFERROR(__xludf.DUMMYFUNCTION("filter('Recommendation Codes-Final'!G:H,'Recommendation Codes-Final'!A:A=A22)"),"Continuous Integration and industrial tools at the curriculum")</f>
        <v>Continuous Integration and industrial tools at the curriculum</v>
      </c>
      <c r="F22" s="37" t="str">
        <f>IFERROR(__xludf.DUMMYFUNCTION("""COMPUTED_VALUE"""),"curriculum")</f>
        <v>curriculum</v>
      </c>
    </row>
    <row r="23">
      <c r="A23" s="37">
        <v>24.0</v>
      </c>
      <c r="B23" s="89" t="s">
        <v>818</v>
      </c>
      <c r="C23" s="37" t="s">
        <v>819</v>
      </c>
      <c r="D23" s="37"/>
      <c r="E23" s="37" t="str">
        <f>IFERROR(__xludf.DUMMYFUNCTION("filter('Recommendation Codes-Final'!G:H,'Recommendation Codes-Final'!A:A=A23)"),"Union of various materials and publications available")</f>
        <v>Union of various materials and publications available</v>
      </c>
      <c r="F23" s="37" t="str">
        <f>IFERROR(__xludf.DUMMYFUNCTION("""COMPUTED_VALUE"""),"class preparation")</f>
        <v>class preparation</v>
      </c>
    </row>
    <row r="24">
      <c r="A24" s="37">
        <v>25.0</v>
      </c>
      <c r="B24" s="89" t="s">
        <v>820</v>
      </c>
      <c r="C24" s="37" t="s">
        <v>821</v>
      </c>
      <c r="D24" s="37"/>
      <c r="E24" s="37" t="str">
        <f>IFERROR(__xludf.DUMMYFUNCTION("filter('Recommendation Codes-Final'!G:H,'Recommendation Codes-Final'!A:A=A24)"),"good mastery of the tools with the necessary permissions")</f>
        <v>good mastery of the tools with the necessary permissions</v>
      </c>
      <c r="F24" s="37" t="str">
        <f>IFERROR(__xludf.DUMMYFUNCTION("""COMPUTED_VALUE"""),"tool / technology")</f>
        <v>tool / technology</v>
      </c>
    </row>
    <row r="25">
      <c r="A25" s="37">
        <v>26.0</v>
      </c>
      <c r="B25" s="89" t="s">
        <v>822</v>
      </c>
      <c r="C25" s="37" t="s">
        <v>823</v>
      </c>
      <c r="D25" s="37"/>
      <c r="E25" s="37" t="str">
        <f>IFERROR(__xludf.DUMMYFUNCTION("filter('Recommendation Codes-Final'!G:H,'Recommendation Codes-Final'!A:A=A25)"),"Identical DevOps discipline for  operation and development classes")</f>
        <v>Identical DevOps discipline for  operation and development classes</v>
      </c>
      <c r="F25" s="37" t="str">
        <f>IFERROR(__xludf.DUMMYFUNCTION("""COMPUTED_VALUE"""),"curriculum")</f>
        <v>curriculum</v>
      </c>
    </row>
    <row r="26">
      <c r="A26" s="37">
        <v>27.0</v>
      </c>
      <c r="B26" s="89" t="s">
        <v>824</v>
      </c>
      <c r="C26" s="37" t="s">
        <v>825</v>
      </c>
      <c r="D26" s="37"/>
      <c r="E26" s="37" t="str">
        <f>IFERROR(__xludf.DUMMYFUNCTION("filter('Recommendation Codes-Final'!G:H,'Recommendation Codes-Final'!A:A=A26)"),"Vulnerability management teaching to DevOps security classes.")</f>
        <v>Vulnerability management teaching to DevOps security classes.</v>
      </c>
      <c r="F26" s="37" t="str">
        <f>IFERROR(__xludf.DUMMYFUNCTION("""COMPUTED_VALUE"""),"curriculum")</f>
        <v>curriculum</v>
      </c>
    </row>
    <row r="27">
      <c r="A27" s="37">
        <v>29.0</v>
      </c>
      <c r="B27" s="89" t="s">
        <v>826</v>
      </c>
      <c r="C27" s="37" t="s">
        <v>827</v>
      </c>
      <c r="D27" s="37" t="s">
        <v>828</v>
      </c>
      <c r="E27" s="37" t="str">
        <f>IFERROR(__xludf.DUMMYFUNCTION("filter('Recommendation Codes-Final'!G:H,'Recommendation Codes-Final'!A:A=A27)"),"DevOps scope more compatible with each class")</f>
        <v>DevOps scope more compatible with each class</v>
      </c>
      <c r="F27" s="37" t="str">
        <f>IFERROR(__xludf.DUMMYFUNCTION("""COMPUTED_VALUE"""),"class preparation")</f>
        <v>class preparation</v>
      </c>
    </row>
    <row r="28">
      <c r="A28" s="37">
        <v>30.0</v>
      </c>
      <c r="B28" s="89" t="s">
        <v>829</v>
      </c>
      <c r="C28" s="37" t="s">
        <v>830</v>
      </c>
      <c r="D28" s="37" t="s">
        <v>831</v>
      </c>
      <c r="E28" s="37" t="str">
        <f>IFERROR(__xludf.DUMMYFUNCTION("filter('Recommendation Codes-Final'!G:H,'Recommendation Codes-Final'!A:A=A28)"),"Practice with well-defined example steps and contexts.")</f>
        <v>Practice with well-defined example steps and contexts.</v>
      </c>
      <c r="F28" s="37" t="str">
        <f>IFERROR(__xludf.DUMMYFUNCTION("""COMPUTED_VALUE"""),"strategies in course execution")</f>
        <v>strategies in course execution</v>
      </c>
    </row>
    <row r="29">
      <c r="A29" s="37">
        <v>32.0</v>
      </c>
      <c r="B29" s="89" t="s">
        <v>832</v>
      </c>
      <c r="C29" s="37" t="s">
        <v>833</v>
      </c>
      <c r="D29" s="37" t="s">
        <v>834</v>
      </c>
      <c r="E29" s="37" t="str">
        <f>IFERROR(__xludf.DUMMYFUNCTION("filter('Recommendation Codes-Final'!G:H,'Recommendation Codes-Final'!A:A=A29)"),"Teaching of well-established concepts like the DevOps pipeline process")</f>
        <v>Teaching of well-established concepts like the DevOps pipeline process</v>
      </c>
      <c r="F29" s="37" t="str">
        <f>IFERROR(__xludf.DUMMYFUNCTION("""COMPUTED_VALUE"""),"devops concepts")</f>
        <v>devops concepts</v>
      </c>
    </row>
    <row r="30">
      <c r="A30" s="37">
        <v>33.0</v>
      </c>
      <c r="B30" s="89" t="s">
        <v>835</v>
      </c>
      <c r="C30" s="37" t="s">
        <v>836</v>
      </c>
      <c r="D30" s="37" t="s">
        <v>837</v>
      </c>
      <c r="E30" s="37" t="str">
        <f>IFERROR(__xludf.DUMMYFUNCTION("filter('Recommendation Codes-Final'!G:H,'Recommendation Codes-Final'!A:A=A30)"),"Use case sampling, eliminating silos between development and operations teams.")</f>
        <v>Use case sampling, eliminating silos between development and operations teams.</v>
      </c>
      <c r="F30" s="37" t="str">
        <f>IFERROR(__xludf.DUMMYFUNCTION("""COMPUTED_VALUE"""),"strategies in course execution")</f>
        <v>strategies in course execution</v>
      </c>
    </row>
    <row r="31">
      <c r="A31" s="88">
        <v>34.0</v>
      </c>
      <c r="B31" s="90" t="s">
        <v>838</v>
      </c>
      <c r="C31" s="88" t="s">
        <v>839</v>
      </c>
      <c r="D31" s="88"/>
      <c r="E31" s="37" t="str">
        <f>IFERROR(__xludf.DUMMYFUNCTION("filter('Recommendation Codes-Final'!G:H,'Recommendation Codes-Final'!A:A=A31)"),"teaching from culture, tools next")</f>
        <v>teaching from culture, tools next</v>
      </c>
      <c r="F31" s="88" t="str">
        <f>IFERROR(__xludf.DUMMYFUNCTION("""COMPUTED_VALUE"""),"strategies in course execution")</f>
        <v>strategies in course execution</v>
      </c>
    </row>
    <row r="32">
      <c r="A32" s="37">
        <v>35.0</v>
      </c>
      <c r="B32" s="90" t="s">
        <v>840</v>
      </c>
      <c r="C32" s="37" t="s">
        <v>841</v>
      </c>
      <c r="D32" s="37" t="s">
        <v>842</v>
      </c>
      <c r="E32" s="37" t="str">
        <f>IFERROR(__xludf.DUMMYFUNCTION("filter('Recommendation Codes-Final'!G:H,'Recommendation Codes-Final'!A:A=A32)"),"Creation of teaching scenario based on specific set of tools")</f>
        <v>Creation of teaching scenario based on specific set of tools</v>
      </c>
      <c r="F32" s="37" t="str">
        <f>IFERROR(__xludf.DUMMYFUNCTION("""COMPUTED_VALUE"""),"tool / technology")</f>
        <v>tool / technology</v>
      </c>
    </row>
    <row r="33" ht="53.25" customHeight="1">
      <c r="A33" s="37">
        <v>36.0</v>
      </c>
      <c r="B33" s="90" t="s">
        <v>843</v>
      </c>
      <c r="C33" s="37" t="s">
        <v>844</v>
      </c>
      <c r="D33" s="37" t="s">
        <v>845</v>
      </c>
      <c r="E33" s="37" t="str">
        <f>IFERROR(__xludf.DUMMYFUNCTION("filter('Recommendation Codes-Final'!G:H,'Recommendation Codes-Final'!A:A=A33)"),"cloud provider services")</f>
        <v>cloud provider services</v>
      </c>
      <c r="F33" s="37" t="str">
        <f>IFERROR(__xludf.DUMMYFUNCTION("""COMPUTED_VALUE"""),"tool / technology")</f>
        <v>tool / technology</v>
      </c>
    </row>
    <row r="34">
      <c r="A34" s="37">
        <v>37.0</v>
      </c>
      <c r="B34" s="89" t="s">
        <v>846</v>
      </c>
      <c r="C34" s="37" t="s">
        <v>847</v>
      </c>
      <c r="D34" s="37" t="s">
        <v>848</v>
      </c>
      <c r="E34" s="37" t="str">
        <f>IFERROR(__xludf.DUMMYFUNCTION("filter('Recommendation Codes-Final'!G:H,'Recommendation Codes-Final'!A:A=A34)"),"References from practical context lived by students")</f>
        <v>References from practical context lived by students</v>
      </c>
      <c r="F34" s="37" t="str">
        <f>IFERROR(__xludf.DUMMYFUNCTION("""COMPUTED_VALUE"""),"strategies in course execution")</f>
        <v>strategies in course execution</v>
      </c>
    </row>
    <row r="35">
      <c r="A35" s="37">
        <v>38.0</v>
      </c>
      <c r="B35" s="89" t="s">
        <v>849</v>
      </c>
      <c r="C35" s="37" t="s">
        <v>850</v>
      </c>
      <c r="D35" s="37"/>
      <c r="E35" s="37" t="str">
        <f>IFERROR(__xludf.DUMMYFUNCTION("filter('Recommendation Codes-Final'!G:H,'Recommendation Codes-Final'!A:A=A35)"),"menu varying percentage of development, operation and security")</f>
        <v>menu varying percentage of development, operation and security</v>
      </c>
      <c r="F35" s="37" t="str">
        <f>IFERROR(__xludf.DUMMYFUNCTION("""COMPUTED_VALUE"""),"curriculum")</f>
        <v>curriculum</v>
      </c>
    </row>
    <row r="36">
      <c r="A36" s="37">
        <v>39.0</v>
      </c>
      <c r="B36" s="89" t="s">
        <v>851</v>
      </c>
      <c r="C36" s="37" t="s">
        <v>852</v>
      </c>
      <c r="D36" s="37"/>
      <c r="E36" s="37" t="str">
        <f>IFERROR(__xludf.DUMMYFUNCTION("filter('Recommendation Codes-Final'!G:H,'Recommendation Codes-Final'!A:A=A36)"),"Dedication on 50% for DevOps culture and 50% for tools on the curriculum")</f>
        <v>Dedication on 50% for DevOps culture and 50% for tools on the curriculum</v>
      </c>
      <c r="F36" s="37" t="str">
        <f>IFERROR(__xludf.DUMMYFUNCTION("""COMPUTED_VALUE"""),"curriculum")</f>
        <v>curriculum</v>
      </c>
    </row>
    <row r="37">
      <c r="A37" s="37">
        <v>40.0</v>
      </c>
      <c r="B37" s="89" t="s">
        <v>853</v>
      </c>
      <c r="C37" s="37" t="s">
        <v>854</v>
      </c>
      <c r="D37" s="37"/>
      <c r="E37" s="37" t="str">
        <f>IFERROR(__xludf.DUMMYFUNCTION("filter('Recommendation Codes-Final'!G:H,'Recommendation Codes-Final'!A:A=A37)"),"Teaching through known direct analogies to project management classes")</f>
        <v>Teaching through known direct analogies to project management classes</v>
      </c>
      <c r="F37" s="37" t="str">
        <f>IFERROR(__xludf.DUMMYFUNCTION("""COMPUTED_VALUE"""),"strategies in course execution")</f>
        <v>strategies in course execution</v>
      </c>
    </row>
    <row r="38">
      <c r="A38" s="88">
        <v>41.0</v>
      </c>
      <c r="B38" s="90" t="s">
        <v>855</v>
      </c>
      <c r="C38" s="88" t="s">
        <v>856</v>
      </c>
      <c r="D38" s="88" t="s">
        <v>857</v>
      </c>
      <c r="E38" s="37" t="str">
        <f>IFERROR(__xludf.DUMMYFUNCTION("filter('Recommendation Codes-Final'!G:H,'Recommendation Codes-Final'!A:A=A38)"),"Teaching of Culture DevOps")</f>
        <v>Teaching of Culture DevOps</v>
      </c>
      <c r="F38" s="88" t="str">
        <f>IFERROR(__xludf.DUMMYFUNCTION("""COMPUTED_VALUE"""),"devops concepts")</f>
        <v>devops concepts</v>
      </c>
    </row>
    <row r="39">
      <c r="A39" s="37">
        <v>43.0</v>
      </c>
      <c r="B39" s="89" t="s">
        <v>858</v>
      </c>
      <c r="C39" s="37" t="s">
        <v>859</v>
      </c>
      <c r="D39" s="37" t="s">
        <v>860</v>
      </c>
      <c r="E39" s="37" t="str">
        <f>IFERROR(__xludf.DUMMYFUNCTION("filter('Recommendation Codes-Final'!G:H,'Recommendation Codes-Final'!A:A=A39)"),"Culture of communication between student and teacher")</f>
        <v>Culture of communication between student and teacher</v>
      </c>
      <c r="F39" s="37" t="str">
        <f>IFERROR(__xludf.DUMMYFUNCTION("""COMPUTED_VALUE"""),"strategies in course execution")</f>
        <v>strategies in course execution</v>
      </c>
    </row>
    <row r="40">
      <c r="A40" s="37">
        <v>44.0</v>
      </c>
      <c r="B40" s="89" t="s">
        <v>861</v>
      </c>
      <c r="C40" s="37" t="s">
        <v>862</v>
      </c>
      <c r="D40" s="37"/>
      <c r="E40" s="37" t="str">
        <f>IFERROR(__xludf.DUMMYFUNCTION("filter('Recommendation Codes-Final'!G:H,'Recommendation Codes-Final'!A:A=A40)"),"Necessary great resource using virtual machines ")</f>
        <v>Necessary great resource using virtual machines </v>
      </c>
      <c r="F40" s="37" t="str">
        <f>IFERROR(__xludf.DUMMYFUNCTION("""COMPUTED_VALUE"""),"tool / technology")</f>
        <v>tool / technology</v>
      </c>
    </row>
    <row r="41">
      <c r="A41" s="37">
        <v>45.0</v>
      </c>
      <c r="B41" s="89" t="s">
        <v>863</v>
      </c>
      <c r="C41" s="37" t="s">
        <v>864</v>
      </c>
      <c r="D41" s="37" t="s">
        <v>865</v>
      </c>
      <c r="E41" s="37" t="str">
        <f>IFERROR(__xludf.DUMMYFUNCTION("filter('Recommendation Codes-Final'!G:H,'Recommendation Codes-Final'!A:A=A41)"),"Use the Terraform tool.")</f>
        <v>Use the Terraform tool.</v>
      </c>
      <c r="F41" s="37" t="str">
        <f>IFERROR(__xludf.DUMMYFUNCTION("""COMPUTED_VALUE"""),"tool / technology")</f>
        <v>tool / technology</v>
      </c>
    </row>
    <row r="42">
      <c r="A42" s="37">
        <v>46.0</v>
      </c>
      <c r="B42" s="89" t="s">
        <v>866</v>
      </c>
      <c r="C42" s="37" t="s">
        <v>867</v>
      </c>
      <c r="D42" s="37" t="s">
        <v>868</v>
      </c>
      <c r="E42" s="37" t="str">
        <f>IFERROR(__xludf.DUMMYFUNCTION("filter('Recommendation Codes-Final'!G:H,'Recommendation Codes-Final'!A:A=A42)"),"Iteration with students through practical examples")</f>
        <v>Iteration with students through practical examples</v>
      </c>
      <c r="F42" s="37" t="str">
        <f>IFERROR(__xludf.DUMMYFUNCTION("""COMPUTED_VALUE"""),"strategies in course execution")</f>
        <v>strategies in course execution</v>
      </c>
    </row>
    <row r="43">
      <c r="A43" s="37">
        <v>48.0</v>
      </c>
      <c r="B43" s="89" t="s">
        <v>869</v>
      </c>
      <c r="C43" s="37" t="s">
        <v>870</v>
      </c>
      <c r="D43" s="37"/>
      <c r="E43" s="37" t="str">
        <f>IFERROR(__xludf.DUMMYFUNCTION("filter('Recommendation Codes-Final'!G:H,'Recommendation Codes-Final'!A:A=A43)"),"Use of blocks or trello for Lean teaching.")</f>
        <v>Use of blocks or trello for Lean teaching.</v>
      </c>
      <c r="F43" s="37" t="str">
        <f>IFERROR(__xludf.DUMMYFUNCTION("""COMPUTED_VALUE"""),"strategies in course execution")</f>
        <v>strategies in course execution</v>
      </c>
    </row>
    <row r="44">
      <c r="A44" s="37">
        <v>49.0</v>
      </c>
      <c r="B44" s="91" t="s">
        <v>871</v>
      </c>
      <c r="C44" s="37" t="s">
        <v>872</v>
      </c>
      <c r="D44" s="87" t="s">
        <v>873</v>
      </c>
      <c r="E44" s="37" t="str">
        <f>IFERROR(__xludf.DUMMYFUNCTION("filter('Recommendation Codes-Final'!G:H,'Recommendation Codes-Final'!A:A=A44)"),"knowledge of the needs and limitations of the class")</f>
        <v>knowledge of the needs and limitations of the class</v>
      </c>
      <c r="F44" s="37" t="str">
        <f>IFERROR(__xludf.DUMMYFUNCTION("""COMPUTED_VALUE"""),"class preparation")</f>
        <v>class preparation</v>
      </c>
    </row>
    <row r="45">
      <c r="A45" s="37">
        <v>51.0</v>
      </c>
      <c r="B45" s="89" t="s">
        <v>874</v>
      </c>
      <c r="C45" s="37" t="s">
        <v>875</v>
      </c>
      <c r="D45" s="37"/>
      <c r="E45" s="37" t="str">
        <f>IFERROR(__xludf.DUMMYFUNCTION("filter('Recommendation Codes-Final'!G:H,'Recommendation Codes-Final'!A:A=A45)"),"Prerequisites available beforehand.")</f>
        <v>Prerequisites available beforehand.</v>
      </c>
      <c r="F45" s="37" t="str">
        <f>IFERROR(__xludf.DUMMYFUNCTION("""COMPUTED_VALUE"""),"class preparation")</f>
        <v>class preparation</v>
      </c>
    </row>
    <row r="46">
      <c r="A46" s="88">
        <v>52.0</v>
      </c>
      <c r="B46" s="90" t="s">
        <v>876</v>
      </c>
      <c r="C46" s="88" t="s">
        <v>877</v>
      </c>
      <c r="D46" s="88" t="s">
        <v>878</v>
      </c>
      <c r="E46" s="37" t="str">
        <f>IFERROR(__xludf.DUMMYFUNCTION("filter('Recommendation Codes-Final'!G:H,'Recommendation Codes-Final'!A:A=A46)"),"Separation in parts of support document for infrastructure configuration")</f>
        <v>Separation in parts of support document for infrastructure configuration</v>
      </c>
      <c r="F46" s="88" t="str">
        <f>IFERROR(__xludf.DUMMYFUNCTION("""COMPUTED_VALUE"""),"environment setup")</f>
        <v>environment setup</v>
      </c>
    </row>
    <row r="47">
      <c r="A47" s="88">
        <v>53.0</v>
      </c>
      <c r="B47" s="90" t="s">
        <v>879</v>
      </c>
      <c r="C47" s="88" t="s">
        <v>880</v>
      </c>
      <c r="D47" s="88" t="s">
        <v>881</v>
      </c>
      <c r="E47" s="37" t="str">
        <f>IFERROR(__xludf.DUMMYFUNCTION("filter('Recommendation Codes-Final'!G:H,'Recommendation Codes-Final'!A:A=A47)"),"real problems common in the industry")</f>
        <v>real problems common in the industry</v>
      </c>
      <c r="F47" s="88" t="str">
        <f>IFERROR(__xludf.DUMMYFUNCTION("""COMPUTED_VALUE"""),"strategies in course execution")</f>
        <v>strategies in course execution</v>
      </c>
    </row>
    <row r="48">
      <c r="A48" s="88">
        <v>54.0</v>
      </c>
      <c r="B48" s="90" t="s">
        <v>882</v>
      </c>
      <c r="C48" s="88" t="s">
        <v>883</v>
      </c>
      <c r="D48" s="88"/>
      <c r="E48" s="37" t="str">
        <f>IFERROR(__xludf.DUMMYFUNCTION("filter('Recommendation Codes-Final'!G:H,'Recommendation Codes-Final'!A:A=A48)"),"Specific support team for infrastructure doubts.")</f>
        <v>Specific support team for infrastructure doubts.</v>
      </c>
      <c r="F48" s="88" t="str">
        <f>IFERROR(__xludf.DUMMYFUNCTION("""COMPUTED_VALUE"""),"class preparation")</f>
        <v>class preparation</v>
      </c>
    </row>
    <row r="49">
      <c r="A49" s="88">
        <v>55.0</v>
      </c>
      <c r="B49" s="90" t="s">
        <v>884</v>
      </c>
      <c r="C49" s="88" t="s">
        <v>885</v>
      </c>
      <c r="D49" s="88"/>
      <c r="E49" s="37" t="str">
        <f>IFERROR(__xludf.DUMMYFUNCTION("filter('Recommendation Codes-Final'!G:H,'Recommendation Codes-Final'!A:A=A49)"),"Customization of Specific Problem Discussions Faced by Students")</f>
        <v>Customization of Specific Problem Discussions Faced by Students</v>
      </c>
      <c r="F49" s="88" t="str">
        <f>IFERROR(__xludf.DUMMYFUNCTION("""COMPUTED_VALUE"""),"strategies in course execution")</f>
        <v>strategies in course execution</v>
      </c>
    </row>
    <row r="50">
      <c r="A50" s="88">
        <v>56.0</v>
      </c>
      <c r="B50" s="90" t="s">
        <v>886</v>
      </c>
      <c r="C50" s="88" t="s">
        <v>887</v>
      </c>
      <c r="D50" s="88"/>
      <c r="E50" s="37" t="str">
        <f>IFERROR(__xludf.DUMMYFUNCTION("filter('Recommendation Codes-Final'!G:H,'Recommendation Codes-Final'!A:A=A50)"),"Task Tracking Tools")</f>
        <v>Task Tracking Tools</v>
      </c>
      <c r="F50" s="88" t="str">
        <f>IFERROR(__xludf.DUMMYFUNCTION("""COMPUTED_VALUE"""),"tool / technology")</f>
        <v>tool / technology</v>
      </c>
    </row>
    <row r="51">
      <c r="A51" s="88">
        <v>57.0</v>
      </c>
      <c r="B51" s="90" t="s">
        <v>888</v>
      </c>
      <c r="C51" s="88" t="s">
        <v>889</v>
      </c>
      <c r="D51" s="88" t="s">
        <v>890</v>
      </c>
      <c r="E51" s="37" t="str">
        <f>IFERROR(__xludf.DUMMYFUNCTION("filter('Recommendation Codes-Final'!G:H,'Recommendation Codes-Final'!A:A=A51)"),"Use a Stream Tool as Zoom, Google Meet or WebEx")</f>
        <v>Use a Stream Tool as Zoom, Google Meet or WebEx</v>
      </c>
      <c r="F51" s="88" t="str">
        <f>IFERROR(__xludf.DUMMYFUNCTION("""COMPUTED_VALUE"""),"tool / technology")</f>
        <v>tool / technology</v>
      </c>
    </row>
    <row r="52">
      <c r="A52" s="88">
        <v>58.0</v>
      </c>
      <c r="B52" s="90" t="s">
        <v>891</v>
      </c>
      <c r="C52" s="88" t="s">
        <v>892</v>
      </c>
      <c r="D52" s="88"/>
      <c r="E52" s="37" t="str">
        <f>IFERROR(__xludf.DUMMYFUNCTION("filter('Recommendation Codes-Final'!G:H,'Recommendation Codes-Final'!A:A=A52)"),"Exportation to Markdown and Version from the Notion")</f>
        <v>Exportation to Markdown and Version from the Notion</v>
      </c>
      <c r="F52" s="88" t="str">
        <f>IFERROR(__xludf.DUMMYFUNCTION("""COMPUTED_VALUE"""),"tool / technology")</f>
        <v>tool / technology</v>
      </c>
    </row>
    <row r="53">
      <c r="A53" s="88">
        <v>59.0</v>
      </c>
      <c r="B53" s="90" t="s">
        <v>893</v>
      </c>
      <c r="C53" s="88" t="s">
        <v>894</v>
      </c>
      <c r="D53" s="88" t="s">
        <v>895</v>
      </c>
      <c r="E53" s="37" t="str">
        <f>IFERROR(__xludf.DUMMYFUNCTION("filter('Recommendation Codes-Final'!G:H,'Recommendation Codes-Final'!A:A=A53)"),"Use of code versioning tools")</f>
        <v>Use of code versioning tools</v>
      </c>
      <c r="F53" s="88" t="str">
        <f>IFERROR(__xludf.DUMMYFUNCTION("""COMPUTED_VALUE"""),"tool / technology")</f>
        <v>tool / technology</v>
      </c>
    </row>
    <row r="54">
      <c r="A54" s="88">
        <v>60.0</v>
      </c>
      <c r="B54" s="90" t="s">
        <v>896</v>
      </c>
      <c r="C54" s="88" t="s">
        <v>897</v>
      </c>
      <c r="D54" s="88" t="s">
        <v>898</v>
      </c>
      <c r="E54" s="37" t="str">
        <f>IFERROR(__xludf.DUMMYFUNCTION("filter('Recommendation Codes-Final'!G:H,'Recommendation Codes-Final'!A:A=A54)"),"Use of Jenkins.")</f>
        <v>Use of Jenkins.</v>
      </c>
      <c r="F54" s="88" t="str">
        <f>IFERROR(__xludf.DUMMYFUNCTION("""COMPUTED_VALUE"""),"tool / technology")</f>
        <v>tool / technology</v>
      </c>
    </row>
    <row r="55">
      <c r="A55" s="88">
        <v>61.0</v>
      </c>
      <c r="B55" s="90" t="s">
        <v>899</v>
      </c>
      <c r="C55" s="88" t="s">
        <v>900</v>
      </c>
      <c r="D55" s="88"/>
      <c r="E55" s="37" t="str">
        <f>IFERROR(__xludf.DUMMYFUNCTION("filter('Recommendation Codes-Final'!G:H,'Recommendation Codes-Final'!A:A=A55)"),"Notion and Trello allow two-way iteration but Gist only one")</f>
        <v>Notion and Trello allow two-way iteration but Gist only one</v>
      </c>
      <c r="F55" s="88" t="str">
        <f>IFERROR(__xludf.DUMMYFUNCTION("""COMPUTED_VALUE"""),"tool / technology")</f>
        <v>tool / technology</v>
      </c>
    </row>
    <row r="56">
      <c r="A56" s="88">
        <v>62.0</v>
      </c>
      <c r="B56" s="90" t="s">
        <v>901</v>
      </c>
      <c r="C56" s="88" t="s">
        <v>902</v>
      </c>
      <c r="D56" s="88"/>
      <c r="E56" s="37" t="str">
        <f>IFERROR(__xludf.DUMMYFUNCTION("filter('Recommendation Codes-Final'!G:H,'Recommendation Codes-Final'!A:A=A56)"),"Mitigation of excessive resource consumption by limiting the fps zoom rate")</f>
        <v>Mitigation of excessive resource consumption by limiting the fps zoom rate</v>
      </c>
      <c r="F56" s="88" t="str">
        <f>IFERROR(__xludf.DUMMYFUNCTION("""COMPUTED_VALUE"""),"tool / technology")</f>
        <v>tool / technology</v>
      </c>
    </row>
    <row r="57">
      <c r="A57" s="88">
        <v>63.0</v>
      </c>
      <c r="B57" s="90" t="s">
        <v>903</v>
      </c>
      <c r="C57" s="88" t="s">
        <v>904</v>
      </c>
      <c r="D57" s="88" t="s">
        <v>905</v>
      </c>
      <c r="E57" s="37" t="str">
        <f>IFERROR(__xludf.DUMMYFUNCTION("filter('Recommendation Codes-Final'!G:H,'Recommendation Codes-Final'!A:A=A57)"),"Individual assessment of students.")</f>
        <v>Individual assessment of students.</v>
      </c>
      <c r="F57" s="88" t="str">
        <f>IFERROR(__xludf.DUMMYFUNCTION("""COMPUTED_VALUE"""),"assessment")</f>
        <v>assessment</v>
      </c>
    </row>
    <row r="58">
      <c r="A58" s="88">
        <v>64.0</v>
      </c>
      <c r="B58" s="90" t="s">
        <v>906</v>
      </c>
      <c r="C58" s="88" t="s">
        <v>907</v>
      </c>
      <c r="D58" s="88" t="s">
        <v>908</v>
      </c>
      <c r="E58" s="37" t="str">
        <f>IFERROR(__xludf.DUMMYFUNCTION("filter('Recommendation Codes-Final'!G:H,'Recommendation Codes-Final'!A:A=A58)"),"NPS as a form of course evaluation with students")</f>
        <v>NPS as a form of course evaluation with students</v>
      </c>
      <c r="F58" s="88" t="str">
        <f>IFERROR(__xludf.DUMMYFUNCTION("""COMPUTED_VALUE"""),"assessment")</f>
        <v>assessment</v>
      </c>
    </row>
    <row r="59">
      <c r="A59" s="88">
        <v>66.0</v>
      </c>
      <c r="B59" s="90" t="s">
        <v>909</v>
      </c>
      <c r="C59" s="88" t="s">
        <v>910</v>
      </c>
      <c r="D59" s="88"/>
      <c r="E59" s="37" t="str">
        <f>IFERROR(__xludf.DUMMYFUNCTION("filter('Recommendation Codes-Final'!G:H,'Recommendation Codes-Final'!A:A=A59)"),"Class evaluation through training recording.")</f>
        <v>Class evaluation through training recording.</v>
      </c>
      <c r="F59" s="88" t="str">
        <f>IFERROR(__xludf.DUMMYFUNCTION("""COMPUTED_VALUE"""),"assessment")</f>
        <v>assessment</v>
      </c>
    </row>
    <row r="60">
      <c r="A60" s="88">
        <v>67.0</v>
      </c>
      <c r="B60" s="90" t="s">
        <v>911</v>
      </c>
      <c r="C60" s="88" t="s">
        <v>912</v>
      </c>
      <c r="D60" s="88"/>
      <c r="E60" s="37" t="str">
        <f>IFERROR(__xludf.DUMMYFUNCTION("filter('Recommendation Codes-Final'!G:H,'Recommendation Codes-Final'!A:A=A60)"),"Theoretical and practical education mix")</f>
        <v>Theoretical and practical education mix</v>
      </c>
      <c r="F60" s="88" t="str">
        <f>IFERROR(__xludf.DUMMYFUNCTION("""COMPUTED_VALUE"""),"curriculum")</f>
        <v>curriculum</v>
      </c>
    </row>
    <row r="61">
      <c r="A61" s="88">
        <v>68.0</v>
      </c>
      <c r="B61" s="90" t="s">
        <v>913</v>
      </c>
      <c r="C61" s="88" t="s">
        <v>914</v>
      </c>
      <c r="D61" s="88"/>
      <c r="E61" s="37" t="str">
        <f>IFERROR(__xludf.DUMMYFUNCTION("filter('Recommendation Codes-Final'!G:H,'Recommendation Codes-Final'!A:A=A61)"),"teaching from Lean, Kaisen and Agile on the theoretical part")</f>
        <v>teaching from Lean, Kaisen and Agile on the theoretical part</v>
      </c>
      <c r="F61" s="88" t="str">
        <f>IFERROR(__xludf.DUMMYFUNCTION("""COMPUTED_VALUE"""),"curriculum")</f>
        <v>curriculum</v>
      </c>
    </row>
    <row r="62">
      <c r="A62" s="88">
        <v>69.0</v>
      </c>
      <c r="B62" s="90" t="s">
        <v>915</v>
      </c>
      <c r="C62" s="88" t="s">
        <v>916</v>
      </c>
      <c r="D62" s="88"/>
      <c r="E62" s="37" t="str">
        <f>IFERROR(__xludf.DUMMYFUNCTION("filter('Recommendation Codes-Final'!G:H,'Recommendation Codes-Final'!A:A=A62)"),"Development of software across all steps from DevOps.")</f>
        <v>Development of software across all steps from DevOps.</v>
      </c>
      <c r="F62" s="88" t="str">
        <f>IFERROR(__xludf.DUMMYFUNCTION("""COMPUTED_VALUE"""),"curriculum")</f>
        <v>curriculum</v>
      </c>
    </row>
    <row r="63">
      <c r="A63" s="88">
        <v>70.0</v>
      </c>
      <c r="B63" s="90" t="s">
        <v>917</v>
      </c>
      <c r="C63" s="88" t="s">
        <v>918</v>
      </c>
      <c r="D63" s="88"/>
      <c r="E63" s="37" t="str">
        <f>IFERROR(__xludf.DUMMYFUNCTION("filter('Recommendation Codes-Final'!G:H,'Recommendation Codes-Final'!A:A=A63)"),"Continuous delivery through virtual machine or docker")</f>
        <v>Continuous delivery through virtual machine or docker</v>
      </c>
      <c r="F63" s="88" t="str">
        <f>IFERROR(__xludf.DUMMYFUNCTION("""COMPUTED_VALUE"""),"tool / technology")</f>
        <v>tool / technology</v>
      </c>
    </row>
    <row r="64">
      <c r="A64" s="88">
        <v>71.0</v>
      </c>
      <c r="B64" s="90" t="s">
        <v>919</v>
      </c>
      <c r="C64" s="88" t="s">
        <v>920</v>
      </c>
      <c r="D64" s="88"/>
      <c r="E64" s="37" t="str">
        <f>IFERROR(__xludf.DUMMYFUNCTION("filter('Recommendation Codes-Final'!G:H,'Recommendation Codes-Final'!A:A=A64)"),"Grafana and Prometheus as monitoring tools")</f>
        <v>Grafana and Prometheus as monitoring tools</v>
      </c>
      <c r="F64" s="88" t="str">
        <f>IFERROR(__xludf.DUMMYFUNCTION("""COMPUTED_VALUE"""),"tool / technology")</f>
        <v>tool / technology</v>
      </c>
    </row>
    <row r="65">
      <c r="A65" s="88">
        <v>72.0</v>
      </c>
      <c r="B65" s="90" t="s">
        <v>921</v>
      </c>
      <c r="C65" s="88" t="s">
        <v>922</v>
      </c>
      <c r="D65" s="88"/>
      <c r="E65" s="37" t="str">
        <f>IFERROR(__xludf.DUMMYFUNCTION("filter('Recommendation Codes-Final'!G:H,'Recommendation Codes-Final'!A:A=A65)"),"Exemplification from forum projects.")</f>
        <v>Exemplification from forum projects.</v>
      </c>
      <c r="F65" s="88" t="str">
        <f>IFERROR(__xludf.DUMMYFUNCTION("""COMPUTED_VALUE"""),"strategies in course execution")</f>
        <v>strategies in course execution</v>
      </c>
    </row>
    <row r="66">
      <c r="A66" s="88">
        <v>73.0</v>
      </c>
      <c r="B66" s="90" t="s">
        <v>923</v>
      </c>
      <c r="C66" s="88" t="s">
        <v>924</v>
      </c>
      <c r="D66" s="88"/>
      <c r="E66" s="37" t="str">
        <f>IFERROR(__xludf.DUMMYFUNCTION("filter('Recommendation Codes-Final'!G:H,'Recommendation Codes-Final'!A:A=A66)"),"Practical activities in the course: bank decoupling, versioning, integration and continuous delivery")</f>
        <v>Practical activities in the course: bank decoupling, versioning, integration and continuous delivery</v>
      </c>
      <c r="F66" s="88" t="str">
        <f>IFERROR(__xludf.DUMMYFUNCTION("""COMPUTED_VALUE"""),"curriculum")</f>
        <v>curriculum</v>
      </c>
    </row>
    <row r="67">
      <c r="A67" s="88">
        <v>74.0</v>
      </c>
      <c r="B67" s="90" t="s">
        <v>925</v>
      </c>
      <c r="C67" s="88" t="s">
        <v>926</v>
      </c>
      <c r="D67" s="88"/>
      <c r="E67" s="37" t="str">
        <f>IFERROR(__xludf.DUMMYFUNCTION("filter('Recommendation Codes-Final'!G:H,'Recommendation Codes-Final'!A:A=A67)"),"Comfortable student learning environment in remote")</f>
        <v>Comfortable student learning environment in remote</v>
      </c>
      <c r="F67" s="88" t="str">
        <f>IFERROR(__xludf.DUMMYFUNCTION("""COMPUTED_VALUE"""),"strategies in course execution")</f>
        <v>strategies in course execution</v>
      </c>
    </row>
    <row r="68">
      <c r="A68" s="88">
        <v>75.0</v>
      </c>
      <c r="B68" s="90" t="s">
        <v>927</v>
      </c>
      <c r="C68" s="88" t="s">
        <v>928</v>
      </c>
      <c r="D68" s="88" t="s">
        <v>929</v>
      </c>
      <c r="E68" s="37" t="str">
        <f>IFERROR(__xludf.DUMMYFUNCTION("filter('Recommendation Codes-Final'!G:H,'Recommendation Codes-Final'!A:A=A68)"),"clear diversity of possible tools to perform a task.")</f>
        <v>clear diversity of possible tools to perform a task.</v>
      </c>
      <c r="F68" s="88" t="str">
        <f>IFERROR(__xludf.DUMMYFUNCTION("""COMPUTED_VALUE"""),"tool / technology")</f>
        <v>tool / technology</v>
      </c>
    </row>
    <row r="69">
      <c r="A69" s="88">
        <v>76.0</v>
      </c>
      <c r="B69" s="90" t="s">
        <v>930</v>
      </c>
      <c r="C69" s="88" t="s">
        <v>931</v>
      </c>
      <c r="D69" s="88" t="s">
        <v>932</v>
      </c>
      <c r="E69" s="37" t="str">
        <f>IFERROR(__xludf.DUMMYFUNCTION("filter('Recommendation Codes-Final'!G:H,'Recommendation Codes-Final'!A:A=A69)"),"Development of systems during discipline by students ")</f>
        <v>Development of systems during discipline by students </v>
      </c>
      <c r="F69" s="88" t="str">
        <f>IFERROR(__xludf.DUMMYFUNCTION("""COMPUTED_VALUE"""),"strategies in course execution")</f>
        <v>strategies in course execution</v>
      </c>
    </row>
    <row r="70">
      <c r="A70" s="88">
        <v>77.0</v>
      </c>
      <c r="B70" s="90" t="s">
        <v>933</v>
      </c>
      <c r="C70" s="88" t="s">
        <v>934</v>
      </c>
      <c r="D70" s="88"/>
      <c r="E70" s="37" t="str">
        <f>IFERROR(__xludf.DUMMYFUNCTION("filter('Recommendation Codes-Final'!G:H,'Recommendation Codes-Final'!A:A=A70)"),"Practice of large amount of tools")</f>
        <v>Practice of large amount of tools</v>
      </c>
      <c r="F70" s="88" t="str">
        <f>IFERROR(__xludf.DUMMYFUNCTION("""COMPUTED_VALUE"""),"tool / technology")</f>
        <v>tool / technology</v>
      </c>
    </row>
    <row r="71">
      <c r="A71" s="88">
        <v>78.0</v>
      </c>
      <c r="B71" s="90" t="s">
        <v>935</v>
      </c>
      <c r="C71" s="88" t="s">
        <v>936</v>
      </c>
      <c r="D71" s="88" t="s">
        <v>937</v>
      </c>
      <c r="E71" s="37" t="str">
        <f>IFERROR(__xludf.DUMMYFUNCTION("filter('Recommendation Codes-Final'!G:H,'Recommendation Codes-Final'!A:A=A71)"),"Use of miscellaneous DevOps study materials.")</f>
        <v>Use of miscellaneous DevOps study materials.</v>
      </c>
      <c r="F71" s="88" t="str">
        <f>IFERROR(__xludf.DUMMYFUNCTION("""COMPUTED_VALUE"""),"class preparation")</f>
        <v>class preparation</v>
      </c>
    </row>
    <row r="72">
      <c r="A72" s="88">
        <v>79.0</v>
      </c>
      <c r="B72" s="90" t="s">
        <v>938</v>
      </c>
      <c r="C72" s="88" t="s">
        <v>939</v>
      </c>
      <c r="D72" s="88" t="s">
        <v>940</v>
      </c>
      <c r="E72" s="37" t="str">
        <f>IFERROR(__xludf.DUMMYFUNCTION("filter('Recommendation Codes-Final'!G:H,'Recommendation Codes-Final'!A:A=A72)"),"provision of a finalized system for students")</f>
        <v>provision of a finalized system for students</v>
      </c>
      <c r="F72" s="88" t="str">
        <f>IFERROR(__xludf.DUMMYFUNCTION("""COMPUTED_VALUE"""),"strategies in course execution")</f>
        <v>strategies in course execution</v>
      </c>
    </row>
    <row r="73">
      <c r="A73" s="88">
        <v>80.0</v>
      </c>
      <c r="B73" s="90" t="s">
        <v>941</v>
      </c>
      <c r="C73" s="88" t="s">
        <v>942</v>
      </c>
      <c r="D73" s="88" t="s">
        <v>943</v>
      </c>
      <c r="E73" s="37" t="str">
        <f>IFERROR(__xludf.DUMMYFUNCTION("filter('Recommendation Codes-Final'!G:H,'Recommendation Codes-Final'!A:A=A73)"),"Initial Environment Configuration for Students")</f>
        <v>Initial Environment Configuration for Students</v>
      </c>
      <c r="F73" s="88" t="str">
        <f>IFERROR(__xludf.DUMMYFUNCTION("""COMPUTED_VALUE"""),"environment setup")</f>
        <v>environment setup</v>
      </c>
    </row>
    <row r="74">
      <c r="A74" s="88">
        <v>81.0</v>
      </c>
      <c r="B74" s="90" t="s">
        <v>944</v>
      </c>
      <c r="C74" s="88" t="s">
        <v>945</v>
      </c>
      <c r="D74" s="88" t="s">
        <v>946</v>
      </c>
      <c r="E74" s="37" t="str">
        <f>IFERROR(__xludf.DUMMYFUNCTION("filter('Recommendation Codes-Final'!G:H,'Recommendation Codes-Final'!A:A=A74)"),"Teaching of version control, build, ci, gitflow and software testing.")</f>
        <v>Teaching of version control, build, ci, gitflow and software testing.</v>
      </c>
      <c r="F74" s="88" t="str">
        <f>IFERROR(__xludf.DUMMYFUNCTION("""COMPUTED_VALUE"""),"curriculum")</f>
        <v>curriculum</v>
      </c>
    </row>
    <row r="75">
      <c r="A75" s="88">
        <v>82.0</v>
      </c>
      <c r="B75" s="90" t="s">
        <v>947</v>
      </c>
      <c r="C75" s="88" t="s">
        <v>948</v>
      </c>
      <c r="D75" s="88"/>
      <c r="E75" s="37" t="str">
        <f>IFERROR(__xludf.DUMMYFUNCTION("filter('Recommendation Codes-Final'!G:H,'Recommendation Codes-Final'!A:A=A75)"),"Registration of reference material documentation")</f>
        <v>Registration of reference material documentation</v>
      </c>
      <c r="F75" s="88" t="str">
        <f>IFERROR(__xludf.DUMMYFUNCTION("""COMPUTED_VALUE"""),"class preparation")</f>
        <v>class preparation</v>
      </c>
    </row>
    <row r="76">
      <c r="A76" s="88">
        <v>83.0</v>
      </c>
      <c r="B76" s="90" t="s">
        <v>949</v>
      </c>
      <c r="C76" s="88" t="s">
        <v>950</v>
      </c>
      <c r="D76" s="88" t="s">
        <v>951</v>
      </c>
      <c r="E76" s="37" t="str">
        <f>IFERROR(__xludf.DUMMYFUNCTION("filter('Recommendation Codes-Final'!G:H,'Recommendation Codes-Final'!A:A=A76)"),"Jenkins Tools, Travis Ci, Circle Ci and Github Action in Continuous Integration Teaching")</f>
        <v>Jenkins Tools, Travis Ci, Circle Ci and Github Action in Continuous Integration Teaching</v>
      </c>
      <c r="F76" s="88" t="str">
        <f>IFERROR(__xludf.DUMMYFUNCTION("""COMPUTED_VALUE"""),"tool / technology")</f>
        <v>tool / technology</v>
      </c>
    </row>
    <row r="77">
      <c r="A77" s="88">
        <v>84.0</v>
      </c>
      <c r="B77" s="90" t="s">
        <v>952</v>
      </c>
      <c r="C77" s="88" t="s">
        <v>953</v>
      </c>
      <c r="D77" s="88"/>
      <c r="E77" s="37" t="str">
        <f>IFERROR(__xludf.DUMMYFUNCTION("filter('Recommendation Codes-Final'!G:H,'Recommendation Codes-Final'!A:A=A77)"),"CI tools, like Jenkins, during the transition to cloud CI tools.")</f>
        <v>CI tools, like Jenkins, during the transition to cloud CI tools.</v>
      </c>
      <c r="F77" s="88" t="str">
        <f>IFERROR(__xludf.DUMMYFUNCTION("""COMPUTED_VALUE"""),"tool / technology")</f>
        <v>tool / technology</v>
      </c>
    </row>
    <row r="78">
      <c r="A78" s="88">
        <v>85.0</v>
      </c>
      <c r="B78" s="90" t="s">
        <v>954</v>
      </c>
      <c r="C78" s="88" t="s">
        <v>955</v>
      </c>
      <c r="D78" s="88" t="s">
        <v>956</v>
      </c>
      <c r="E78" s="37" t="str">
        <f>IFERROR(__xludf.DUMMYFUNCTION("filter('Recommendation Codes-Final'!G:H,'Recommendation Codes-Final'!A:A=A78)"),"Relevant tools and their costs Benefits")</f>
        <v>Relevant tools and their costs Benefits</v>
      </c>
      <c r="F78" s="88" t="str">
        <f>IFERROR(__xludf.DUMMYFUNCTION("""COMPUTED_VALUE"""),"tool / technology")</f>
        <v>tool / technology</v>
      </c>
    </row>
    <row r="79">
      <c r="A79" s="88">
        <v>86.0</v>
      </c>
      <c r="B79" s="90" t="s">
        <v>957</v>
      </c>
      <c r="C79" s="88" t="s">
        <v>958</v>
      </c>
      <c r="D79" s="88" t="s">
        <v>959</v>
      </c>
      <c r="E79" s="37" t="str">
        <f>IFERROR(__xludf.DUMMYFUNCTION("filter('Recommendation Codes-Final'!G:H,'Recommendation Codes-Final'!A:A=A79)"),"Written evaluation of the Basic and Culture DevOps concept")</f>
        <v>Written evaluation of the Basic and Culture DevOps concept</v>
      </c>
      <c r="F79" s="88" t="str">
        <f>IFERROR(__xludf.DUMMYFUNCTION("""COMPUTED_VALUE"""),"assessment")</f>
        <v>assessment</v>
      </c>
    </row>
    <row r="80">
      <c r="A80" s="88">
        <v>87.0</v>
      </c>
      <c r="B80" s="90" t="s">
        <v>960</v>
      </c>
      <c r="C80" s="88" t="s">
        <v>961</v>
      </c>
      <c r="D80" s="88"/>
      <c r="E80" s="37" t="str">
        <f>IFERROR(__xludf.DUMMYFUNCTION("filter('Recommendation Codes-Final'!G:H,'Recommendation Codes-Final'!A:A=A80)"),"Division of the course of DevOps in various disciplines.")</f>
        <v>Division of the course of DevOps in various disciplines.</v>
      </c>
      <c r="F80" s="88" t="str">
        <f>IFERROR(__xludf.DUMMYFUNCTION("""COMPUTED_VALUE"""),"curriculum")</f>
        <v>curriculum</v>
      </c>
    </row>
    <row r="81">
      <c r="A81" s="88">
        <v>88.0</v>
      </c>
      <c r="B81" s="90" t="s">
        <v>962</v>
      </c>
      <c r="C81" s="88" t="s">
        <v>963</v>
      </c>
      <c r="D81" s="88" t="s">
        <v>964</v>
      </c>
      <c r="E81" s="37" t="str">
        <f>IFERROR(__xludf.DUMMYFUNCTION("filter('Recommendation Codes-Final'!G:H,'Recommendation Codes-Final'!A:A=A81)"),"Build, test, deployment, and monitoring on a course DevOps")</f>
        <v>Build, test, deployment, and monitoring on a course DevOps</v>
      </c>
      <c r="F81" s="88" t="str">
        <f>IFERROR(__xludf.DUMMYFUNCTION("""COMPUTED_VALUE"""),"curriculum")</f>
        <v>curriculum</v>
      </c>
    </row>
    <row r="82">
      <c r="A82" s="88">
        <v>89.0</v>
      </c>
      <c r="B82" s="90" t="s">
        <v>965</v>
      </c>
      <c r="C82" s="88" t="s">
        <v>966</v>
      </c>
      <c r="D82" s="88"/>
      <c r="E82" s="37" t="str">
        <f>IFERROR(__xludf.DUMMYFUNCTION("filter('Recommendation Codes-Final'!G:H,'Recommendation Codes-Final'!A:A=A82)"),"uniformity of the didactic material of the classes")</f>
        <v>uniformity of the didactic material of the classes</v>
      </c>
      <c r="F82" s="88" t="str">
        <f>IFERROR(__xludf.DUMMYFUNCTION("""COMPUTED_VALUE"""),"class preparation")</f>
        <v>class preparation</v>
      </c>
    </row>
    <row r="83">
      <c r="A83" s="88">
        <v>90.0</v>
      </c>
      <c r="B83" s="90" t="s">
        <v>967</v>
      </c>
      <c r="C83" s="88" t="s">
        <v>968</v>
      </c>
      <c r="D83" s="88"/>
      <c r="E83" s="37" t="str">
        <f>IFERROR(__xludf.DUMMYFUNCTION("filter('Recommendation Codes-Final'!G:H,'Recommendation Codes-Final'!A:A=A83)"),"Prioritization of teaching more essential tools.")</f>
        <v>Prioritization of teaching more essential tools.</v>
      </c>
      <c r="F83" s="88" t="str">
        <f>IFERROR(__xludf.DUMMYFUNCTION("""COMPUTED_VALUE"""),"class preparation")</f>
        <v>class preparation</v>
      </c>
    </row>
    <row r="84">
      <c r="A84" s="88">
        <v>91.0</v>
      </c>
      <c r="B84" s="90" t="s">
        <v>969</v>
      </c>
      <c r="C84" s="88" t="s">
        <v>970</v>
      </c>
      <c r="D84" s="88" t="s">
        <v>971</v>
      </c>
      <c r="E84" s="37" t="str">
        <f>IFERROR(__xludf.DUMMYFUNCTION("filter('Recommendation Codes-Final'!G:H,'Recommendation Codes-Final'!A:A=A84)"),"industry relevant tools")</f>
        <v>industry relevant tools</v>
      </c>
      <c r="F84" s="88" t="str">
        <f>IFERROR(__xludf.DUMMYFUNCTION("""COMPUTED_VALUE"""),"tool / technology")</f>
        <v>tool / technology</v>
      </c>
    </row>
    <row r="85">
      <c r="A85" s="88">
        <v>92.0</v>
      </c>
      <c r="B85" s="90" t="s">
        <v>972</v>
      </c>
      <c r="C85" s="88" t="s">
        <v>973</v>
      </c>
      <c r="D85" s="88"/>
      <c r="E85" s="37" t="str">
        <f>IFERROR(__xludf.DUMMYFUNCTION("filter('Recommendation Codes-Final'!G:H,'Recommendation Codes-Final'!A:A=A85)"),"class sequence")</f>
        <v>class sequence</v>
      </c>
      <c r="F85" s="88" t="str">
        <f>IFERROR(__xludf.DUMMYFUNCTION("""COMPUTED_VALUE"""),"class preparation")</f>
        <v>class preparation</v>
      </c>
    </row>
    <row r="86">
      <c r="A86" s="88">
        <v>93.0</v>
      </c>
      <c r="B86" s="90" t="s">
        <v>974</v>
      </c>
      <c r="C86" s="88" t="s">
        <v>975</v>
      </c>
      <c r="D86" s="88"/>
      <c r="E86" s="37" t="str">
        <f>IFERROR(__xludf.DUMMYFUNCTION("filter('Recommendation Codes-Final'!G:H,'Recommendation Codes-Final'!A:A=A86)"),"Use of a comfortable programming language for the teacher")</f>
        <v>Use of a comfortable programming language for the teacher</v>
      </c>
      <c r="F86" s="88" t="str">
        <f>IFERROR(__xludf.DUMMYFUNCTION("""COMPUTED_VALUE"""),"tool / technology")</f>
        <v>tool / technology</v>
      </c>
    </row>
    <row r="87">
      <c r="A87" s="88">
        <v>94.0</v>
      </c>
      <c r="B87" s="90" t="s">
        <v>976</v>
      </c>
      <c r="C87" s="88" t="s">
        <v>977</v>
      </c>
      <c r="D87" s="88" t="s">
        <v>978</v>
      </c>
      <c r="E87" s="37" t="str">
        <f>IFERROR(__xludf.DUMMYFUNCTION("filter('Recommendation Codes-Final'!G:H,'Recommendation Codes-Final'!A:A=A87)"),"simplest devops tools")</f>
        <v>simplest devops tools</v>
      </c>
      <c r="F87" s="88" t="str">
        <f>IFERROR(__xludf.DUMMYFUNCTION("""COMPUTED_VALUE"""),"tool / technology")</f>
        <v>tool / technology</v>
      </c>
    </row>
    <row r="88">
      <c r="A88" s="88">
        <v>95.0</v>
      </c>
      <c r="B88" s="90" t="s">
        <v>979</v>
      </c>
      <c r="C88" s="88" t="s">
        <v>980</v>
      </c>
      <c r="D88" s="88"/>
      <c r="E88" s="37" t="str">
        <f>IFERROR(__xludf.DUMMYFUNCTION("filter('Recommendation Codes-Final'!G:H,'Recommendation Codes-Final'!A:A=A88)"),"Monitoring rather than traditional evaluation")</f>
        <v>Monitoring rather than traditional evaluation</v>
      </c>
      <c r="F88" s="88" t="str">
        <f>IFERROR(__xludf.DUMMYFUNCTION("""COMPUTED_VALUE"""),"assessment")</f>
        <v>assessment</v>
      </c>
    </row>
    <row r="89">
      <c r="A89" s="88">
        <v>96.0</v>
      </c>
      <c r="B89" s="90" t="s">
        <v>981</v>
      </c>
      <c r="C89" s="88" t="s">
        <v>982</v>
      </c>
      <c r="D89" s="88"/>
      <c r="E89" s="37" t="str">
        <f>IFERROR(__xludf.DUMMYFUNCTION("filter('Recommendation Codes-Final'!G:H,'Recommendation Codes-Final'!A:A=A89)"),"Contextualization of historical aspects and definition of concepts Continuous integration, continuous delivery, continuous deployment and automation.")</f>
        <v>Contextualization of historical aspects and definition of concepts Continuous integration, continuous delivery, continuous deployment and automation.</v>
      </c>
      <c r="F89" s="88" t="str">
        <f>IFERROR(__xludf.DUMMYFUNCTION("""COMPUTED_VALUE"""),"devops concepts")</f>
        <v>devops concepts</v>
      </c>
    </row>
    <row r="90">
      <c r="A90" s="88">
        <v>97.0</v>
      </c>
      <c r="B90" s="90" t="s">
        <v>983</v>
      </c>
      <c r="C90" s="88" t="s">
        <v>984</v>
      </c>
      <c r="D90" s="88" t="s">
        <v>985</v>
      </c>
      <c r="E90" s="37" t="str">
        <f>IFERROR(__xludf.DUMMYFUNCTION("filter('Recommendation Codes-Final'!G:H,'Recommendation Codes-Final'!A:A=A90)")," Comparison between DevOps and software development models")</f>
        <v> Comparison between DevOps and software development models</v>
      </c>
      <c r="F90" s="88" t="str">
        <f>IFERROR(__xludf.DUMMYFUNCTION("""COMPUTED_VALUE"""),"devops concepts")</f>
        <v>devops concepts</v>
      </c>
    </row>
    <row r="91">
      <c r="A91" s="88">
        <v>98.0</v>
      </c>
      <c r="B91" s="90" t="s">
        <v>986</v>
      </c>
      <c r="C91" s="88" t="s">
        <v>987</v>
      </c>
      <c r="D91" s="88"/>
      <c r="E91" s="37" t="str">
        <f>IFERROR(__xludf.DUMMYFUNCTION("filter('Recommendation Codes-Final'!G:H,'Recommendation Codes-Final'!A:A=A91)"),"Infrastructure previously organized")</f>
        <v>Infrastructure previously organized</v>
      </c>
      <c r="F91" s="88" t="str">
        <f>IFERROR(__xludf.DUMMYFUNCTION("""COMPUTED_VALUE"""),"environment setup")</f>
        <v>environment setup</v>
      </c>
    </row>
    <row r="92">
      <c r="A92" s="88">
        <v>100.0</v>
      </c>
      <c r="B92" s="90" t="s">
        <v>988</v>
      </c>
      <c r="C92" s="88" t="s">
        <v>989</v>
      </c>
      <c r="D92" s="88" t="s">
        <v>990</v>
      </c>
      <c r="E92" s="37" t="str">
        <f>IFERROR(__xludf.DUMMYFUNCTION("filter('Recommendation Codes-Final'!G:H,'Recommendation Codes-Final'!A:A=A92)"),"Historical importance of DevOps and their relationship with SRE")</f>
        <v>Historical importance of DevOps and their relationship with SRE</v>
      </c>
      <c r="F92" s="88" t="str">
        <f>IFERROR(__xludf.DUMMYFUNCTION("""COMPUTED_VALUE"""),"devops concepts")</f>
        <v>devops concepts</v>
      </c>
    </row>
    <row r="93">
      <c r="A93" s="88">
        <v>103.0</v>
      </c>
      <c r="B93" s="90" t="s">
        <v>991</v>
      </c>
      <c r="C93" s="88" t="s">
        <v>992</v>
      </c>
      <c r="D93" s="88"/>
      <c r="E93" s="37" t="str">
        <f>IFERROR(__xludf.DUMMYFUNCTION("filter('Recommendation Codes-Final'!G:H,'Recommendation Codes-Final'!A:A=A93)"),"Use of Comprehensive Distance Learning Teaching Methodology (CDL).
 ")</f>
        <v>Use of Comprehensive Distance Learning Teaching Methodology (CDL).
 </v>
      </c>
      <c r="F93" s="88" t="str">
        <f>IFERROR(__xludf.DUMMYFUNCTION("""COMPUTED_VALUE"""),"strategies in course execution")</f>
        <v>strategies in course execution</v>
      </c>
    </row>
    <row r="94">
      <c r="A94" s="88">
        <v>104.0</v>
      </c>
      <c r="B94" s="90" t="s">
        <v>993</v>
      </c>
      <c r="C94" s="88" t="s">
        <v>994</v>
      </c>
      <c r="D94" s="88" t="s">
        <v>995</v>
      </c>
      <c r="E94" s="37" t="str">
        <f>IFERROR(__xludf.DUMMYFUNCTION("filter('Recommendation Codes-Final'!G:H,'Recommendation Codes-Final'!A:A=A94)"),"practice for fixing the concepts")</f>
        <v>practice for fixing the concepts</v>
      </c>
      <c r="F94" s="88" t="str">
        <f>IFERROR(__xludf.DUMMYFUNCTION("""COMPUTED_VALUE"""),"strategies in course execution")</f>
        <v>strategies in course execution</v>
      </c>
    </row>
    <row r="95">
      <c r="A95" s="88">
        <v>105.0</v>
      </c>
      <c r="B95" s="90" t="s">
        <v>996</v>
      </c>
      <c r="C95" s="88" t="s">
        <v>997</v>
      </c>
      <c r="D95" s="88"/>
      <c r="E95" s="37" t="str">
        <f>IFERROR(__xludf.DUMMYFUNCTION("filter('Recommendation Codes-Final'!G:H,'Recommendation Codes-Final'!A:A=A95)"),"Study of many subjects before preparing classes.")</f>
        <v>Study of many subjects before preparing classes.</v>
      </c>
      <c r="F95" s="88" t="str">
        <f>IFERROR(__xludf.DUMMYFUNCTION("""COMPUTED_VALUE"""),"class preparation")</f>
        <v>class preparation</v>
      </c>
    </row>
    <row r="96">
      <c r="A96" s="88">
        <v>106.0</v>
      </c>
      <c r="B96" s="90" t="s">
        <v>998</v>
      </c>
      <c r="C96" s="88" t="s">
        <v>999</v>
      </c>
      <c r="D96" s="88"/>
      <c r="E96" s="37" t="str">
        <f>IFERROR(__xludf.DUMMYFUNCTION("filter('Recommendation Codes-Final'!G:H,'Recommendation Codes-Final'!A:A=A96)"),"dynamics for inspiration to class")</f>
        <v>dynamics for inspiration to class</v>
      </c>
      <c r="F96" s="88" t="str">
        <f>IFERROR(__xludf.DUMMYFUNCTION("""COMPUTED_VALUE"""),"strategies in course execution")</f>
        <v>strategies in course execution</v>
      </c>
    </row>
    <row r="97">
      <c r="A97" s="88">
        <v>108.0</v>
      </c>
      <c r="B97" s="90" t="s">
        <v>1000</v>
      </c>
      <c r="C97" s="88" t="s">
        <v>1001</v>
      </c>
      <c r="D97" s="88"/>
      <c r="E97" s="37" t="str">
        <f>IFERROR(__xludf.DUMMYFUNCTION("filter('Recommendation Codes-Final'!G:H,'Recommendation Codes-Final'!A:A=A97)"),"Use of Mesos, Marathon and Docker Swarm, before Kubernetes.")</f>
        <v>Use of Mesos, Marathon and Docker Swarm, before Kubernetes.</v>
      </c>
      <c r="F97" s="88" t="str">
        <f>IFERROR(__xludf.DUMMYFUNCTION("""COMPUTED_VALUE"""),"tool / technology")</f>
        <v>tool / technology</v>
      </c>
    </row>
    <row r="98">
      <c r="A98" s="88">
        <v>109.0</v>
      </c>
      <c r="B98" s="90" t="s">
        <v>1002</v>
      </c>
      <c r="C98" s="88" t="s">
        <v>1003</v>
      </c>
      <c r="D98" s="88" t="s">
        <v>1004</v>
      </c>
      <c r="E98" s="37" t="str">
        <f>IFERROR(__xludf.DUMMYFUNCTION("filter('Recommendation Codes-Final'!G:H,'Recommendation Codes-Final'!A:A=A98)"),"Monitor staff helping evaluation")</f>
        <v>Monitor staff helping evaluation</v>
      </c>
      <c r="F98" s="88" t="str">
        <f>IFERROR(__xludf.DUMMYFUNCTION("""COMPUTED_VALUE"""),"assessment")</f>
        <v>assessment</v>
      </c>
    </row>
    <row r="99">
      <c r="A99" s="88">
        <v>110.0</v>
      </c>
      <c r="B99" s="90" t="s">
        <v>1005</v>
      </c>
      <c r="C99" s="88" t="s">
        <v>1006</v>
      </c>
      <c r="D99" s="88" t="s">
        <v>1007</v>
      </c>
      <c r="E99" s="37" t="str">
        <f>IFERROR(__xludf.DUMMYFUNCTION("filter('Recommendation Codes-Final'!G:H,'Recommendation Codes-Final'!A:A=A99)"),"Incentive of critical thinking of students and self-taught search for more information")</f>
        <v>Incentive of critical thinking of students and self-taught search for more information</v>
      </c>
      <c r="F99" s="88" t="str">
        <f>IFERROR(__xludf.DUMMYFUNCTION("""COMPUTED_VALUE"""),"strategies in course execution")</f>
        <v>strategies in course execution</v>
      </c>
    </row>
    <row r="100">
      <c r="A100" s="88">
        <v>111.0</v>
      </c>
      <c r="B100" s="90" t="s">
        <v>1008</v>
      </c>
      <c r="C100" s="88" t="s">
        <v>1009</v>
      </c>
      <c r="D100" s="88" t="s">
        <v>1010</v>
      </c>
      <c r="E100" s="37" t="str">
        <f>IFERROR(__xludf.DUMMYFUNCTION("filter('Recommendation Codes-Final'!G:H,'Recommendation Codes-Final'!A:A=A100)"),"Use of discipline elaborated by the interviewee P7 as a reference for other DevOps disciplines.")</f>
        <v>Use of discipline elaborated by the interviewee P7 as a reference for other DevOps disciplines.</v>
      </c>
      <c r="F100" s="88" t="str">
        <f>IFERROR(__xludf.DUMMYFUNCTION("""COMPUTED_VALUE"""),"curriculum")</f>
        <v>curriculum</v>
      </c>
    </row>
    <row r="101">
      <c r="A101" s="88">
        <v>112.0</v>
      </c>
      <c r="B101" s="90" t="s">
        <v>1011</v>
      </c>
      <c r="C101" s="88" t="s">
        <v>1012</v>
      </c>
      <c r="D101" s="88" t="s">
        <v>268</v>
      </c>
      <c r="E101" s="37" t="str">
        <f>IFERROR(__xludf.DUMMYFUNCTION("filter('Recommendation Codes-Final'!G:H,'Recommendation Codes-Final'!A:A=A101)"),"Use of Problem-based Learning (PBL) for the teaching of DevOps.")</f>
        <v>Use of Problem-based Learning (PBL) for the teaching of DevOps.</v>
      </c>
      <c r="F101" s="88" t="str">
        <f>IFERROR(__xludf.DUMMYFUNCTION("""COMPUTED_VALUE"""),"strategies in course execution")</f>
        <v>strategies in course execution</v>
      </c>
    </row>
    <row r="102">
      <c r="A102" s="88">
        <v>113.0</v>
      </c>
      <c r="B102" s="90" t="s">
        <v>1013</v>
      </c>
      <c r="C102" s="88" t="s">
        <v>1014</v>
      </c>
      <c r="D102" s="88"/>
      <c r="E102" s="37" t="str">
        <f>IFERROR(__xludf.DUMMYFUNCTION("filter('Recommendation Codes-Final'!G:H,'Recommendation Codes-Final'!A:A=A102)"),"Merges of teaching methodologies Problem-based learning and inverted class with Agile")</f>
        <v>Merges of teaching methodologies Problem-based learning and inverted class with Agile</v>
      </c>
      <c r="F102" s="88" t="str">
        <f>IFERROR(__xludf.DUMMYFUNCTION("""COMPUTED_VALUE"""),"strategies in course execution")</f>
        <v>strategies in course execution</v>
      </c>
    </row>
    <row r="103">
      <c r="A103" s="88">
        <v>114.0</v>
      </c>
      <c r="B103" s="90" t="s">
        <v>1015</v>
      </c>
      <c r="C103" s="88" t="s">
        <v>1016</v>
      </c>
      <c r="D103" s="88" t="s">
        <v>1017</v>
      </c>
      <c r="E103" s="37" t="str">
        <f>IFERROR(__xludf.DUMMYFUNCTION("filter('Recommendation Codes-Final'!G:H,'Recommendation Codes-Final'!A:A=A103)"),"team-based student organization")</f>
        <v>team-based student organization</v>
      </c>
      <c r="F103" s="88" t="str">
        <f>IFERROR(__xludf.DUMMYFUNCTION("""COMPUTED_VALUE"""),"strategies in course execution")</f>
        <v>strategies in course execution</v>
      </c>
    </row>
    <row r="104">
      <c r="A104" s="88">
        <v>115.0</v>
      </c>
      <c r="B104" s="90" t="s">
        <v>1018</v>
      </c>
      <c r="C104" s="88" t="s">
        <v>1019</v>
      </c>
      <c r="D104" s="88" t="s">
        <v>1020</v>
      </c>
      <c r="E104" s="37" t="str">
        <f>IFERROR(__xludf.DUMMYFUNCTION("filter('Recommendation Codes-Final'!G:H,'Recommendation Codes-Final'!A:A=A104)"),"organization of the course in sprints")</f>
        <v>organization of the course in sprints</v>
      </c>
      <c r="F104" s="88" t="str">
        <f>IFERROR(__xludf.DUMMYFUNCTION("""COMPUTED_VALUE"""),"strategies in course execution")</f>
        <v>strategies in course execution</v>
      </c>
    </row>
    <row r="105">
      <c r="A105" s="88">
        <v>116.0</v>
      </c>
      <c r="B105" s="90" t="s">
        <v>1021</v>
      </c>
      <c r="C105" s="88" t="s">
        <v>1022</v>
      </c>
      <c r="D105" s="88" t="s">
        <v>1023</v>
      </c>
      <c r="E105" s="37" t="str">
        <f>IFERROR(__xludf.DUMMYFUNCTION("filter('Recommendation Codes-Final'!G:H,'Recommendation Codes-Final'!A:A=A105)"),"teach just enough so learn in the right context")</f>
        <v>teach just enough so learn in the right context</v>
      </c>
      <c r="F105" s="88" t="str">
        <f>IFERROR(__xludf.DUMMYFUNCTION("""COMPUTED_VALUE"""),"strategies in course execution")</f>
        <v>strategies in course execution</v>
      </c>
    </row>
    <row r="106">
      <c r="A106" s="88">
        <v>117.0</v>
      </c>
      <c r="B106" s="92" t="s">
        <v>1024</v>
      </c>
      <c r="C106" s="88" t="s">
        <v>1025</v>
      </c>
      <c r="D106" s="88" t="s">
        <v>1026</v>
      </c>
      <c r="E106" s="37" t="str">
        <f>IFERROR(__xludf.DUMMYFUNCTION("filter('Recommendation Codes-Final'!G:H,'Recommendation Codes-Final'!A:A=A106)"),"fast feedback to the student questions")</f>
        <v>fast feedback to the student questions</v>
      </c>
      <c r="F106" s="88" t="str">
        <f>IFERROR(__xludf.DUMMYFUNCTION("""COMPUTED_VALUE"""),"strategies in course execution")</f>
        <v>strategies in course execution</v>
      </c>
    </row>
    <row r="107">
      <c r="A107" s="88">
        <v>118.0</v>
      </c>
      <c r="B107" s="90" t="s">
        <v>1027</v>
      </c>
      <c r="C107" s="88" t="s">
        <v>1028</v>
      </c>
      <c r="D107" s="88" t="s">
        <v>1029</v>
      </c>
      <c r="E107" s="37" t="str">
        <f>IFERROR(__xludf.DUMMYFUNCTION("filter('Recommendation Codes-Final'!G:H,'Recommendation Codes-Final'!A:A=A107)"),"incrementally DevOps content teaching")</f>
        <v>incrementally DevOps content teaching</v>
      </c>
      <c r="F107" s="88" t="str">
        <f>IFERROR(__xludf.DUMMYFUNCTION("""COMPUTED_VALUE"""),"strategies in course execution")</f>
        <v>strategies in course execution</v>
      </c>
    </row>
    <row r="108">
      <c r="A108" s="88">
        <v>119.0</v>
      </c>
      <c r="B108" s="92" t="s">
        <v>1030</v>
      </c>
      <c r="C108" s="88" t="s">
        <v>1031</v>
      </c>
      <c r="D108" s="88"/>
      <c r="E108" s="37" t="str">
        <f>IFERROR(__xludf.DUMMYFUNCTION("filter('Recommendation Codes-Final'!G:H,'Recommendation Codes-Final'!A:A=A108)"),"test cases manually, pull requests, test automation CI, test cases, code coverage. Setup CD pipeline deploy application in cloud.")</f>
        <v>test cases manually, pull requests, test automation CI, test cases, code coverage. Setup CD pipeline deploy application in cloud.</v>
      </c>
      <c r="F108" s="88" t="str">
        <f>IFERROR(__xludf.DUMMYFUNCTION("""COMPUTED_VALUE"""),"strategies in course execution")</f>
        <v>strategies in course execution</v>
      </c>
    </row>
    <row r="109">
      <c r="A109" s="88">
        <v>120.0</v>
      </c>
      <c r="B109" s="90" t="s">
        <v>1032</v>
      </c>
      <c r="C109" s="88" t="s">
        <v>1033</v>
      </c>
      <c r="D109" s="88" t="s">
        <v>1034</v>
      </c>
      <c r="E109" s="37" t="str">
        <f>IFERROR(__xludf.DUMMYFUNCTION("filter('Recommendation Codes-Final'!G:H,'Recommendation Codes-Final'!A:A=A109)"),"students' motivation for themselves")</f>
        <v>students' motivation for themselves</v>
      </c>
      <c r="F109" s="88" t="str">
        <f>IFERROR(__xludf.DUMMYFUNCTION("""COMPUTED_VALUE"""),"strategies in course execution")</f>
        <v>strategies in course execution</v>
      </c>
    </row>
    <row r="110">
      <c r="A110" s="88">
        <v>121.0</v>
      </c>
      <c r="B110" s="90" t="s">
        <v>1035</v>
      </c>
      <c r="C110" s="88" t="s">
        <v>1036</v>
      </c>
      <c r="D110" s="88" t="s">
        <v>1037</v>
      </c>
      <c r="E110" s="37" t="str">
        <f>IFERROR(__xludf.DUMMYFUNCTION("filter('Recommendation Codes-Final'!G:H,'Recommendation Codes-Final'!A:A=A110)"),"preparation of the students based on previous courses")</f>
        <v>preparation of the students based on previous courses</v>
      </c>
      <c r="F110" s="88" t="str">
        <f>IFERROR(__xludf.DUMMYFUNCTION("""COMPUTED_VALUE"""),"curriculum")</f>
        <v>curriculum</v>
      </c>
    </row>
    <row r="111">
      <c r="A111" s="88">
        <v>122.0</v>
      </c>
      <c r="B111" s="90" t="s">
        <v>1038</v>
      </c>
      <c r="C111" s="88" t="s">
        <v>1039</v>
      </c>
      <c r="D111" s="88"/>
      <c r="E111" s="37" t="str">
        <f>IFERROR(__xludf.DUMMYFUNCTION("filter('Recommendation Codes-Final'!G:H,'Recommendation Codes-Final'!A:A=A111)"),"Linux operational system")</f>
        <v>Linux operational system</v>
      </c>
      <c r="F111" s="88" t="str">
        <f>IFERROR(__xludf.DUMMYFUNCTION("""COMPUTED_VALUE"""),"tool / technology")</f>
        <v>tool / technology</v>
      </c>
    </row>
    <row r="112">
      <c r="A112" s="88">
        <v>123.0</v>
      </c>
      <c r="B112" s="92" t="s">
        <v>1040</v>
      </c>
      <c r="C112" s="88" t="s">
        <v>1041</v>
      </c>
      <c r="D112" s="93" t="s">
        <v>1042</v>
      </c>
      <c r="E112" s="37" t="str">
        <f>IFERROR(__xludf.DUMMYFUNCTION("filter('Recommendation Codes-Final'!G:H,'Recommendation Codes-Final'!A:A=A112)"),"vagrant and VirtualBox as a free tool")</f>
        <v>vagrant and VirtualBox as a free tool</v>
      </c>
      <c r="F112" s="88" t="str">
        <f>IFERROR(__xludf.DUMMYFUNCTION("""COMPUTED_VALUE"""),"tool / technology")</f>
        <v>tool / technology</v>
      </c>
    </row>
    <row r="113">
      <c r="A113" s="88">
        <v>124.0</v>
      </c>
      <c r="B113" s="90" t="s">
        <v>1043</v>
      </c>
      <c r="C113" s="88" t="s">
        <v>1044</v>
      </c>
      <c r="D113" s="94" t="s">
        <v>1045</v>
      </c>
      <c r="E113" s="37" t="str">
        <f>IFERROR(__xludf.DUMMYFUNCTION("filter('Recommendation Codes-Final'!G:H,'Recommendation Codes-Final'!A:A=A113)"),"Docker choice as DevOps tool")</f>
        <v>Docker choice as DevOps tool</v>
      </c>
      <c r="F113" s="94" t="str">
        <f>IFERROR(__xludf.DUMMYFUNCTION("""COMPUTED_VALUE"""),"tool / technology")</f>
        <v>tool / technology</v>
      </c>
    </row>
    <row r="114">
      <c r="A114" s="88">
        <v>125.0</v>
      </c>
      <c r="B114" s="90" t="s">
        <v>1046</v>
      </c>
      <c r="C114" s="88" t="s">
        <v>1047</v>
      </c>
      <c r="D114" s="88" t="s">
        <v>1048</v>
      </c>
      <c r="E114" s="37" t="str">
        <f>IFERROR(__xludf.DUMMYFUNCTION("filter('Recommendation Codes-Final'!G:H,'Recommendation Codes-Final'!A:A=A114)"),"Selenium UI test automation")</f>
        <v>Selenium UI test automation</v>
      </c>
      <c r="F114" s="88" t="str">
        <f>IFERROR(__xludf.DUMMYFUNCTION("""COMPUTED_VALUE"""),"tool / technology")</f>
        <v>tool / technology</v>
      </c>
    </row>
    <row r="115">
      <c r="A115" s="88">
        <v>126.0</v>
      </c>
      <c r="B115" s="90" t="s">
        <v>1049</v>
      </c>
      <c r="C115" s="88" t="s">
        <v>1050</v>
      </c>
      <c r="D115" s="88" t="s">
        <v>1051</v>
      </c>
      <c r="E115" s="37" t="str">
        <f>IFERROR(__xludf.DUMMYFUNCTION("filter('Recommendation Codes-Final'!G:H,'Recommendation Codes-Final'!A:A=A115)"),"No technology stack in students systems")</f>
        <v>No technology stack in students systems</v>
      </c>
      <c r="F115" s="88" t="str">
        <f>IFERROR(__xludf.DUMMYFUNCTION("""COMPUTED_VALUE"""),"tool / technology")</f>
        <v>tool / technology</v>
      </c>
    </row>
    <row r="116">
      <c r="A116" s="88">
        <v>127.0</v>
      </c>
      <c r="B116" s="90" t="s">
        <v>1052</v>
      </c>
      <c r="C116" s="88" t="s">
        <v>1053</v>
      </c>
      <c r="D116" s="88"/>
      <c r="E116" s="37" t="str">
        <f>IFERROR(__xludf.DUMMYFUNCTION("filter('Recommendation Codes-Final'!G:H,'Recommendation Codes-Final'!A:A=A116)"),"Argo CD instead of Jenkins in continuous delivery teaching")</f>
        <v>Argo CD instead of Jenkins in continuous delivery teaching</v>
      </c>
      <c r="F116" s="88" t="str">
        <f>IFERROR(__xludf.DUMMYFUNCTION("""COMPUTED_VALUE"""),"tool / technology")</f>
        <v>tool / technology</v>
      </c>
    </row>
    <row r="117">
      <c r="A117" s="88">
        <v>128.0</v>
      </c>
      <c r="B117" s="90" t="s">
        <v>1054</v>
      </c>
      <c r="C117" s="88" t="s">
        <v>1055</v>
      </c>
      <c r="D117" s="88" t="s">
        <v>1056</v>
      </c>
      <c r="E117" s="37" t="str">
        <f>IFERROR(__xludf.DUMMYFUNCTION("filter('Recommendation Codes-Final'!G:H,'Recommendation Codes-Final'!A:A=A117)"),"Kanban board")</f>
        <v>Kanban board</v>
      </c>
      <c r="F117" s="88" t="str">
        <f>IFERROR(__xludf.DUMMYFUNCTION("""COMPUTED_VALUE"""),"strategies in course execution")</f>
        <v>strategies in course execution</v>
      </c>
    </row>
    <row r="118">
      <c r="A118" s="88">
        <v>129.0</v>
      </c>
      <c r="B118" s="90" t="s">
        <v>1057</v>
      </c>
      <c r="C118" s="88" t="s">
        <v>1058</v>
      </c>
      <c r="D118" s="88"/>
      <c r="E118" s="37" t="str">
        <f>IFERROR(__xludf.DUMMYFUNCTION("filter('Recommendation Codes-Final'!G:H,'Recommendation Codes-Final'!A:A=A118)"),"Labs accuracy validation  frequently before the classes")</f>
        <v>Labs accuracy validation  frequently before the classes</v>
      </c>
      <c r="F118" s="88" t="str">
        <f>IFERROR(__xludf.DUMMYFUNCTION("""COMPUTED_VALUE"""),"class preparation")</f>
        <v>class preparation</v>
      </c>
    </row>
    <row r="119">
      <c r="A119" s="88">
        <v>130.0</v>
      </c>
      <c r="B119" s="90" t="s">
        <v>1059</v>
      </c>
      <c r="C119" s="88" t="s">
        <v>1060</v>
      </c>
      <c r="D119" s="88" t="s">
        <v>1061</v>
      </c>
      <c r="E119" s="37" t="str">
        <f>IFERROR(__xludf.DUMMYFUNCTION("filter('Recommendation Codes-Final'!G:H,'Recommendation Codes-Final'!A:A=A119)"),"managing of the student questions by teacher assistants")</f>
        <v>managing of the student questions by teacher assistants</v>
      </c>
      <c r="F119" s="88" t="str">
        <f>IFERROR(__xludf.DUMMYFUNCTION("""COMPUTED_VALUE"""),"strategies in course execution")</f>
        <v>strategies in course execution</v>
      </c>
    </row>
    <row r="120">
      <c r="A120" s="88">
        <v>131.0</v>
      </c>
      <c r="B120" s="90" t="s">
        <v>1062</v>
      </c>
      <c r="C120" s="88" t="s">
        <v>1063</v>
      </c>
      <c r="D120" s="88"/>
      <c r="E120" s="37" t="str">
        <f>IFERROR(__xludf.DUMMYFUNCTION("filter('Recommendation Codes-Final'!G:H,'Recommendation Codes-Final'!A:A=A120)"),"team 40% of grade. Exam 60%.")</f>
        <v>team 40% of grade. Exam 60%.</v>
      </c>
      <c r="F120" s="88" t="str">
        <f>IFERROR(__xludf.DUMMYFUNCTION("""COMPUTED_VALUE"""),"assessment")</f>
        <v>assessment</v>
      </c>
    </row>
    <row r="121">
      <c r="A121" s="88">
        <v>132.0</v>
      </c>
      <c r="B121" s="90" t="s">
        <v>1064</v>
      </c>
      <c r="C121" s="88" t="s">
        <v>1065</v>
      </c>
      <c r="D121" s="88"/>
      <c r="E121" s="37" t="str">
        <f>IFERROR(__xludf.DUMMYFUNCTION("filter('Recommendation Codes-Final'!G:H,'Recommendation Codes-Final'!A:A=A121)"),"students engage through fun")</f>
        <v>students engage through fun</v>
      </c>
      <c r="F121" s="88" t="str">
        <f>IFERROR(__xludf.DUMMYFUNCTION("""COMPUTED_VALUE"""),"strategies in course execution")</f>
        <v>strategies in course execution</v>
      </c>
    </row>
    <row r="122">
      <c r="A122" s="88">
        <v>133.0</v>
      </c>
      <c r="B122" s="92" t="s">
        <v>1066</v>
      </c>
      <c r="C122" s="88" t="s">
        <v>1067</v>
      </c>
      <c r="D122" s="88" t="s">
        <v>1068</v>
      </c>
      <c r="E122" s="37" t="str">
        <f>IFERROR(__xludf.DUMMYFUNCTION("filter('Recommendation Codes-Final'!G:H,'Recommendation Codes-Final'!A:A=A122)"),"quiz as a student assessment tool")</f>
        <v>quiz as a student assessment tool</v>
      </c>
      <c r="F122" s="88" t="str">
        <f>IFERROR(__xludf.DUMMYFUNCTION("""COMPUTED_VALUE"""),"assessment")</f>
        <v>assessment</v>
      </c>
    </row>
    <row r="123">
      <c r="A123" s="88">
        <v>134.0</v>
      </c>
      <c r="B123" s="90" t="s">
        <v>1069</v>
      </c>
      <c r="C123" s="88" t="s">
        <v>1070</v>
      </c>
      <c r="D123" s="88"/>
      <c r="E123" s="37" t="str">
        <f>IFERROR(__xludf.DUMMYFUNCTION("filter('Recommendation Codes-Final'!G:H,'Recommendation Codes-Final'!A:A=A123)"),"exams with open book")</f>
        <v>exams with open book</v>
      </c>
      <c r="F123" s="88" t="str">
        <f>IFERROR(__xludf.DUMMYFUNCTION("""COMPUTED_VALUE"""),"assessment")</f>
        <v>assessment</v>
      </c>
    </row>
    <row r="124">
      <c r="A124" s="88">
        <v>136.0</v>
      </c>
      <c r="B124" s="90" t="s">
        <v>1071</v>
      </c>
      <c r="C124" s="88" t="s">
        <v>1072</v>
      </c>
      <c r="D124" s="88"/>
      <c r="E124" s="37" t="str">
        <f>IFERROR(__xludf.DUMMYFUNCTION("filter('Recommendation Codes-Final'!G:H,'Recommendation Codes-Final'!A:A=A124)"),"virtual machine setup facilitated by cloud computing")</f>
        <v>virtual machine setup facilitated by cloud computing</v>
      </c>
      <c r="F124" s="88" t="str">
        <f>IFERROR(__xludf.DUMMYFUNCTION("""COMPUTED_VALUE"""),"environment setup")</f>
        <v>environment setup</v>
      </c>
    </row>
    <row r="125">
      <c r="A125" s="88">
        <v>137.0</v>
      </c>
      <c r="B125" s="90" t="s">
        <v>1073</v>
      </c>
      <c r="C125" s="88" t="s">
        <v>1074</v>
      </c>
      <c r="D125" s="88" t="s">
        <v>1075</v>
      </c>
      <c r="E125" s="37" t="str">
        <f>IFERROR(__xludf.DUMMYFUNCTION("filter('Recommendation Codes-Final'!G:H,'Recommendation Codes-Final'!A:A=A125)"),"continuous improvements key DevOps concept")</f>
        <v>continuous improvements key DevOps concept</v>
      </c>
      <c r="F125" s="88" t="str">
        <f>IFERROR(__xludf.DUMMYFUNCTION("""COMPUTED_VALUE"""),"devops concepts")</f>
        <v>devops concepts</v>
      </c>
    </row>
    <row r="126">
      <c r="A126" s="88">
        <v>138.0</v>
      </c>
      <c r="B126" s="92" t="s">
        <v>1076</v>
      </c>
      <c r="C126" s="88" t="s">
        <v>1077</v>
      </c>
      <c r="D126" s="88"/>
      <c r="E126" s="37" t="str">
        <f>IFERROR(__xludf.DUMMYFUNCTION("filter('Recommendation Codes-Final'!G:H,'Recommendation Codes-Final'!A:A=A126)"),"virtual machine images with everything needed")</f>
        <v>virtual machine images with everything needed</v>
      </c>
      <c r="F126" s="88" t="str">
        <f>IFERROR(__xludf.DUMMYFUNCTION("""COMPUTED_VALUE"""),"environment setup")</f>
        <v>environment setup</v>
      </c>
    </row>
    <row r="127">
      <c r="A127" s="88">
        <v>139.0</v>
      </c>
      <c r="B127" s="90" t="s">
        <v>1078</v>
      </c>
      <c r="C127" s="88" t="s">
        <v>1079</v>
      </c>
      <c r="D127" s="88"/>
      <c r="E127" s="37" t="str">
        <f>IFERROR(__xludf.DUMMYFUNCTION("filter('Recommendation Codes-Final'!G:H,'Recommendation Codes-Final'!A:A=A127)"),"GitHub classroom available on Github academic use")</f>
        <v>GitHub classroom available on Github academic use</v>
      </c>
      <c r="F127" s="88" t="str">
        <f>IFERROR(__xludf.DUMMYFUNCTION("""COMPUTED_VALUE"""),"tool / technology")</f>
        <v>tool / technology</v>
      </c>
    </row>
    <row r="128">
      <c r="A128" s="88">
        <v>140.0</v>
      </c>
      <c r="B128" s="92" t="s">
        <v>1080</v>
      </c>
      <c r="C128" s="88" t="s">
        <v>1081</v>
      </c>
      <c r="D128" s="88"/>
      <c r="E128" s="37" t="str">
        <f>IFERROR(__xludf.DUMMYFUNCTION("filter('Recommendation Codes-Final'!G:H,'Recommendation Codes-Final'!A:A=A128)"),"contrast tools before choose")</f>
        <v>contrast tools before choose</v>
      </c>
      <c r="F128" s="88" t="str">
        <f>IFERROR(__xludf.DUMMYFUNCTION("""COMPUTED_VALUE"""),"tool / technology")</f>
        <v>tool / technology</v>
      </c>
    </row>
    <row r="129">
      <c r="A129" s="88">
        <v>141.0</v>
      </c>
      <c r="B129" s="90" t="s">
        <v>1082</v>
      </c>
      <c r="C129" s="88" t="s">
        <v>1083</v>
      </c>
      <c r="D129" s="88"/>
      <c r="E129" s="37" t="str">
        <f>IFERROR(__xludf.DUMMYFUNCTION("filter('Recommendation Codes-Final'!G:H,'Recommendation Codes-Final'!A:A=A129)"),"environment setup easier by a cloud provider")</f>
        <v>environment setup easier by a cloud provider</v>
      </c>
      <c r="F129" s="88" t="str">
        <f>IFERROR(__xludf.DUMMYFUNCTION("""COMPUTED_VALUE"""),"environment setup")</f>
        <v>environment setup</v>
      </c>
    </row>
    <row r="130">
      <c r="A130" s="88">
        <v>142.0</v>
      </c>
      <c r="B130" s="90" t="s">
        <v>1084</v>
      </c>
      <c r="C130" s="88" t="s">
        <v>1085</v>
      </c>
      <c r="D130" s="88"/>
      <c r="E130" s="37" t="str">
        <f>IFERROR(__xludf.DUMMYFUNCTION("filter('Recommendation Codes-Final'!G:H,'Recommendation Codes-Final'!A:A=A130)"),"students understanding evolution of the tools")</f>
        <v>students understanding evolution of the tools</v>
      </c>
      <c r="F130" s="88" t="str">
        <f>IFERROR(__xludf.DUMMYFUNCTION("""COMPUTED_VALUE"""),"tool / technology")</f>
        <v>tool / technology</v>
      </c>
    </row>
    <row r="131">
      <c r="A131" s="88">
        <v>143.0</v>
      </c>
      <c r="B131" s="90" t="s">
        <v>1086</v>
      </c>
      <c r="C131" s="88" t="s">
        <v>1087</v>
      </c>
      <c r="D131" s="88"/>
      <c r="E131" s="37" t="str">
        <f>IFERROR(__xludf.DUMMYFUNCTION("filter('Recommendation Codes-Final'!G:H,'Recommendation Codes-Final'!A:A=A131)"),"dev and ops in different courses")</f>
        <v>dev and ops in different courses</v>
      </c>
      <c r="F131" s="88" t="str">
        <f>IFERROR(__xludf.DUMMYFUNCTION("""COMPUTED_VALUE"""),"curriculum")</f>
        <v>curriculum</v>
      </c>
    </row>
    <row r="132">
      <c r="A132" s="88">
        <v>144.0</v>
      </c>
      <c r="B132" s="90" t="s">
        <v>1088</v>
      </c>
      <c r="C132" s="88" t="s">
        <v>1089</v>
      </c>
      <c r="D132" s="88"/>
      <c r="E132" s="37" t="str">
        <f>IFERROR(__xludf.DUMMYFUNCTION("filter('Recommendation Codes-Final'!G:H,'Recommendation Codes-Final'!A:A=A132)"),"bussinessman understanding devops benefities from the students")</f>
        <v>bussinessman understanding devops benefities from the students</v>
      </c>
      <c r="F132" s="88" t="str">
        <f>IFERROR(__xludf.DUMMYFUNCTION("""COMPUTED_VALUE"""),"devops concepts")</f>
        <v>devops concepts</v>
      </c>
    </row>
    <row r="133">
      <c r="A133" s="88">
        <v>145.0</v>
      </c>
      <c r="B133" s="90" t="s">
        <v>1090</v>
      </c>
      <c r="C133" s="88" t="s">
        <v>1091</v>
      </c>
      <c r="D133" s="88"/>
      <c r="E133" s="37" t="str">
        <f>IFERROR(__xludf.DUMMYFUNCTION("filter('Recommendation Codes-Final'!G:H,'Recommendation Codes-Final'!A:A=A133)"),"skeleton class without replacement because it focuses on concepts and goals")</f>
        <v>skeleton class without replacement because it focuses on concepts and goals</v>
      </c>
      <c r="F133" s="88" t="str">
        <f>IFERROR(__xludf.DUMMYFUNCTION("""COMPUTED_VALUE"""),"class preparation")</f>
        <v>class preparation</v>
      </c>
    </row>
    <row r="134">
      <c r="A134" s="88">
        <v>146.0</v>
      </c>
      <c r="B134" s="90" t="s">
        <v>1092</v>
      </c>
      <c r="C134" s="88" t="s">
        <v>1093</v>
      </c>
      <c r="D134" s="88" t="s">
        <v>1094</v>
      </c>
      <c r="E134" s="37" t="str">
        <f>IFERROR(__xludf.DUMMYFUNCTION("filter('Recommendation Codes-Final'!G:H,'Recommendation Codes-Final'!A:A=A134)"),"small projects")</f>
        <v>small projects</v>
      </c>
      <c r="F134" s="88" t="str">
        <f>IFERROR(__xludf.DUMMYFUNCTION("""COMPUTED_VALUE"""),"class preparation")</f>
        <v>class preparation</v>
      </c>
    </row>
    <row r="135">
      <c r="A135" s="88">
        <v>147.0</v>
      </c>
      <c r="B135" s="92" t="s">
        <v>1095</v>
      </c>
      <c r="C135" s="88" t="s">
        <v>1096</v>
      </c>
      <c r="D135" s="88"/>
      <c r="E135" s="37" t="str">
        <f>IFERROR(__xludf.DUMMYFUNCTION("filter('Recommendation Codes-Final'!G:H,'Recommendation Codes-Final'!A:A=A135)"),"jump-starting example of commonly used commands of tools")</f>
        <v>jump-starting example of commonly used commands of tools</v>
      </c>
      <c r="F135" s="88" t="str">
        <f>IFERROR(__xludf.DUMMYFUNCTION("""COMPUTED_VALUE"""),"class preparation")</f>
        <v>class preparation</v>
      </c>
    </row>
    <row r="136">
      <c r="A136" s="88">
        <v>148.0</v>
      </c>
      <c r="B136" s="90" t="s">
        <v>1097</v>
      </c>
      <c r="C136" s="88" t="s">
        <v>1098</v>
      </c>
      <c r="D136" s="88"/>
      <c r="E136" s="37" t="str">
        <f>IFERROR(__xludf.DUMMYFUNCTION("filter('Recommendation Codes-Final'!G:H,'Recommendation Codes-Final'!A:A=A136)"),"understanding of the student difficulties in new technologies")</f>
        <v>understanding of the student difficulties in new technologies</v>
      </c>
      <c r="F136" s="88" t="str">
        <f>IFERROR(__xludf.DUMMYFUNCTION("""COMPUTED_VALUE"""),"devops concepts")</f>
        <v>devops concepts</v>
      </c>
    </row>
    <row r="137">
      <c r="A137" s="88">
        <v>149.0</v>
      </c>
      <c r="B137" s="90" t="s">
        <v>1099</v>
      </c>
      <c r="C137" s="88" t="s">
        <v>1100</v>
      </c>
      <c r="D137" s="88"/>
      <c r="E137" s="37" t="str">
        <f>IFERROR(__xludf.DUMMYFUNCTION("filter('Recommendation Codes-Final'!G:H,'Recommendation Codes-Final'!A:A=A137)"),"curriculum allows degree freedom")</f>
        <v>curriculum allows degree freedom</v>
      </c>
      <c r="F137" s="88" t="str">
        <f>IFERROR(__xludf.DUMMYFUNCTION("""COMPUTED_VALUE"""),"curriculum")</f>
        <v>curriculum</v>
      </c>
    </row>
    <row r="138">
      <c r="A138" s="88">
        <v>150.0</v>
      </c>
      <c r="B138" s="90" t="s">
        <v>1101</v>
      </c>
      <c r="C138" s="88" t="s">
        <v>1102</v>
      </c>
      <c r="D138" s="88"/>
      <c r="E138" s="37" t="str">
        <f>IFERROR(__xludf.DUMMYFUNCTION("filter('Recommendation Codes-Final'!G:H,'Recommendation Codes-Final'!A:A=A138)"),"evaluation of student projects from architecture and from continuous integration")</f>
        <v>evaluation of student projects from architecture and from continuous integration</v>
      </c>
      <c r="F138" s="88" t="str">
        <f>IFERROR(__xludf.DUMMYFUNCTION("""COMPUTED_VALUE"""),"assessment")</f>
        <v>assessment</v>
      </c>
    </row>
    <row r="139">
      <c r="A139" s="88">
        <v>151.0</v>
      </c>
      <c r="B139" s="90" t="s">
        <v>1103</v>
      </c>
      <c r="C139" s="88" t="s">
        <v>1104</v>
      </c>
      <c r="D139" s="88" t="s">
        <v>1105</v>
      </c>
      <c r="E139" s="37" t="str">
        <f>IFERROR(__xludf.DUMMYFUNCTION("filter('Recommendation Codes-Final'!G:H,'Recommendation Codes-Final'!A:A=A139)"),"software architecture and DevOps courses together in the curriculum")</f>
        <v>software architecture and DevOps courses together in the curriculum</v>
      </c>
      <c r="F139" s="88" t="str">
        <f>IFERROR(__xludf.DUMMYFUNCTION("""COMPUTED_VALUE"""),"curriculum")</f>
        <v>curriculum</v>
      </c>
    </row>
    <row r="140">
      <c r="A140" s="88">
        <v>152.0</v>
      </c>
      <c r="B140" s="90" t="s">
        <v>1106</v>
      </c>
      <c r="C140" s="88" t="s">
        <v>1107</v>
      </c>
      <c r="D140" s="88"/>
      <c r="E140" s="37" t="str">
        <f>IFERROR(__xludf.DUMMYFUNCTION("filter('Recommendation Codes-Final'!G:H,'Recommendation Codes-Final'!A:A=A140)"),"show operational contrains like coder not get access production environment")</f>
        <v>show operational contrains like coder not get access production environment</v>
      </c>
      <c r="F140" s="88" t="str">
        <f>IFERROR(__xludf.DUMMYFUNCTION("""COMPUTED_VALUE"""),"strategies in course execution")</f>
        <v>strategies in course execution</v>
      </c>
    </row>
    <row r="141">
      <c r="A141" s="88">
        <v>153.0</v>
      </c>
      <c r="B141" s="90" t="s">
        <v>1108</v>
      </c>
      <c r="C141" s="88" t="s">
        <v>1109</v>
      </c>
      <c r="D141" s="88"/>
      <c r="E141" s="37" t="str">
        <f>IFERROR(__xludf.DUMMYFUNCTION("filter('Recommendation Codes-Final'!G:H,'Recommendation Codes-Final'!A:A=A141)"),"focus more on concepts than tools")</f>
        <v>focus more on concepts than tools</v>
      </c>
      <c r="F141" s="88" t="str">
        <f>IFERROR(__xludf.DUMMYFUNCTION("""COMPUTED_VALUE"""),"strategies in course execution")</f>
        <v>strategies in course execution</v>
      </c>
    </row>
    <row r="142">
      <c r="A142" s="88">
        <v>154.0</v>
      </c>
      <c r="B142" s="90" t="s">
        <v>1110</v>
      </c>
      <c r="C142" s="88" t="s">
        <v>1111</v>
      </c>
      <c r="D142" s="88"/>
      <c r="E142" s="37" t="str">
        <f>IFERROR(__xludf.DUMMYFUNCTION("filter('Recommendation Codes-Final'!G:H,'Recommendation Codes-Final'!A:A=A142)"),"project execution composed of several pieces in various student environments")</f>
        <v>project execution composed of several pieces in various student environments</v>
      </c>
      <c r="F142" s="88" t="str">
        <f>IFERROR(__xludf.DUMMYFUNCTION("""COMPUTED_VALUE"""),"environment setup")</f>
        <v>environment setup</v>
      </c>
    </row>
    <row r="143">
      <c r="A143" s="88">
        <v>155.0</v>
      </c>
      <c r="B143" s="90" t="s">
        <v>1112</v>
      </c>
      <c r="C143" s="88" t="s">
        <v>1113</v>
      </c>
      <c r="D143" s="88" t="s">
        <v>1114</v>
      </c>
      <c r="E143" s="37" t="str">
        <f>IFERROR(__xludf.DUMMYFUNCTION("filter('Recommendation Codes-Final'!G:H,'Recommendation Codes-Final'!A:A=A143)"),"forced technology stack")</f>
        <v>forced technology stack</v>
      </c>
      <c r="F143" s="88" t="str">
        <f>IFERROR(__xludf.DUMMYFUNCTION("""COMPUTED_VALUE"""),"tool / technology")</f>
        <v>tool / technology</v>
      </c>
    </row>
    <row r="144">
      <c r="A144" s="88">
        <v>156.0</v>
      </c>
      <c r="B144" s="90" t="s">
        <v>1115</v>
      </c>
      <c r="C144" s="88" t="s">
        <v>1116</v>
      </c>
      <c r="D144" s="88"/>
      <c r="E144" s="37" t="str">
        <f>IFERROR(__xludf.DUMMYFUNCTION("filter('Recommendation Codes-Final'!G:H,'Recommendation Codes-Final'!A:A=A144)"),"free sessions about student problems")</f>
        <v>free sessions about student problems</v>
      </c>
      <c r="F144" s="88" t="str">
        <f>IFERROR(__xludf.DUMMYFUNCTION("""COMPUTED_VALUE"""),"strategies in course execution")</f>
        <v>strategies in course execution</v>
      </c>
    </row>
    <row r="145">
      <c r="A145" s="88">
        <v>157.0</v>
      </c>
      <c r="B145" s="90" t="s">
        <v>1117</v>
      </c>
      <c r="C145" s="88" t="s">
        <v>1118</v>
      </c>
      <c r="D145" s="88" t="s">
        <v>1119</v>
      </c>
      <c r="E145" s="37" t="str">
        <f>IFERROR(__xludf.DUMMYFUNCTION("filter('Recommendation Codes-Final'!G:H,'Recommendation Codes-Final'!A:A=A145)"),"presentation of some DevOps topics classes by students")</f>
        <v>presentation of some DevOps topics classes by students</v>
      </c>
      <c r="F145" s="88" t="str">
        <f>IFERROR(__xludf.DUMMYFUNCTION("""COMPUTED_VALUE"""),"strategies in course execution")</f>
        <v>strategies in course execution</v>
      </c>
    </row>
    <row r="146">
      <c r="A146" s="88">
        <v>158.0</v>
      </c>
      <c r="B146" s="90" t="s">
        <v>1120</v>
      </c>
      <c r="C146" s="88" t="s">
        <v>1121</v>
      </c>
      <c r="D146" s="88"/>
      <c r="E146" s="37" t="str">
        <f>IFERROR(__xludf.DUMMYFUNCTION("filter('Recommendation Codes-Final'!G:H,'Recommendation Codes-Final'!A:A=A146)"),"MVP evaluation")</f>
        <v>MVP evaluation</v>
      </c>
      <c r="F146" s="88" t="str">
        <f>IFERROR(__xludf.DUMMYFUNCTION("""COMPUTED_VALUE"""),"assessment")</f>
        <v>assessment</v>
      </c>
    </row>
    <row r="147">
      <c r="A147" s="88">
        <v>159.0</v>
      </c>
      <c r="B147" s="90" t="s">
        <v>1122</v>
      </c>
      <c r="C147" s="88" t="s">
        <v>1123</v>
      </c>
      <c r="D147" s="88"/>
      <c r="E147" s="37" t="str">
        <f>IFERROR(__xludf.DUMMYFUNCTION("filter('Recommendation Codes-Final'!G:H,'Recommendation Codes-Final'!A:A=A147)"),"evaluation of project students along  the discipline with color flags")</f>
        <v>evaluation of project students along  the discipline with color flags</v>
      </c>
      <c r="F147" s="88" t="str">
        <f>IFERROR(__xludf.DUMMYFUNCTION("""COMPUTED_VALUE"""),"assessment")</f>
        <v>assessment</v>
      </c>
    </row>
    <row r="148">
      <c r="A148" s="88">
        <v>160.0</v>
      </c>
      <c r="B148" s="90" t="s">
        <v>1124</v>
      </c>
      <c r="C148" s="88" t="s">
        <v>1125</v>
      </c>
      <c r="D148" s="88"/>
      <c r="E148" s="37" t="str">
        <f>IFERROR(__xludf.DUMMYFUNCTION("filter('Recommendation Codes-Final'!G:H,'Recommendation Codes-Final'!A:A=A148)"),"without assumption about the level of the students")</f>
        <v>without assumption about the level of the students</v>
      </c>
      <c r="F148" s="88" t="str">
        <f>IFERROR(__xludf.DUMMYFUNCTION("""COMPUTED_VALUE"""),"strategies in course execution")</f>
        <v>strategies in course execution</v>
      </c>
    </row>
    <row r="149">
      <c r="A149" s="88">
        <v>161.0</v>
      </c>
      <c r="B149" s="90" t="s">
        <v>1126</v>
      </c>
      <c r="C149" s="88" t="s">
        <v>1127</v>
      </c>
      <c r="D149" s="88" t="s">
        <v>1128</v>
      </c>
      <c r="E149" s="37" t="str">
        <f>IFERROR(__xludf.DUMMYFUNCTION("filter('Recommendation Codes-Final'!G:H,'Recommendation Codes-Final'!A:A=A149)"),"Kubernetes ad DevOps tool")</f>
        <v>Kubernetes ad DevOps tool</v>
      </c>
      <c r="F149" s="88" t="str">
        <f>IFERROR(__xludf.DUMMYFUNCTION("""COMPUTED_VALUE"""),"tool / technology")</f>
        <v>tool / technology</v>
      </c>
    </row>
    <row r="150">
      <c r="A150" s="88">
        <v>162.0</v>
      </c>
      <c r="B150" s="90" t="s">
        <v>1129</v>
      </c>
      <c r="C150" s="88" t="s">
        <v>1130</v>
      </c>
      <c r="D150" s="88"/>
      <c r="E150" s="37" t="str">
        <f>IFERROR(__xludf.DUMMYFUNCTION("filter('Recommendation Codes-Final'!G:H,'Recommendation Codes-Final'!A:A=A150)"),"incremental teaching from DevOps concepts")</f>
        <v>incremental teaching from DevOps concepts</v>
      </c>
      <c r="F150" s="88" t="str">
        <f>IFERROR(__xludf.DUMMYFUNCTION("""COMPUTED_VALUE"""),"strategies in course execution")</f>
        <v>strategies in course execution</v>
      </c>
    </row>
    <row r="151">
      <c r="A151" s="88">
        <v>163.0</v>
      </c>
      <c r="B151" s="90" t="s">
        <v>1131</v>
      </c>
      <c r="C151" s="88" t="s">
        <v>1132</v>
      </c>
      <c r="D151" s="88"/>
      <c r="E151" s="37" t="str">
        <f>IFERROR(__xludf.DUMMYFUNCTION("filter('Recommendation Codes-Final'!G:H,'Recommendation Codes-Final'!A:A=A151)"),"introduction of theory and realization of labs")</f>
        <v>introduction of theory and realization of labs</v>
      </c>
      <c r="F151" s="88" t="str">
        <f>IFERROR(__xludf.DUMMYFUNCTION("""COMPUTED_VALUE"""),"strategies in course execution")</f>
        <v>strategies in course execution</v>
      </c>
    </row>
    <row r="152">
      <c r="A152" s="88">
        <v>164.0</v>
      </c>
      <c r="B152" s="90" t="s">
        <v>1133</v>
      </c>
      <c r="C152" s="88" t="s">
        <v>1134</v>
      </c>
      <c r="D152" s="88" t="s">
        <v>1135</v>
      </c>
      <c r="E152" s="37" t="str">
        <f>IFERROR(__xludf.DUMMYFUNCTION("filter('Recommendation Codes-Final'!G:H,'Recommendation Codes-Final'!A:A=A152)"),"students set up their DevOps environment")</f>
        <v>students set up their DevOps environment</v>
      </c>
      <c r="F152" s="88" t="str">
        <f>IFERROR(__xludf.DUMMYFUNCTION("""COMPUTED_VALUE"""),"environment setup")</f>
        <v>environment setup</v>
      </c>
    </row>
    <row r="153">
      <c r="A153" s="88">
        <v>165.0</v>
      </c>
      <c r="B153" s="90" t="s">
        <v>1136</v>
      </c>
      <c r="C153" s="88" t="s">
        <v>1137</v>
      </c>
      <c r="D153" s="88"/>
      <c r="E153" s="37" t="str">
        <f>IFERROR(__xludf.DUMMYFUNCTION("filter('Recommendation Codes-Final'!G:H,'Recommendation Codes-Final'!A:A=A153)"),"class project not too small but challenging")</f>
        <v>class project not too small but challenging</v>
      </c>
      <c r="F153" s="88" t="str">
        <f>IFERROR(__xludf.DUMMYFUNCTION("""COMPUTED_VALUE"""),"class preparation")</f>
        <v>class preparation</v>
      </c>
    </row>
    <row r="154">
      <c r="A154" s="88">
        <v>166.0</v>
      </c>
      <c r="B154" s="90" t="s">
        <v>1138</v>
      </c>
      <c r="C154" s="88" t="s">
        <v>1139</v>
      </c>
      <c r="D154" s="88"/>
      <c r="E154" s="37" t="str">
        <f>IFERROR(__xludf.DUMMYFUNCTION("filter('Recommendation Codes-Final'!G:H,'Recommendation Codes-Final'!A:A=A154)"),"realization of exam with open source application")</f>
        <v>realization of exam with open source application</v>
      </c>
      <c r="F154" s="88" t="str">
        <f>IFERROR(__xludf.DUMMYFUNCTION("""COMPUTED_VALUE"""),"assessment")</f>
        <v>assessment</v>
      </c>
    </row>
    <row r="155">
      <c r="A155" s="88">
        <v>167.0</v>
      </c>
      <c r="B155" s="90" t="s">
        <v>1140</v>
      </c>
      <c r="C155" s="88" t="s">
        <v>1141</v>
      </c>
      <c r="D155" s="88"/>
      <c r="E155" s="37" t="str">
        <f>IFERROR(__xludf.DUMMYFUNCTION("filter('Recommendation Codes-Final'!G:H,'Recommendation Codes-Final'!A:A=A155)"),"SonarQube on automation")</f>
        <v>SonarQube on automation</v>
      </c>
      <c r="F155" s="88" t="str">
        <f>IFERROR(__xludf.DUMMYFUNCTION("""COMPUTED_VALUE"""),"tool / technology")</f>
        <v>tool / technology</v>
      </c>
    </row>
    <row r="156">
      <c r="A156" s="88">
        <v>168.0</v>
      </c>
      <c r="B156" s="90" t="s">
        <v>1142</v>
      </c>
      <c r="C156" s="88" t="s">
        <v>1143</v>
      </c>
      <c r="D156" s="88"/>
      <c r="E156" s="37" t="str">
        <f>IFERROR(__xludf.DUMMYFUNCTION("filter('Recommendation Codes-Final'!G:H,'Recommendation Codes-Final'!A:A=A156)"),"jmeter as a perfomance testing tool")</f>
        <v>jmeter as a perfomance testing tool</v>
      </c>
      <c r="F156" s="88" t="str">
        <f>IFERROR(__xludf.DUMMYFUNCTION("""COMPUTED_VALUE"""),"tool / technology")</f>
        <v>tool / technology</v>
      </c>
    </row>
    <row r="157">
      <c r="A157" s="88">
        <v>169.0</v>
      </c>
      <c r="B157" s="90" t="s">
        <v>1144</v>
      </c>
      <c r="C157" s="88" t="s">
        <v>1145</v>
      </c>
      <c r="D157" s="88"/>
      <c r="E157" s="37" t="str">
        <f>IFERROR(__xludf.DUMMYFUNCTION("filter('Recommendation Codes-Final'!G:H,'Recommendation Codes-Final'!A:A=A157)"),"owasp zap as a security platform")</f>
        <v>owasp zap as a security platform</v>
      </c>
      <c r="F157" s="88" t="str">
        <f>IFERROR(__xludf.DUMMYFUNCTION("""COMPUTED_VALUE"""),"tool / technology")</f>
        <v>tool / technology</v>
      </c>
    </row>
    <row r="158">
      <c r="A158" s="88">
        <v>170.0</v>
      </c>
      <c r="B158" s="90" t="s">
        <v>1146</v>
      </c>
      <c r="C158" s="88" t="s">
        <v>1147</v>
      </c>
      <c r="D158" s="88"/>
      <c r="E158" s="37" t="str">
        <f>IFERROR(__xludf.DUMMYFUNCTION("filter('Recommendation Codes-Final'!G:H,'Recommendation Codes-Final'!A:A=A158)"),"Free DevOps tools avaliable")</f>
        <v>Free DevOps tools avaliable</v>
      </c>
      <c r="F158" s="88" t="str">
        <f>IFERROR(__xludf.DUMMYFUNCTION("""COMPUTED_VALUE"""),"tool / technology")</f>
        <v>tool / technology</v>
      </c>
    </row>
    <row r="159">
      <c r="A159" s="88">
        <v>171.0</v>
      </c>
      <c r="B159" s="90" t="s">
        <v>1148</v>
      </c>
      <c r="C159" s="88" t="s">
        <v>1149</v>
      </c>
      <c r="D159" s="88"/>
      <c r="E159" s="37" t="str">
        <f>IFERROR(__xludf.DUMMYFUNCTION("filter('Recommendation Codes-Final'!G:H,'Recommendation Codes-Final'!A:A=A159)"),"teacher staff responsible for the implementation of the sample application")</f>
        <v>teacher staff responsible for the implementation of the sample application</v>
      </c>
      <c r="F159" s="88" t="str">
        <f>IFERROR(__xludf.DUMMYFUNCTION("""COMPUTED_VALUE"""),"class preparation")</f>
        <v>class preparation</v>
      </c>
    </row>
    <row r="160">
      <c r="A160" s="88">
        <v>172.0</v>
      </c>
      <c r="B160" s="90" t="s">
        <v>1150</v>
      </c>
      <c r="C160" s="88" t="s">
        <v>1151</v>
      </c>
      <c r="D160" s="88" t="s">
        <v>1152</v>
      </c>
      <c r="E160" s="37" t="str">
        <f>IFERROR(__xludf.DUMMYFUNCTION("filter('Recommendation Codes-Final'!G:H,'Recommendation Codes-Final'!A:A=A160)"),"teaching centers more on concepts than application")</f>
        <v>teaching centers more on concepts than application</v>
      </c>
      <c r="F160" s="88" t="str">
        <f>IFERROR(__xludf.DUMMYFUNCTION("""COMPUTED_VALUE"""),"curriculum")</f>
        <v>curriculum</v>
      </c>
    </row>
    <row r="161">
      <c r="A161" s="88">
        <v>173.0</v>
      </c>
      <c r="B161" s="90" t="s">
        <v>1153</v>
      </c>
      <c r="C161" s="88" t="s">
        <v>1154</v>
      </c>
      <c r="D161" s="88"/>
      <c r="E161" s="37" t="str">
        <f>IFERROR(__xludf.DUMMYFUNCTION("filter('Recommendation Codes-Final'!G:H,'Recommendation Codes-Final'!A:A=A161)"),"Lab projects with deliverables")</f>
        <v>Lab projects with deliverables</v>
      </c>
      <c r="F161" s="88" t="str">
        <f>IFERROR(__xludf.DUMMYFUNCTION("""COMPUTED_VALUE"""),"strategies in course execution")</f>
        <v>strategies in course execution</v>
      </c>
    </row>
    <row r="162">
      <c r="A162" s="88">
        <v>175.0</v>
      </c>
      <c r="B162" s="90" t="s">
        <v>1155</v>
      </c>
      <c r="C162" s="88" t="s">
        <v>1156</v>
      </c>
      <c r="D162" s="88" t="s">
        <v>1157</v>
      </c>
      <c r="E162" s="37" t="str">
        <f>IFERROR(__xludf.DUMMYFUNCTION("filter('Recommendation Codes-Final'!G:H,'Recommendation Codes-Final'!A:A=A162)"),"labs execution with teacher assistant support")</f>
        <v>labs execution with teacher assistant support</v>
      </c>
      <c r="F162" s="88" t="str">
        <f>IFERROR(__xludf.DUMMYFUNCTION("""COMPUTED_VALUE"""),"strategies in course execution")</f>
        <v>strategies in course execution</v>
      </c>
    </row>
    <row r="163">
      <c r="A163" s="88">
        <v>176.0</v>
      </c>
      <c r="B163" s="90" t="s">
        <v>1158</v>
      </c>
      <c r="C163" s="88" t="s">
        <v>1159</v>
      </c>
      <c r="D163" s="88"/>
      <c r="E163" s="37" t="str">
        <f>IFERROR(__xludf.DUMMYFUNCTION("filter('Recommendation Codes-Final'!G:H,'Recommendation Codes-Final'!A:A=A163)"),"Unicorn Project book for Dev side issues")</f>
        <v>Unicorn Project book for Dev side issues</v>
      </c>
      <c r="F163" s="88" t="str">
        <f>IFERROR(__xludf.DUMMYFUNCTION("""COMPUTED_VALUE"""),"strategies in course execution")</f>
        <v>strategies in course execution</v>
      </c>
    </row>
    <row r="164">
      <c r="A164" s="88">
        <v>177.0</v>
      </c>
      <c r="B164" s="90" t="s">
        <v>1160</v>
      </c>
      <c r="C164" s="88" t="s">
        <v>1161</v>
      </c>
      <c r="D164" s="88"/>
      <c r="E164" s="37" t="str">
        <f>IFERROR(__xludf.DUMMYFUNCTION("filter('Recommendation Codes-Final'!G:H,'Recommendation Codes-Final'!A:A=A164)"),"teaching of operating activities through phoenix book")</f>
        <v>teaching of operating activities through phoenix book</v>
      </c>
      <c r="F164" s="88" t="str">
        <f>IFERROR(__xludf.DUMMYFUNCTION("""COMPUTED_VALUE"""),"strategies in course execution")</f>
        <v>strategies in course execution</v>
      </c>
    </row>
    <row r="165">
      <c r="A165" s="88">
        <v>178.0</v>
      </c>
      <c r="B165" s="90" t="s">
        <v>1162</v>
      </c>
      <c r="C165" s="88" t="s">
        <v>1163</v>
      </c>
      <c r="D165" s="88"/>
      <c r="E165" s="37" t="str">
        <f>IFERROR(__xludf.DUMMYFUNCTION("filter('Recommendation Codes-Final'!G:H,'Recommendation Codes-Final'!A:A=A165)"),"qualified teacher assistants")</f>
        <v>qualified teacher assistants</v>
      </c>
      <c r="F165" s="88" t="str">
        <f>IFERROR(__xludf.DUMMYFUNCTION("""COMPUTED_VALUE"""),"strategies in course execution")</f>
        <v>strategies in course execution</v>
      </c>
    </row>
    <row r="166">
      <c r="A166" s="88">
        <v>179.0</v>
      </c>
      <c r="B166" s="90" t="s">
        <v>1164</v>
      </c>
      <c r="C166" s="88" t="s">
        <v>1165</v>
      </c>
      <c r="D166" s="88"/>
      <c r="E166" s="37" t="str">
        <f>IFERROR(__xludf.DUMMYFUNCTION("filter('Recommendation Codes-Final'!G:H,'Recommendation Codes-Final'!A:A=A166)"),"Tuleap for lifecycle")</f>
        <v>Tuleap for lifecycle</v>
      </c>
      <c r="F166" s="88" t="str">
        <f>IFERROR(__xludf.DUMMYFUNCTION("""COMPUTED_VALUE"""),"tool / technology")</f>
        <v>tool / technology</v>
      </c>
    </row>
    <row r="167">
      <c r="A167" s="88">
        <v>180.0</v>
      </c>
      <c r="B167" s="90" t="s">
        <v>1166</v>
      </c>
      <c r="C167" s="88" t="s">
        <v>1167</v>
      </c>
      <c r="D167" s="88"/>
      <c r="E167" s="37" t="str">
        <f>IFERROR(__xludf.DUMMYFUNCTION("filter('Recommendation Codes-Final'!G:H,'Recommendation Codes-Final'!A:A=A167)"),"environment setup minimal")</f>
        <v>environment setup minimal</v>
      </c>
      <c r="F167" s="88" t="str">
        <f>IFERROR(__xludf.DUMMYFUNCTION("""COMPUTED_VALUE"""),"environment setup")</f>
        <v>environment setup</v>
      </c>
    </row>
    <row r="168">
      <c r="A168" s="88">
        <v>181.0</v>
      </c>
      <c r="B168" s="90" t="s">
        <v>1168</v>
      </c>
      <c r="C168" s="88" t="s">
        <v>1169</v>
      </c>
      <c r="D168" s="88"/>
      <c r="E168" s="37" t="str">
        <f>IFERROR(__xludf.DUMMYFUNCTION("filter('Recommendation Codes-Final'!G:H,'Recommendation Codes-Final'!A:A=A168)"),"environment as industrial as lightweight as possible in all of the student's laptops through Github and AWS account")</f>
        <v>environment as industrial as lightweight as possible in all of the student's laptops through Github and AWS account</v>
      </c>
      <c r="F168" s="88" t="str">
        <f>IFERROR(__xludf.DUMMYFUNCTION("""COMPUTED_VALUE"""),"environment setup")</f>
        <v>environment setup</v>
      </c>
    </row>
    <row r="169">
      <c r="A169" s="88">
        <v>183.0</v>
      </c>
      <c r="B169" s="90" t="s">
        <v>1170</v>
      </c>
      <c r="C169" s="88" t="s">
        <v>1171</v>
      </c>
      <c r="D169" s="93" t="s">
        <v>1172</v>
      </c>
      <c r="E169" s="37" t="str">
        <f>IFERROR(__xludf.DUMMYFUNCTION("filter('Recommendation Codes-Final'!G:H,'Recommendation Codes-Final'!A:A=A169)"),"understanding of course objectives clear by students")</f>
        <v>understanding of course objectives clear by students</v>
      </c>
      <c r="F169" s="88" t="str">
        <f>IFERROR(__xludf.DUMMYFUNCTION("""COMPUTED_VALUE"""),"strategies in course execution")</f>
        <v>strategies in course execution</v>
      </c>
    </row>
    <row r="170">
      <c r="A170" s="88">
        <v>184.0</v>
      </c>
      <c r="B170" s="90" t="s">
        <v>1173</v>
      </c>
      <c r="C170" s="88" t="s">
        <v>1174</v>
      </c>
      <c r="D170" s="88" t="s">
        <v>1175</v>
      </c>
      <c r="E170" s="37" t="str">
        <f>IFERROR(__xludf.DUMMYFUNCTION("filter('Recommendation Codes-Final'!G:H,'Recommendation Codes-Final'!A:A=A170)"),"student exams by case studies")</f>
        <v>student exams by case studies</v>
      </c>
      <c r="F170" s="88" t="str">
        <f>IFERROR(__xludf.DUMMYFUNCTION("""COMPUTED_VALUE"""),"assessment")</f>
        <v>assessment</v>
      </c>
    </row>
    <row r="171">
      <c r="A171" s="88">
        <v>185.0</v>
      </c>
      <c r="B171" s="90" t="s">
        <v>1176</v>
      </c>
      <c r="C171" s="88" t="s">
        <v>1177</v>
      </c>
      <c r="D171" s="88"/>
      <c r="E171" s="37" t="str">
        <f>IFERROR(__xludf.DUMMYFUNCTION("filter('Recommendation Codes-Final'!G:H,'Recommendation Codes-Final'!A:A=A171)"),"capture DevOps process of modeling, flow activities with value stram mappin technique")</f>
        <v>capture DevOps process of modeling, flow activities with value stram mappin technique</v>
      </c>
      <c r="F171" s="88" t="str">
        <f>IFERROR(__xludf.DUMMYFUNCTION("""COMPUTED_VALUE"""),"devops concepts")</f>
        <v>devops concepts</v>
      </c>
    </row>
    <row r="172">
      <c r="A172" s="88">
        <v>186.0</v>
      </c>
      <c r="B172" s="90" t="s">
        <v>1178</v>
      </c>
      <c r="C172" s="88" t="s">
        <v>1179</v>
      </c>
      <c r="D172" s="88"/>
      <c r="E172" s="37" t="str">
        <f>IFERROR(__xludf.DUMMYFUNCTION("filter('Recommendation Codes-Final'!G:H,'Recommendation Codes-Final'!A:A=A172)"),"improvement of the quality of the course constantly")</f>
        <v>improvement of the quality of the course constantly</v>
      </c>
      <c r="F172" s="88" t="str">
        <f>IFERROR(__xludf.DUMMYFUNCTION("""COMPUTED_VALUE"""),"strategies in course execution")</f>
        <v>strategies in course execution</v>
      </c>
    </row>
    <row r="173">
      <c r="A173" s="88">
        <v>187.0</v>
      </c>
      <c r="B173" s="90" t="s">
        <v>1180</v>
      </c>
      <c r="C173" s="88" t="s">
        <v>1181</v>
      </c>
      <c r="D173" s="88" t="s">
        <v>1182</v>
      </c>
      <c r="E173" s="37" t="str">
        <f>IFERROR(__xludf.DUMMYFUNCTION("filter('Recommendation Codes-Final'!G:H,'Recommendation Codes-Final'!A:A=A173)"),"careful selection of industrial guests for the course")</f>
        <v>careful selection of industrial guests for the course</v>
      </c>
      <c r="F173" s="88" t="str">
        <f>IFERROR(__xludf.DUMMYFUNCTION("""COMPUTED_VALUE"""),"class preparation")</f>
        <v>class preparation</v>
      </c>
    </row>
    <row r="174">
      <c r="A174" s="88">
        <v>188.0</v>
      </c>
      <c r="B174" s="90" t="s">
        <v>1183</v>
      </c>
      <c r="C174" s="88" t="s">
        <v>1184</v>
      </c>
      <c r="D174" s="88"/>
      <c r="E174" s="37" t="str">
        <f>IFERROR(__xludf.DUMMYFUNCTION("filter('Recommendation Codes-Final'!G:H,'Recommendation Codes-Final'!A:A=A174)"),"serious communication with the student about DevOps")</f>
        <v>serious communication with the student about DevOps</v>
      </c>
      <c r="F174" s="88" t="str">
        <f>IFERROR(__xludf.DUMMYFUNCTION("""COMPUTED_VALUE"""),"devops concepts")</f>
        <v>devops concepts</v>
      </c>
    </row>
    <row r="175">
      <c r="A175" s="88">
        <v>189.0</v>
      </c>
      <c r="B175" s="90" t="s">
        <v>1185</v>
      </c>
      <c r="C175" s="88" t="s">
        <v>1186</v>
      </c>
      <c r="D175" s="88" t="s">
        <v>1187</v>
      </c>
      <c r="E175" s="37" t="str">
        <f>IFERROR(__xludf.DUMMYFUNCTION("filter('Recommendation Codes-Final'!G:H,'Recommendation Codes-Final'!A:A=A175)"),"participation of the students in GitHub open source projects")</f>
        <v>participation of the students in GitHub open source projects</v>
      </c>
      <c r="F175" s="88" t="str">
        <f>IFERROR(__xludf.DUMMYFUNCTION("""COMPUTED_VALUE"""),"class preparation")</f>
        <v>class preparation</v>
      </c>
    </row>
    <row r="176">
      <c r="A176" s="88">
        <v>190.0</v>
      </c>
      <c r="B176" s="90" t="s">
        <v>1188</v>
      </c>
      <c r="C176" s="88" t="s">
        <v>1189</v>
      </c>
      <c r="D176" s="88"/>
      <c r="E176" s="37" t="str">
        <f>IFERROR(__xludf.DUMMYFUNCTION("filter('Recommendation Codes-Final'!G:H,'Recommendation Codes-Final'!A:A=A176)"),"dangers of a not predefined project for the organization of the course")</f>
        <v>dangers of a not predefined project for the organization of the course</v>
      </c>
      <c r="F176" s="88" t="str">
        <f>IFERROR(__xludf.DUMMYFUNCTION("""COMPUTED_VALUE"""),"class preparation")</f>
        <v>class preparation</v>
      </c>
    </row>
    <row r="177">
      <c r="A177" s="88">
        <v>191.0</v>
      </c>
      <c r="B177" s="90" t="s">
        <v>1190</v>
      </c>
      <c r="C177" s="88" t="s">
        <v>1191</v>
      </c>
      <c r="D177" s="88" t="s">
        <v>1192</v>
      </c>
      <c r="E177" s="37" t="str">
        <f>IFERROR(__xludf.DUMMYFUNCTION("filter('Recommendation Codes-Final'!G:H,'Recommendation Codes-Final'!A:A=A177)"),"Katacoda website to tutorials about tools.")</f>
        <v>Katacoda website to tutorials about tools.</v>
      </c>
      <c r="F177" s="88" t="str">
        <f>IFERROR(__xludf.DUMMYFUNCTION("""COMPUTED_VALUE"""),"tool / technology")</f>
        <v>tool / technology</v>
      </c>
    </row>
    <row r="178">
      <c r="A178" s="88">
        <v>192.0</v>
      </c>
      <c r="B178" s="90" t="s">
        <v>1193</v>
      </c>
      <c r="C178" s="88" t="s">
        <v>1194</v>
      </c>
      <c r="D178" s="88" t="s">
        <v>1195</v>
      </c>
      <c r="E178" s="37" t="str">
        <f>IFERROR(__xludf.DUMMYFUNCTION("filter('Recommendation Codes-Final'!G:H,'Recommendation Codes-Final'!A:A=A178)"),"students collaboration between different teams")</f>
        <v>students collaboration between different teams</v>
      </c>
      <c r="F178" s="88" t="str">
        <f>IFERROR(__xludf.DUMMYFUNCTION("""COMPUTED_VALUE"""),"devops concepts")</f>
        <v>devops concepts</v>
      </c>
    </row>
    <row r="179">
      <c r="A179" s="88">
        <v>193.0</v>
      </c>
      <c r="B179" s="90" t="s">
        <v>1196</v>
      </c>
      <c r="C179" s="88" t="s">
        <v>1197</v>
      </c>
      <c r="D179" s="88"/>
      <c r="E179" s="37" t="str">
        <f>IFERROR(__xludf.DUMMYFUNCTION("filter('Recommendation Codes-Final'!G:H,'Recommendation Codes-Final'!A:A=A179)"),"improvement of knowledge of students in DevOps concepts and tools by a teacher assistant")</f>
        <v>improvement of knowledge of students in DevOps concepts and tools by a teacher assistant</v>
      </c>
      <c r="F179" s="88" t="str">
        <f>IFERROR(__xludf.DUMMYFUNCTION("""COMPUTED_VALUE"""),"strategies in course execution")</f>
        <v>strategies in course execution</v>
      </c>
    </row>
    <row r="180">
      <c r="A180" s="88">
        <v>194.0</v>
      </c>
      <c r="B180" s="90" t="s">
        <v>1198</v>
      </c>
      <c r="C180" s="88" t="s">
        <v>1199</v>
      </c>
      <c r="D180" s="88"/>
      <c r="E180" s="37" t="str">
        <f>IFERROR(__xludf.DUMMYFUNCTION("filter('Recommendation Codes-Final'!G:H,'Recommendation Codes-Final'!A:A=A180)"),"backgroun about software engenieeting")</f>
        <v>backgroun about software engenieeting</v>
      </c>
      <c r="F180" s="88" t="str">
        <f>IFERROR(__xludf.DUMMYFUNCTION("""COMPUTED_VALUE"""),"curriculum")</f>
        <v>curriculum</v>
      </c>
    </row>
    <row r="181">
      <c r="A181" s="88">
        <v>195.0</v>
      </c>
      <c r="B181" s="90" t="s">
        <v>1200</v>
      </c>
      <c r="C181" s="88" t="s">
        <v>1201</v>
      </c>
      <c r="D181" s="88"/>
      <c r="E181" s="37" t="str">
        <f>IFERROR(__xludf.DUMMYFUNCTION("filter('Recommendation Codes-Final'!G:H,'Recommendation Codes-Final'!A:A=A181)"),"inclusion of DevOps discipline on curriculum")</f>
        <v>inclusion of DevOps discipline on curriculum</v>
      </c>
      <c r="F181" s="88" t="str">
        <f>IFERROR(__xludf.DUMMYFUNCTION("""COMPUTED_VALUE"""),"curriculum")</f>
        <v>curriculum</v>
      </c>
    </row>
    <row r="182">
      <c r="A182" s="88">
        <v>196.0</v>
      </c>
      <c r="B182" s="90" t="s">
        <v>1202</v>
      </c>
      <c r="C182" s="88" t="s">
        <v>1203</v>
      </c>
      <c r="D182" s="88"/>
      <c r="E182" s="37" t="str">
        <f>IFERROR(__xludf.DUMMYFUNCTION("filter('Recommendation Codes-Final'!G:H,'Recommendation Codes-Final'!A:A=A182)"),"discussion and share of DevOps teaching in an open way")</f>
        <v>discussion and share of DevOps teaching in an open way</v>
      </c>
      <c r="F182" s="88" t="str">
        <f>IFERROR(__xludf.DUMMYFUNCTION("""COMPUTED_VALUE"""),"devops concepts")</f>
        <v>devops concepts</v>
      </c>
    </row>
    <row r="183">
      <c r="A183" s="88">
        <v>197.0</v>
      </c>
      <c r="B183" s="90" t="s">
        <v>1204</v>
      </c>
      <c r="C183" s="88" t="s">
        <v>1205</v>
      </c>
      <c r="D183" s="88"/>
      <c r="E183" s="37" t="str">
        <f>IFERROR(__xludf.DUMMYFUNCTION("filter('Recommendation Codes-Final'!G:H,'Recommendation Codes-Final'!A:A=A183)"),"half time industrial nd half time faculty")</f>
        <v>half time industrial nd half time faculty</v>
      </c>
      <c r="F183" s="88" t="str">
        <f>IFERROR(__xludf.DUMMYFUNCTION("""COMPUTED_VALUE"""),"class preparation")</f>
        <v>class preparation</v>
      </c>
    </row>
    <row r="184">
      <c r="A184" s="88">
        <v>198.0</v>
      </c>
      <c r="B184" s="90" t="s">
        <v>1206</v>
      </c>
      <c r="C184" s="88" t="s">
        <v>1207</v>
      </c>
      <c r="D184" s="88"/>
      <c r="E184" s="37" t="str">
        <f>IFERROR(__xludf.DUMMYFUNCTION("filter('Recommendation Codes-Final'!G:H,'Recommendation Codes-Final'!A:A=A184)"),"Bluemix platform as a DevOps tool")</f>
        <v>Bluemix platform as a DevOps tool</v>
      </c>
      <c r="F184" s="88" t="str">
        <f>IFERROR(__xludf.DUMMYFUNCTION("""COMPUTED_VALUE"""),"tool / technology")</f>
        <v>tool / technology</v>
      </c>
    </row>
    <row r="185">
      <c r="A185" s="88">
        <v>199.0</v>
      </c>
      <c r="B185" s="90" t="s">
        <v>1208</v>
      </c>
      <c r="C185" s="88" t="s">
        <v>1209</v>
      </c>
      <c r="D185" s="88"/>
      <c r="E185" s="37" t="str">
        <f>IFERROR(__xludf.DUMMYFUNCTION("filter('Recommendation Codes-Final'!G:H,'Recommendation Codes-Final'!A:A=A185)"),"student interest in an elective DevOps course")</f>
        <v>student interest in an elective DevOps course</v>
      </c>
      <c r="F185" s="88" t="str">
        <f>IFERROR(__xludf.DUMMYFUNCTION("""COMPUTED_VALUE"""),"curriculum")</f>
        <v>curriculum</v>
      </c>
    </row>
    <row r="186">
      <c r="A186" s="88">
        <v>200.0</v>
      </c>
      <c r="B186" s="90" t="s">
        <v>1210</v>
      </c>
      <c r="C186" s="88" t="s">
        <v>1211</v>
      </c>
      <c r="D186" s="88"/>
      <c r="E186" s="37" t="str">
        <f>IFERROR(__xludf.DUMMYFUNCTION("filter('Recommendation Codes-Final'!G:H,'Recommendation Codes-Final'!A:A=A186)"),"Continuous evaluation of projects")</f>
        <v>Continuous evaluation of projects</v>
      </c>
      <c r="F186" s="88" t="str">
        <f>IFERROR(__xludf.DUMMYFUNCTION("""COMPUTED_VALUE"""),"assessment")</f>
        <v>assessment</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4.14"/>
    <col customWidth="1" min="2" max="2" width="23.43"/>
    <col customWidth="1" min="3" max="3" width="78.71"/>
    <col customWidth="1" min="4" max="5" width="45.71"/>
    <col customWidth="1" min="6" max="6" width="28.71"/>
    <col customWidth="1" min="7" max="7" width="32.43"/>
    <col customWidth="1" min="8" max="8" width="16.43"/>
  </cols>
  <sheetData>
    <row r="1">
      <c r="A1" s="1" t="s">
        <v>0</v>
      </c>
      <c r="B1" s="2" t="s">
        <v>1</v>
      </c>
      <c r="C1" s="3" t="s">
        <v>2</v>
      </c>
      <c r="D1" s="18" t="s">
        <v>3</v>
      </c>
      <c r="E1" s="18" t="s">
        <v>4</v>
      </c>
      <c r="F1" s="5" t="s">
        <v>5</v>
      </c>
      <c r="G1" s="6" t="s">
        <v>6</v>
      </c>
      <c r="H1" s="6" t="s">
        <v>7</v>
      </c>
    </row>
    <row r="2">
      <c r="A2" s="7">
        <v>16.0</v>
      </c>
      <c r="B2" s="8" t="s">
        <v>8</v>
      </c>
      <c r="C2" s="7" t="str">
        <f>IFERROR(__xludf.DUMMYFUNCTION("filter('Imported Challenges'!B:D,'Imported Challenges'!A:A=A2)"),"It's more this initial contact that seems to scare them a little more, it makes them go to others, when they arrive.
The part of actually putting an initial part has this shock of this reality there for the students in which they have to leave a tool tha"&amp;"t they are already there with the system running and bring it to our tool.")</f>
        <v>It's more this initial contact that seems to scare them a little more, it makes them go to others, when they arrive.
The part of actually putting an initial part has this shock of this reality there for the students in which they have to leave a tool that they are already there with the system running and bring it to our tool.</v>
      </c>
      <c r="D2" s="7" t="str">
        <f>IFERROR(__xludf.DUMMYFUNCTION("""COMPUTED_VALUE"""),"The environment adopted by instructors can frighten students by making them migrate to other tools.
Students' initial difficult at having to switch from tools in which their applications were already working to the one adopted by the instructor.")</f>
        <v>The environment adopted by instructors can frighten students by making them migrate to other tools.
Students' initial difficult at having to switch from tools in which their applications were already working to the one adopted by the instructor.</v>
      </c>
      <c r="E2" s="7" t="str">
        <f>IFERROR(__xludf.DUMMYFUNCTION("""COMPUTED_VALUE"""),"The process of making students migrate to other tools it's hard.")</f>
        <v>The process of making students migrate to other tools it's hard.</v>
      </c>
      <c r="F2" s="9" t="s">
        <v>83</v>
      </c>
      <c r="G2" s="19" t="s">
        <v>18</v>
      </c>
      <c r="H2" s="6"/>
    </row>
    <row r="3">
      <c r="A3" s="7">
        <v>19.0</v>
      </c>
      <c r="B3" s="8" t="s">
        <v>8</v>
      </c>
      <c r="C3" s="7" t="str">
        <f>IFERROR(__xludf.DUMMYFUNCTION("filter('Imported Challenges'!B:D,'Imported Challenges'!A:A=A3)"),"A challenge that is to convince students to give importance to this... they have this other view, this aspect of the configuration of the environment.")</f>
        <v>A challenge that is to convince students to give importance to this... they have this other view, this aspect of the configuration of the environment.</v>
      </c>
      <c r="D3" s="7" t="str">
        <f>IFERROR(__xludf.DUMMYFUNCTION("""COMPUTED_VALUE"""),"The student has difficulty realizing the importance of setting the environment.")</f>
        <v>The student has difficulty realizing the importance of setting the environment.</v>
      </c>
      <c r="E3" s="7"/>
      <c r="F3" s="9" t="s">
        <v>84</v>
      </c>
      <c r="G3" s="9" t="s">
        <v>12</v>
      </c>
      <c r="H3" s="9"/>
    </row>
    <row r="4">
      <c r="A4" s="7">
        <v>22.0</v>
      </c>
      <c r="B4" s="8" t="s">
        <v>8</v>
      </c>
      <c r="C4" s="7" t="str">
        <f>IFERROR(__xludf.DUMMYFUNCTION("filter('Imported Challenges'!B:D,'Imported Challenges'!A:A=A4)"),"The challenges I can mention is precisely this part of you being able to demonstrate, right, to demonstrate to them all this tooling of ours.
The main challenge is that, in general, DevOps related tools are cloud-based systems.
In general, you have a wi"&amp;"de range of solutions. You have a very large ecosystem of possibilities on how to test or demonstrate a concept.
A difficulty of technologies is about recognizing what is relevant to be addressed in the classroom, is not it? So, for example, there is muc"&amp;"h technology on the market.
Because the DevOps universe has millions of tools, technologies, and [...] It has an infinity of tools, they all meet the objectives. They are good and such.
This is a problem because of what happens: there are several tools,"&amp;" and we always have to close on some for the didactic nature of experimentation.
The other big challenge is: technology. People come with Macs, people come with windows, people come with Linux. [...] So that's the other challenge is people coming in with"&amp;" different technology and then how do you teach them the same thing without saying: ""oh, the command in windows is this and the command on a Mac is that.""
It can be also challenging for the, if you have the lab instructor with handling all tools.")</f>
        <v>The challenges I can mention is precisely this part of you being able to demonstrate, right, to demonstrate to them all this tooling of ours.
The main challenge is that, in general, DevOps related tools are cloud-based systems.
In general, you have a wide range of solutions. You have a very large ecosystem of possibilities on how to test or demonstrate a concept.
A difficulty of technologies is about recognizing what is relevant to be addressed in the classroom, is not it? So, for example, there is much technology on the market.
Because the DevOps universe has millions of tools, technologies, and [...] It has an infinity of tools, they all meet the objectives. They are good and such.
This is a problem because of what happens: there are several tools, and we always have to close on some for the didactic nature of experimentation.
The other big challenge is: technology. People come with Macs, people come with windows, people come with Linux. [...] So that's the other challenge is people coming in with different technology and then how do you teach them the same thing without saying: "oh, the command in windows is this and the command on a Mac is that."
It can be also challenging for the, if you have the lab instructor with handling all tools.</v>
      </c>
      <c r="D4" s="8" t="str">
        <f>IFERROR(__xludf.DUMMYFUNCTION("""COMPUTED_VALUE"""),"There are a large number of DevOps tools available.
Many DevOps tools are cloud based.
Many DevOps tools and usability available.
Difficulty in deciding which technologies to teach, given the wide variety available on the market.
There are many DevOps"&amp;" tools.
There are many DevOps tools to choose from.
It's hard to deal with many options of tools.
The lab instructor should handle many tools.")</f>
        <v>There are a large number of DevOps tools available.
Many DevOps tools are cloud based.
Many DevOps tools and usability available.
Difficulty in deciding which technologies to teach, given the wide variety available on the market.
There are many DevOps tools.
There are many DevOps tools to choose from.
It's hard to deal with many options of tools.
The lab instructor should handle many tools.</v>
      </c>
      <c r="E4" s="8" t="str">
        <f>IFERROR(__xludf.DUMMYFUNCTION("""COMPUTED_VALUE"""),"There is a large number of DevOps tools.")</f>
        <v>There is a large number of DevOps tools.</v>
      </c>
      <c r="F4" s="9" t="s">
        <v>85</v>
      </c>
      <c r="G4" s="9" t="s">
        <v>18</v>
      </c>
      <c r="H4" s="12"/>
    </row>
    <row r="5">
      <c r="A5" s="16">
        <v>26.0</v>
      </c>
      <c r="B5" s="20" t="s">
        <v>8</v>
      </c>
      <c r="C5" s="7" t="str">
        <f>IFERROR(__xludf.DUMMYFUNCTION("filter('Imported Challenges'!B:D,'Imported Challenges'!A:A=A5)"),"The student hopes to [...] learn that killer tool, which will help in the practical context of his life, whether in the process of development, security or operations. [...] wants to know the tools much more than understand the DevOps culture.
The first "&amp;"challenge is to decouple the idea that about DevOps [...] to deliver a formula.
The students arrive with the idea that they have a set of X tools to deliver in their daily lives and tools only a piece and a small piece within the delivery process, which "&amp;"is more cultural and more personal than tooling, huh? Organizational even, I would say.
It is to set expectations when he signs up that the entire course is not tooling and that no, we will not use the best stacks in the market.
Give this view that DevO"&amp;"ps is not just a tool [...] It is very much in line with agile movement.
Trying to show that DevOps is not just tools, trying to make people understand this and trying to change it during the class, so trying as best as possible to make people understand"&amp;", right? That they will end up having to change the culture of the environment, right? The processes, the way they organize themselves.
 People coming through the programs want to play with technology. ... But what that tends to foster is a technology ce"&amp;"ntric attitude about what devops is all about. ... That's half the reason we got into this field in the first place, and it's a really fun thing to be able to do, but it's not sufficient.
There's a big focus on tools.
DevOps doesn't equal CI/CD and DevO"&amp;"ps doesn't equal automate the testing.
Let's say political challenge that you have to convince in a way that DevOps is not purely technical and that it's must be part of an academy curriculum.")</f>
        <v>The student hopes to [...] learn that killer tool, which will help in the practical context of his life, whether in the process of development, security or operations. [...] wants to know the tools much more than understand the DevOps culture.
The first challenge is to decouple the idea that about DevOps [...] to deliver a formula.
The students arrive with the idea that they have a set of X tools to deliver in their daily lives and tools only a piece and a small piece within the delivery process, which is more cultural and more personal than tooling, huh? Organizational even, I would say.
It is to set expectations when he signs up that the entire course is not tooling and that no, we will not use the best stacks in the market.
Give this view that DevOps is not just a tool [...] It is very much in line with agile movement.
Trying to show that DevOps is not just tools, trying to make people understand this and trying to change it during the class, so trying as best as possible to make people understand, right? That they will end up having to change the culture of the environment, right? The processes, the way they organize themselves.
 People coming through the programs want to play with technology. ... But what that tends to foster is a technology centric attitude about what devops is all about. ... That's half the reason we got into this field in the first place, and it's a really fun thing to be able to do, but it's not sufficient.
There's a big focus on tools.
DevOps doesn't equal CI/CD and DevOps doesn't equal automate the testing.
Let's say political challenge that you have to convince in a way that DevOps is not purely technical and that it's must be part of an academy curriculum.</v>
      </c>
      <c r="D5" s="7" t="str">
        <f>IFERROR(__xludf.DUMMYFUNCTION("""COMPUTED_VALUE"""),"Students have a prior concept that DevOps is restricted to the use of tools, not being interested in the cultural part of DevOps.
Difficulty explaining to students that DevOps is not just about tools.
Difficulty in explaining to students that DevOps is "&amp;"not just tooling, it encompasses the cultural part.
Difficulty adjusting students' expectations, as most of them just want to use new tools.
Difficulty in being able to explain to the student that DevOps does not involve only the tooling part.
Difficul"&amp;"ty breaking the student perspective that DevOps is just tools and automation.
Students came to course focused in the tools.
So many people only focus on the tools side from DevOps.
DevOps is not only CI/CD and automation.
Convince people that DevOps i"&amp;"s not purely technical and it must be part of an academy curriculum.")</f>
        <v>Students have a prior concept that DevOps is restricted to the use of tools, not being interested in the cultural part of DevOps.
Difficulty explaining to students that DevOps is not just about tools.
Difficulty in explaining to students that DevOps is not just tooling, it encompasses the cultural part.
Difficulty adjusting students' expectations, as most of them just want to use new tools.
Difficulty in being able to explain to the student that DevOps does not involve only the tooling part.
Difficulty breaking the student perspective that DevOps is just tools and automation.
Students came to course focused in the tools.
So many people only focus on the tools side from DevOps.
DevOps is not only CI/CD and automation.
Convince people that DevOps is not purely technical and it must be part of an academy curriculum.</v>
      </c>
      <c r="E5" s="7" t="str">
        <f>IFERROR(__xludf.DUMMYFUNCTION("""COMPUTED_VALUE"""),"It's hard to show to students that DevOps is not all about tooling.")</f>
        <v>It's hard to show to students that DevOps is not all about tooling.</v>
      </c>
      <c r="F5" s="9" t="s">
        <v>86</v>
      </c>
      <c r="G5" s="9" t="s">
        <v>16</v>
      </c>
      <c r="H5" s="21"/>
    </row>
    <row r="6">
      <c r="A6" s="16">
        <v>27.0</v>
      </c>
      <c r="B6" s="20" t="s">
        <v>8</v>
      </c>
      <c r="C6" s="7" t="str">
        <f>IFERROR(__xludf.DUMMYFUNCTION("filter('Imported Challenges'!B:D,'Imported Challenges'!A:A=A6)"),"As people are remote, basically for training, there are several factors that influence the didactics. The home environment, even, that the person, sometimes, does not live alone, or has sons, daughters. This is not a problem for people, for me, a teacher,"&amp;" as a teacher, but for a person, sometimes, you can't open a camera. You can't do one, so dealing with these differences within the pandemic is important. It's not a problem, but it's a point of e also the differences from the infrastructure that the pers"&amp;"on has to take the course. A machine a little newer, older, pre-configured for work, there are companies that already have the machine ready for day to day and the course uses other configurations which are challenges that we have with the students to tal"&amp;"k, look, I need version X, and the person does not have the installation permission.
")</f>
        <v>As people are remote, basically for training, there are several factors that influence the didactics. The home environment, even, that the person, sometimes, does not live alone, or has sons, daughters. This is not a problem for people, for me, a teacher, as a teacher, but for a person, sometimes, you can't open a camera. You can't do one, so dealing with these differences within the pandemic is important. It's not a problem, but it's a point of e also the differences from the infrastructure that the person has to take the course. A machine a little newer, older, pre-configured for work, there are companies that already have the machine ready for day to day and the course uses other configurations which are challenges that we have with the students to talk, look, I need version X, and the person does not have the installation permission.
</v>
      </c>
      <c r="D6" s="7" t="str">
        <f>IFERROR(__xludf.DUMMYFUNCTION("""COMPUTED_VALUE"""),"Difficulties in remote work with students: privacy, availability, infrastructure differences, environment configuration.")</f>
        <v>Difficulties in remote work with students: privacy, availability, infrastructure differences, environment configuration.</v>
      </c>
      <c r="E6" s="7"/>
      <c r="F6" s="9" t="s">
        <v>87</v>
      </c>
      <c r="G6" s="19" t="s">
        <v>24</v>
      </c>
      <c r="H6" s="21"/>
    </row>
    <row r="7">
      <c r="A7" s="16">
        <v>29.0</v>
      </c>
      <c r="B7" s="20" t="s">
        <v>8</v>
      </c>
      <c r="C7" s="7" t="str">
        <f>IFERROR(__xludf.DUMMYFUNCTION("filter('Imported Challenges'!B:D,'Imported Challenges'!A:A=A7)"),"The DevOps concept, it's very open, right, it encompasses different areas between development, security and operations.
You cannot teach DevOps without experiencing DevOps, right? You cannot read in a book and want to teach DevOps because DevOps is a ver"&amp;"y practical discipline. There is a lot that happens in practice. So, there is a lot of doubt, from concepts, about Kubernetes configuration error, for example. So, these are things that we have to deal with [...] So, venturing out to teach DevOps, parachu"&amp;"ting, that is a big challenge because the level of knowledge you will have to collect for this is quite diverse and multidisciplinary.")</f>
        <v>The DevOps concept, it's very open, right, it encompasses different areas between development, security and operations.
You cannot teach DevOps without experiencing DevOps, right? You cannot read in a book and want to teach DevOps because DevOps is a very practical discipline. There is a lot that happens in practice. So, there is a lot of doubt, from concepts, about Kubernetes configuration error, for example. So, these are things that we have to deal with [...] So, venturing out to teach DevOps, parachuting, that is a big challenge because the level of knowledge you will have to collect for this is quite diverse and multidisciplinary.</v>
      </c>
      <c r="D7" s="7" t="str">
        <f>IFERROR(__xludf.DUMMYFUNCTION("""COMPUTED_VALUE"""),"The teaching of devops is multidisciplinary, covering different areas such as development, safety and operation.
There is a very diverse and multidisciplinary knowledge in teaching DevOps.")</f>
        <v>The teaching of devops is multidisciplinary, covering different areas such as development, safety and operation.
There is a very diverse and multidisciplinary knowledge in teaching DevOps.</v>
      </c>
      <c r="E7" s="7" t="str">
        <f>IFERROR(__xludf.DUMMYFUNCTION("""COMPUTED_VALUE"""),"The multidiscuplinary of DevOps is hard to deal with.")</f>
        <v>The multidiscuplinary of DevOps is hard to deal with.</v>
      </c>
      <c r="F7" s="9" t="s">
        <v>88</v>
      </c>
      <c r="G7" s="19" t="s">
        <v>10</v>
      </c>
      <c r="H7" s="21"/>
    </row>
    <row r="8">
      <c r="A8" s="16">
        <v>30.0</v>
      </c>
      <c r="B8" s="20" t="s">
        <v>8</v>
      </c>
      <c r="C8" s="7" t="str">
        <f>IFERROR(__xludf.DUMMYFUNCTION("filter('Imported Challenges'!B:D,'Imported Challenges'!A:A=A8)"),"If the student is in a context where he has always been in the academic area or he has never had practical contact with any of these features of software development, it is likely that it will be much more challenging for him.
If the student is in a cont"&amp;"ext where he has always been in the academic area, or he has never had practical contact with any of these features of software development, [...] for the teacher, it becomes much more challenging to teach the DevOps concept this student profile.
The mai"&amp;"n challenge remain the able to, to, to teach the fundamentals. I think that this type, of course almost requires some type of industrial experience, because if you've not been in contact with the industry, there are so many things that are, um, more diffi"&amp;"cult to, to, to eally understand.
Teaching this course, it's possible to teach it with students with no experience, but it makes the thing like this. I've been trying to have interactions with the students about, I know certain topics become quite diffic"&amp;"ult because they cannot relate it to anything concrete.
It didn't work for some specific tools that they wanted to present using this a katacoda, uh, website.
I mean, there are students, so they are, they are not in the industry yet. And so that's, that"&amp;" would be the main part to make the student understand that it's, it's not about configuring Jenkins or having Docker running on their computer.
When you're talking to freshmen and they have no idea what's happening. Like they have a superficial idea of "&amp;"what's happening. Then it's like finding a way to explain them why the mindset is important.")</f>
        <v>If the student is in a context where he has always been in the academic area or he has never had practical contact with any of these features of software development, it is likely that it will be much more challenging for him.
If the student is in a context where he has always been in the academic area, or he has never had practical contact with any of these features of software development, [...] for the teacher, it becomes much more challenging to teach the DevOps concept this student profile.
The main challenge remain the able to, to, to teach the fundamentals. I think that this type, of course almost requires some type of industrial experience, because if you've not been in contact with the industry, there are so many things that are, um, more difficult to, to, to eally understand.
Teaching this course, it's possible to teach it with students with no experience, but it makes the thing like this. I've been trying to have interactions with the students about, I know certain topics become quite difficult because they cannot relate it to anything concrete.
It didn't work for some specific tools that they wanted to present using this a katacoda, uh, website.
I mean, there are students, so they are, they are not in the industry yet. And so that's, that would be the main part to make the student understand that it's, it's not about configuring Jenkins or having Docker running on their computer.
When you're talking to freshmen and they have no idea what's happening. Like they have a superficial idea of what's happening. Then it's like finding a way to explain them why the mindset is important.</v>
      </c>
      <c r="D8" s="7" t="str">
        <f>IFERROR(__xludf.DUMMYFUNCTION("""COMPUTED_VALUE"""),"There is a greater difficulty in understanding devops by students whose background is more academic, who have no experience in software development or direct operation.
It is difficult to teach students with more academic training that have no experience"&amp;" in software development or operation directly.
It is difficult to teach DevOps concepts without industry experience.
It is difficult to teach students with no industrial experience.
The students don't have the proper background to listen the lecture o"&amp;"f people from the industry.
The students without industry experience can have difficulty to understand that DevOps is much more than using tools.
It is difficult to explain the importance of DevOps mindset to students that have a superficial idea of wha"&amp;"t is happening to industry.")</f>
        <v>There is a greater difficulty in understanding devops by students whose background is more academic, who have no experience in software development or direct operation.
It is difficult to teach students with more academic training that have no experience in software development or operation directly.
It is difficult to teach DevOps concepts without industry experience.
It is difficult to teach students with no industrial experience.
The students don't have the proper background to listen the lecture of people from the industry.
The students without industry experience can have difficulty to understand that DevOps is much more than using tools.
It is difficult to explain the importance of DevOps mindset to students that have a superficial idea of what is happening to industry.</v>
      </c>
      <c r="E8" s="7" t="str">
        <f>IFERROR(__xludf.DUMMYFUNCTION("""COMPUTED_VALUE"""),"Teach DevOps concepts to students no industrial experience is hard.")</f>
        <v>Teach DevOps concepts to students no industrial experience is hard.</v>
      </c>
      <c r="F8" s="9" t="s">
        <v>89</v>
      </c>
      <c r="G8" s="19" t="s">
        <v>27</v>
      </c>
      <c r="H8" s="21"/>
    </row>
    <row r="9">
      <c r="A9" s="16">
        <v>32.0</v>
      </c>
      <c r="B9" s="20" t="s">
        <v>8</v>
      </c>
      <c r="C9" s="7" t="str">
        <f>IFERROR(__xludf.DUMMYFUNCTION("filter('Imported Challenges'!B:D,'Imported Challenges'!A:A=A9)"),"The second challenge is people with different experiences [...] you have mixed classes, so at a point in the course where you talk about a specific programming language to give an example. Some are more familiar than others. [...] So, knowing how to deal "&amp;"with these differences to make the course pleasant for everyone and comfortable for everyone, this is a great challenge.
We have a standard agreement, not an agreement. It is a convention that we have which is the following, people are different, see? [."&amp;"..] they have different backgrounds, they have different life stories, experiences that marked them in different ways.
In both classes that I taught [...], there was a challenge of class heterogeneity. You have very proficient people in the development a"&amp;"nd have no idea about the server, Linux and environment configuration, tools, the other spectrum. People who came from operational, System admin itself is not so proficient in the programming part, in code.
Each student in the class brings a different ex"&amp;"perience, different challenges, and trying to generalize this is more complicated.
One of the challenges is how do you teach people from these different backgrounds [...]  there is so much technology that comes together in DevOps, that the challenge is h"&amp;"ow do you get everyone up to speed on an even right? So that we can all move forward together and learn together. So, so that's a big challenge.
Some of them do have a lot of programming and are fairly mature, but because when we recruit, they be coming "&amp;"from different schools.")</f>
        <v>The second challenge is people with different experiences [...] you have mixed classes, so at a point in the course where you talk about a specific programming language to give an example. Some are more familiar than others. [...] So, knowing how to deal with these differences to make the course pleasant for everyone and comfortable for everyone, this is a great challenge.
We have a standard agreement, not an agreement. It is a convention that we have which is the following, people are different, see? [...] they have different backgrounds, they have different life stories, experiences that marked them in different ways.
In both classes that I taught [...], there was a challenge of class heterogeneity. You have very proficient people in the development and have no idea about the server, Linux and environment configuration, tools, the other spectrum. People who came from operational, System admin itself is not so proficient in the programming part, in code.
Each student in the class brings a different experience, different challenges, and trying to generalize this is more complicated.
One of the challenges is how do you teach people from these different backgrounds [...]  there is so much technology that comes together in DevOps, that the challenge is how do you get everyone up to speed on an even right? So that we can all move forward together and learn together. So, so that's a big challenge.
Some of them do have a lot of programming and are fairly mature, but because when we recruit, they be coming from different schools.</v>
      </c>
      <c r="D9" s="7" t="str">
        <f>IFERROR(__xludf.DUMMYFUNCTION("""COMPUTED_VALUE"""),"Difficulty in knowing how to deal with groups of students who have very different experiences.
Students in a class have different backgrounds, life stories and experiences.
Difficulty in preparing classes with students at different levels of proficiency"&amp;" in development and operation.
Dealing with the different experiences and perspectives of each student.
It's hard to teach people with different backgrounds.
Students have different backgrouds.")</f>
        <v>Difficulty in knowing how to deal with groups of students who have very different experiences.
Students in a class have different backgrounds, life stories and experiences.
Difficulty in preparing classes with students at different levels of proficiency in development and operation.
Dealing with the different experiences and perspectives of each student.
It's hard to teach people with different backgrounds.
Students have different backgrouds.</v>
      </c>
      <c r="E9" s="7" t="str">
        <f>IFERROR(__xludf.DUMMYFUNCTION("""COMPUTED_VALUE"""),"It's challeging to deal with students having different backgrounds.")</f>
        <v>It's challeging to deal with students having different backgrounds.</v>
      </c>
      <c r="F9" s="9" t="s">
        <v>90</v>
      </c>
      <c r="G9" s="19" t="s">
        <v>27</v>
      </c>
      <c r="H9" s="21"/>
    </row>
    <row r="10">
      <c r="A10" s="16">
        <v>33.0</v>
      </c>
      <c r="B10" s="20" t="s">
        <v>8</v>
      </c>
      <c r="C10" s="7" t="str">
        <f>IFERROR(__xludf.DUMMYFUNCTION("filter('Imported Challenges'!B:D,'Imported Challenges'!A:A=A10)"),"Another challenge too, that [...] we changed our model from in-person to online, live. And then, we had this problem, right, that in the course there is a project, with certain technologies, but, in our case, we already have a laboratory that has everythi"&amp;"ng installed and configured. So, in this case, man, now, it's the student who's going to do his homework, right, how is he going to configure the infrastructure with that specific project and without having a headache, it won't interfere in class.")</f>
        <v>Another challenge too, that [...] we changed our model from in-person to online, live. And then, we had this problem, right, that in the course there is a project, with certain technologies, but, in our case, we already have a laboratory that has everything installed and configured. So, in this case, man, now, it's the student who's going to do his homework, right, how is he going to configure the infrastructure with that specific project and without having a headache, it won't interfere in class.</v>
      </c>
      <c r="D10" s="7" t="str">
        <f>IFERROR(__xludf.DUMMYFUNCTION("""COMPUTED_VALUE"""),"Students find it difficult to configure the tools on their own machines in remote teaching mode.")</f>
        <v>Students find it difficult to configure the tools on their own machines in remote teaching mode.</v>
      </c>
      <c r="E10" s="7"/>
      <c r="F10" s="9" t="s">
        <v>40</v>
      </c>
      <c r="G10" s="9" t="s">
        <v>27</v>
      </c>
      <c r="H10" s="21"/>
    </row>
    <row r="11">
      <c r="A11" s="16">
        <v>35.0</v>
      </c>
      <c r="B11" s="20" t="s">
        <v>8</v>
      </c>
      <c r="C11" s="7" t="str">
        <f>IFERROR(__xludf.DUMMYFUNCTION("filter('Imported Challenges'!B:D,'Imported Challenges'!A:A=A11)"),"The DevOps concept, it's very open, right, it encompasses different areas between development, security and operations.
The expectation of students to deliver something, by hand, because they are technical people, is to be able to balance what is concept"&amp;" and what is practical and show the importance, the value of what you are explaining.
This part of culture and such, which is, let us say, more boring, right? That people go there wanting to see tools, right? So, how to balance, right? Talk a little non-"&amp;"technical things with technical things.
The challenge is this: having the non-technical part with the technical part, pondering both, and addressing these main topics, right?
The point is how do we adapt DevOps in concept in a way where we, we are still"&amp;" take keeping in mind the theoretical foundation, but where make it making it interesting from an industry or practical perspective.
The challenge is, in my opinion, is, is to, to strike this balance between, between, um, concreteness, like work with tec"&amp;"hnologies, because essentially, uh, DevOps is yes, a philosophy. 
To strike a balance. The students are of course, very keen about the products and telemetry about the product and, and, and, and building Docker containers. And, but what I want them to re"&amp;"flect, I mean, the whole goal of DevOps is to make the process effective, very, very efficient.
There's a gap between what we can experiment during the course, what can be presented during the invited lecture from the industry, for example, those kinds o"&amp;"f things and how, how whole, the things are connected together.")</f>
        <v>The DevOps concept, it's very open, right, it encompasses different areas between development, security and operations.
The expectation of students to deliver something, by hand, because they are technical people, is to be able to balance what is concept and what is practical and show the importance, the value of what you are explaining.
This part of culture and such, which is, let us say, more boring, right? That people go there wanting to see tools, right? So, how to balance, right? Talk a little non-technical things with technical things.
The challenge is this: having the non-technical part with the technical part, pondering both, and addressing these main topics, right?
The point is how do we adapt DevOps in concept in a way where we, we are still take keeping in mind the theoretical foundation, but where make it making it interesting from an industry or practical perspective.
The challenge is, in my opinion, is, is to, to strike this balance between, between, um, concreteness, like work with technologies, because essentially, uh, DevOps is yes, a philosophy. 
To strike a balance. The students are of course, very keen about the products and telemetry about the product and, and, and, and building Docker containers. And, but what I want them to reflect, I mean, the whole goal of DevOps is to make the process effective, very, very efficient.
There's a gap between what we can experiment during the course, what can be presented during the invited lecture from the industry, for example, those kinds of things and how, how whole, the things are connected together.</v>
      </c>
      <c r="D11" s="7" t="str">
        <f>IFERROR(__xludf.DUMMYFUNCTION("""COMPUTED_VALUE"""),"Difficulty in making the association between theory and practice.
Difficulty balancing theory foundations and make them interesting in the practice.
Difficulty in balancing the teaching of theory (culture) and practice (tools).
Challenge to balance the"&amp;"ory and practice.
It's challenging to teach DevOps concepts that have theoretical foundations and make them interesting from the industry perspective.
It is difficult to balance the concreteness (technologies) and the philosophy (concepts) of DevOps.
I"&amp;"t is difficult to balance the usage of tools and making the DevOps process effective and efficient.
There is a gap about how to connect the lectures with the labs.")</f>
        <v>Difficulty in making the association between theory and practice.
Difficulty balancing theory foundations and make them interesting in the practice.
Difficulty in balancing the teaching of theory (culture) and practice (tools).
Challenge to balance theory and practice.
It's challenging to teach DevOps concepts that have theoretical foundations and make them interesting from the industry perspective.
It is difficult to balance the concreteness (technologies) and the philosophy (concepts) of DevOps.
It is difficult to balance the usage of tools and making the DevOps process effective and efficient.
There is a gap about how to connect the lectures with the labs.</v>
      </c>
      <c r="E11" s="7" t="str">
        <f>IFERROR(__xludf.DUMMYFUNCTION("""COMPUTED_VALUE"""),"It's challeging to balance DevOps theory and practice.")</f>
        <v>It's challeging to balance DevOps theory and practice.</v>
      </c>
      <c r="F11" s="9" t="s">
        <v>91</v>
      </c>
      <c r="G11" s="9" t="s">
        <v>92</v>
      </c>
      <c r="H11" s="21"/>
    </row>
    <row r="12">
      <c r="A12" s="16">
        <v>36.0</v>
      </c>
      <c r="B12" s="20" t="s">
        <v>8</v>
      </c>
      <c r="C12" s="15" t="str">
        <f>IFERROR(__xludf.DUMMYFUNCTION("filter('Imported Challenges'!B:D,'Imported Challenges'!A:A=A12)"),"For you to be able to look at all the students is very difficult, I understand why some cannot open the camera. It does not have the capacity or technology or structure to open, talk to you. Communication is broken, no matter how much we open it all the t"&amp;"ime, even if Zoom allows it. It is different from everyday life in the classroom because you cannot look at the student and see how he is reacting to that content. Not that you only adapt to one student, but you do not have the personal perception of doub"&amp;"t. Sometimes you can look at the student and say, oh, I think that was not clear to him. It is a challenge.
Because of the remote learning [...] I've been teaching my classes on zoom. And so, uh, that makes it very hard to do hands-on because I can't see"&amp;" the students right. While I'm doing the hands-on. So I can't see the puzzled look on their face and say, okay, I just lost them.
To make the lecture attractive students have to willing to interact. Right. Which is very difficult to do. And of course, uh"&amp;", zoom teaching, uh, makes it a challenge.")</f>
        <v>For you to be able to look at all the students is very difficult, I understand why some cannot open the camera. It does not have the capacity or technology or structure to open, talk to you. Communication is broken, no matter how much we open it all the time, even if Zoom allows it. It is different from everyday life in the classroom because you cannot look at the student and see how he is reacting to that content. Not that you only adapt to one student, but you do not have the personal perception of doubt. Sometimes you can look at the student and say, oh, I think that was not clear to him. It is a challenge.
Because of the remote learning [...] I've been teaching my classes on zoom. And so, uh, that makes it very hard to do hands-on because I can't see the students right. While I'm doing the hands-on. So I can't see the puzzled look on their face and say, okay, I just lost them.
To make the lecture attractive students have to willing to interact. Right. Which is very difficult to do. And of course, uh, zoom teaching, uh, makes it a challenge.</v>
      </c>
      <c r="D12" s="15" t="str">
        <f>IFERROR(__xludf.DUMMYFUNCTION("""COMPUTED_VALUE"""),"Difficulty in monitoring and keeping in touch with all students effectively during remote learning classes.
It's hard to do hands-on on remote learning because the teacher can't see the students face.
It is very difficult to interact with students in le"&amp;"cture remote teaching.")</f>
        <v>Difficulty in monitoring and keeping in touch with all students effectively during remote learning classes.
It's hard to do hands-on on remote learning because the teacher can't see the students face.
It is very difficult to interact with students in lecture remote teaching.</v>
      </c>
      <c r="E12" s="15" t="str">
        <f>IFERROR(__xludf.DUMMYFUNCTION("""COMPUTED_VALUE"""),"Comunications with students is hard when classes are remote.")</f>
        <v>Comunications with students is hard when classes are remote.</v>
      </c>
      <c r="F12" s="9" t="s">
        <v>93</v>
      </c>
      <c r="G12" s="9" t="s">
        <v>27</v>
      </c>
      <c r="H12" s="21"/>
    </row>
    <row r="13">
      <c r="A13" s="16">
        <v>38.0</v>
      </c>
      <c r="B13" s="16"/>
      <c r="C13" s="15" t="str">
        <f>IFERROR(__xludf.DUMMYFUNCTION("filter('Imported Challenges'!B:D,'Imported Challenges'!A:A=A13)"),"When you go to configure the tools and such, as you were the one who developed the system, it becomes easier, I believe you understand all the automations and such, but at the same time I see that the guys have a lot of difficulty in doing it.")</f>
        <v>When you go to configure the tools and such, as you were the one who developed the system, it becomes easier, I believe you understand all the automations and such, but at the same time I see that the guys have a lot of difficulty in doing it.</v>
      </c>
      <c r="D13" s="7" t="str">
        <f>IFERROR(__xludf.DUMMYFUNCTION("""COMPUTED_VALUE"""),"There is difficulty for students to carry out the automation of the construction of systems used during the course.")</f>
        <v>There is difficulty for students to carry out the automation of the construction of systems used during the course.</v>
      </c>
      <c r="E13" s="7"/>
      <c r="F13" s="9" t="s">
        <v>94</v>
      </c>
      <c r="G13" s="9" t="s">
        <v>16</v>
      </c>
      <c r="H13" s="21"/>
    </row>
    <row r="14">
      <c r="A14" s="16">
        <v>39.0</v>
      </c>
      <c r="B14" s="20" t="s">
        <v>8</v>
      </c>
      <c r="C14" s="7" t="str">
        <f>IFERROR(__xludf.DUMMYFUNCTION("filter('Imported Challenges'!B:D,'Imported Challenges'!A:A=A14)"),"This part of the system, which I ask them to do to monitor the discipline, [...] ok, I'll give you a system, will it be an open source system? Me too, you know? Since I can give you a system, let's use a real system that isn't a joke. So, like, I think of"&amp;" a great open souce system there, that has testing, has a shitload of stuff, has continuous integration and has I don't know what, and you can select the test battery that will be used in each corner, You know?
You have to make a business case. It's a lo"&amp;"t harder to do.
The challenge sometimes is finding a good open source application, which is not too big also because you don't want the project to be too big. You don't want it to be too small, but you don't want too big. So, so finding something in betw"&amp;"een, which can be used. And, and, uh, so.
The challenge for us is getting an application, which is interesting [...] you know, like they can use.
The fact that DevOps is not just purely technical, it would be related to the fact that it's really complic"&amp;"ated teach on a given semester because you have, let's say 13 to 15 weeks, three hours a week, and then you have to go through you can't address like large, large project because it doesn't fit in the semester.")</f>
        <v>This part of the system, which I ask them to do to monitor the discipline, [...] ok, I'll give you a system, will it be an open source system? Me too, you know? Since I can give you a system, let's use a real system that isn't a joke. So, like, I think of a great open souce system there, that has testing, has a shitload of stuff, has continuous integration and has I don't know what, and you can select the test battery that will be used in each corner, You know?
You have to make a business case. It's a lot harder to do.
The challenge sometimes is finding a good open source application, which is not too big also because you don't want the project to be too big. You don't want it to be too small, but you don't want too big. So, so finding something in between, which can be used. And, and, uh, so.
The challenge for us is getting an application, which is interesting [...] you know, like they can use.
The fact that DevOps is not just purely technical, it would be related to the fact that it's really complicated teach on a given semester because you have, let's say 13 to 15 weeks, three hours a week, and then you have to go through you can't address like large, large project because it doesn't fit in the semester.</v>
      </c>
      <c r="D14" s="7" t="str">
        <f>IFERROR(__xludf.DUMMYFUNCTION("""COMPUTED_VALUE"""),"Difficulty selecting an example system realistic enough for students to use during the course.
It is hard to do a business case to demonstrate the importance of running devops.
It is difficult to find the right sized open source project to use. It is sh"&amp;"ould be not too small and not too bit.
It is difficult to find an interesting sample application that students use.
Students can't work on large projects in 13 to 15 weeks three hours a week course.")</f>
        <v>Difficulty selecting an example system realistic enough for students to use during the course.
It is hard to do a business case to demonstrate the importance of running devops.
It is difficult to find the right sized open source project to use. It is should be not too small and not too bit.
It is difficult to find an interesting sample application that students use.
Students can't work on large projects in 13 to 15 weeks three hours a week course.</v>
      </c>
      <c r="E14" s="7" t="str">
        <f>IFERROR(__xludf.DUMMYFUNCTION("""COMPUTED_VALUE"""),"It's challeging to find the right sized examples to teach DevOps.")</f>
        <v>It's challeging to find the right sized examples to teach DevOps.</v>
      </c>
      <c r="F14" s="9" t="s">
        <v>95</v>
      </c>
      <c r="G14" s="9" t="s">
        <v>24</v>
      </c>
      <c r="H14" s="21"/>
    </row>
    <row r="15">
      <c r="A15" s="16">
        <v>41.0</v>
      </c>
      <c r="B15" s="20" t="s">
        <v>8</v>
      </c>
      <c r="C15" s="7" t="str">
        <f>IFERROR(__xludf.DUMMYFUNCTION("filter('Imported Challenges'!B:D,'Imported Challenges'!A:A=A15)"),"If I make this system [...] We, professors, sometimes are not the most proficient programmers there are, so maybe what we write is not in accordance with what is happening in the market today.
So it is in line with what is happening in the community as a"&amp;" whole, right? Always trying to bring it, because this area, specifically, it runs very fast. So, every semester I run this discipline once a year, there are very strong updates on what is happening.
You have to change the tools almost every semester or "&amp;"every two years. You've got to look at what are the popular tools right now.
So the challenge for me is that the cloud is constantly evolving. And so every semester what I try to do in my class, in my labs, I have snapshots of screenshots and circles and"&amp;" arrows and, you know, click on this and move there. Um, and that changes constantly.
So there's a lot of preparation in making sure that the tools still work the way they should, that the cloud still works the way they should, um, that the code doesn't "&amp;"have vulnerabilities in it. And that you've got all the right versions of stuff. So that's a lot of, uh, preparation then of course, as I said, you know, new technologies, like when Kubernetes came around, you know, you have to add Kubernetes to the class"&amp;", constantly adding new technologies to the class move.
The big challenge for me right, is, uh, is keeping up with the technology [...] so it's just challenging to keep up with all the new technology that's out there in DevOps.
And so every so often I'l"&amp;"l get folks who have taken one class and then they start using the wrong version of the tool for the second class, because they have an upgraded or something along those lines. 
We move through some technology on the application side, we'll move through "&amp;"a little bit of technology on the operation side. What does change is trying to keep up to speed and keep the class adjusted for, uh, what the current state of the art and the current understanding of best practices.
There's always double checking the te"&amp;"chnology, making sure that if you've got any automation in your class, it still works after all of the API changes may have gone into effect on say your cloud provider or, or whatever, making sure you're on the latest and greatest versions of whatever too"&amp;"ling that you're going to use and make sure that the hat that hasn't broken things and always missing something and suddenly be scrambling before class going, oh no, no, no. They've changed something. I need to figure this out.
Um, we got bit by that qui"&amp;"te a few times where we built the stack plus G unit plus, uh, we use, um, uh, some additional libraries for front-end, uh, some scripts for building Docker images, some version of Maven, and you need an Artifactory, et cetera. You can get everything set u"&amp;"p, everything works fine up to June. Then you go on summer break and then the next session comes up in September and you use what you've built well, too bad. In the middle of the summer, Jay, you need to release a new version that requires where some acts"&amp;" of Maven that requires this version of the stack of the student install from scratch on their machine.
The main, uh, challenge that we had was that DevOps is, there are many too many tools and, uh, many of these tools are not solid and are not commonly "&amp;"used yet.
 I mean devops is always evolving and we are not what we consider DevOps here is different for, from what was considered DevOps, let's say five years ago.
The lab session, they have to be like really precise. You have to, it would work one day"&amp;". And then the second day it doesn't work because there's an upgrade in the Docker API that makes things totally different. Or you you're, you're using it in the Dockerfile, you're using keywords. And then suddenly the new version of Docker decide that th"&amp;"ose keywords are deprecated and that you should not, uh, declared the authors this way.
So keeping things up to date and making things work like really working in, in, in being able to run the labs, not in panic mode, that everything was fragile and ever"&amp;"ything was able to collapse at any point was really stressful. And of course, a lot of things, I think it costs me like twice or three times the cost of preparing a regular course.")</f>
        <v>If I make this system [...] We, professors, sometimes are not the most proficient programmers there are, so maybe what we write is not in accordance with what is happening in the market today.
So it is in line with what is happening in the community as a whole, right? Always trying to bring it, because this area, specifically, it runs very fast. So, every semester I run this discipline once a year, there are very strong updates on what is happening.
You have to change the tools almost every semester or every two years. You've got to look at what are the popular tools right now.
So the challenge for me is that the cloud is constantly evolving. And so every semester what I try to do in my class, in my labs, I have snapshots of screenshots and circles and arrows and, you know, click on this and move there. Um, and that changes constantly.
So there's a lot of preparation in making sure that the tools still work the way they should, that the cloud still works the way they should, um, that the code doesn't have vulnerabilities in it. And that you've got all the right versions of stuff. So that's a lot of, uh, preparation then of course, as I said, you know, new technologies, like when Kubernetes came around, you know, you have to add Kubernetes to the class, constantly adding new technologies to the class move.
The big challenge for me right, is, uh, is keeping up with the technology [...] so it's just challenging to keep up with all the new technology that's out there in DevOps.
And so every so often I'll get folks who have taken one class and then they start using the wrong version of the tool for the second class, because they have an upgraded or something along those lines. 
We move through some technology on the application side, we'll move through a little bit of technology on the operation side. What does change is trying to keep up to speed and keep the class adjusted for, uh, what the current state of the art and the current understanding of best practices.
There's always double checking the technology, making sure that if you've got any automation in your class, it still works after all of the API changes may have gone into effect on say your cloud provider or, or whatever, making sure you're on the latest and greatest versions of whatever tooling that you're going to use and make sure that the hat that hasn't broken things and always missing something and suddenly be scrambling before class going, oh no, no, no. They've changed something. I need to figure this out.
Um, we got bit by that quite a few times where we built the stack plus G unit plus, uh, we use, um, uh, some additional libraries for front-end, uh, some scripts for building Docker images, some version of Maven, and you need an Artifactory, et cetera. You can get everything set up, everything works fine up to June. Then you go on summer break and then the next session comes up in September and you use what you've built well, too bad. In the middle of the summer, Jay, you need to release a new version that requires where some acts of Maven that requires this version of the stack of the student install from scratch on their machine.
The main, uh, challenge that we had was that DevOps is, there are many too many tools and, uh, many of these tools are not solid and are not commonly used yet.
 I mean devops is always evolving and we are not what we consider DevOps here is different for, from what was considered DevOps, let's say five years ago.
The lab session, they have to be like really precise. You have to, it would work one day. And then the second day it doesn't work because there's an upgrade in the Docker API that makes things totally different. Or you you're, you're using it in the Dockerfile, you're using keywords. And then suddenly the new version of Docker decide that those keywords are deprecated and that you should not, uh, declared the authors this way.
So keeping things up to date and making things work like really working in, in, in being able to run the labs, not in panic mode, that everything was fragile and everything was able to collapse at any point was really stressful. And of course, a lot of things, I think it costs me like twice or three times the cost of preparing a regular course.</v>
      </c>
      <c r="D15" s="7" t="str">
        <f>IFERROR(__xludf.DUMMYFUNCTION("""COMPUTED_VALUE"""),"Difficulty for teachers to keep up with the state of the art in the industry.
It is important to be up-to-date on industry tools every six months.
Every semester is necessary to update tools used on course.
The cloud are constantly evolving and it brea"&amp;"ks labs every semester.
Lots of preparation to keep tools and environment working, secure and updated.
Keep up with new technologies is challenging.
Tool versions upgrades require updating the labs during the classes.
It is difficult to keep up the cu"&amp;"rrent state of art of devops industry practices.
Devops tools and APIs change fast and it may break your labs.
Exercises can be outdated in few months.
Many tools and some are not mature and not commonly used yet.
DevOps is always evolving fast in the"&amp;" last five years.
Lab session works one day and then doesn't work because there are changes like update in Docker API.
Keeping things up to date and making things working the labs is really stressful and time costing.")</f>
        <v>Difficulty for teachers to keep up with the state of the art in the industry.
It is important to be up-to-date on industry tools every six months.
Every semester is necessary to update tools used on course.
The cloud are constantly evolving and it breaks labs every semester.
Lots of preparation to keep tools and environment working, secure and updated.
Keep up with new technologies is challenging.
Tool versions upgrades require updating the labs during the classes.
It is difficult to keep up the current state of art of devops industry practices.
Devops tools and APIs change fast and it may break your labs.
Exercises can be outdated in few months.
Many tools and some are not mature and not commonly used yet.
DevOps is always evolving fast in the last five years.
Lab session works one day and then doesn't work because there are changes like update in Docker API.
Keeping things up to date and making things working the labs is really stressful and time costing.</v>
      </c>
      <c r="E15" s="7" t="str">
        <f>IFERROR(__xludf.DUMMYFUNCTION("""COMPUTED_VALUE"""),"It's challeging to be up-to-date with industrial DevOps tools.")</f>
        <v>It's challeging to be up-to-date with industrial DevOps tools.</v>
      </c>
      <c r="F15" s="9" t="s">
        <v>96</v>
      </c>
      <c r="G15" s="9" t="s">
        <v>24</v>
      </c>
      <c r="H15" s="21"/>
    </row>
    <row r="16">
      <c r="A16" s="16">
        <v>42.0</v>
      </c>
      <c r="B16" s="20" t="s">
        <v>8</v>
      </c>
      <c r="C16" s="7" t="str">
        <f>IFERROR(__xludf.DUMMYFUNCTION("filter('Imported Challenges'!B:D,'Imported Challenges'!A:A=A16)"),"[...] it turned out that a lot of people did it in [...] different environments [...] for us, teacher, often we are not proficient in all of these.
Yeah, so challenges, um, differences in people's environments, their hardware, for example, every term, yo"&amp;"u know, if I want people to do something locally with, let's say, setting up virtual machines or containers or, or whatever, there's always some buddy who has some strange hardware configuration that causes problems.
We have some students on Mac, some on"&amp;" Linux, some on windows, some have, um, computers that are led by the university. They came up to class with computers, with family version of windows that cannot run Docker because there is no hypervisor in it.
")</f>
        <v>[...] it turned out that a lot of people did it in [...] different environments [...] for us, teacher, often we are not proficient in all of these.
Yeah, so challenges, um, differences in people's environments, their hardware, for example, every term, you know, if I want people to do something locally with, let's say, setting up virtual machines or containers or, or whatever, there's always some buddy who has some strange hardware configuration that causes problems.
We have some students on Mac, some on Linux, some on windows, some have, um, computers that are led by the university. They came up to class with computers, with family version of windows that cannot run Docker because there is no hypervisor in it.
</v>
      </c>
      <c r="D16" s="7" t="str">
        <f>IFERROR(__xludf.DUMMYFUNCTION("""COMPUTED_VALUE"""),"Difficulty supporting the use of several different tools and environments at the same time.
Differences in people's environments and their hardware configuration cause problems.
Different types of OSs can difficult the flow of environment setup.")</f>
        <v>Difficulty supporting the use of several different tools and environments at the same time.
Differences in people's environments and their hardware configuration cause problems.
Different types of OSs can difficult the flow of environment setup.</v>
      </c>
      <c r="E16" s="7" t="str">
        <f>IFERROR(__xludf.DUMMYFUNCTION("""COMPUTED_VALUE"""),"It's difficult to deal with different hardware and software.")</f>
        <v>It's difficult to deal with different hardware and software.</v>
      </c>
      <c r="F16" s="9" t="s">
        <v>47</v>
      </c>
      <c r="G16" s="9" t="s">
        <v>27</v>
      </c>
      <c r="H16" s="21"/>
    </row>
    <row r="17">
      <c r="A17" s="16">
        <v>44.0</v>
      </c>
      <c r="B17" s="20" t="s">
        <v>8</v>
      </c>
      <c r="C17" s="7" t="str">
        <f>IFERROR(__xludf.DUMMYFUNCTION("filter('Imported Challenges'!B:D,'Imported Challenges'!A:A=A17)"),"Material heterogeneity is the biggest challenge. You have to set up a class sewing the fonts, right?
When I started preparing, there was not a buy the book, a ""kit"" a suggestion for a course, there for you to start, it is a good start, right?")</f>
        <v>Material heterogeneity is the biggest challenge. You have to set up a class sewing the fonts, right?
When I started preparing, there was not a buy the book, a "kit" a suggestion for a course, there for you to start, it is a good start, right?</v>
      </c>
      <c r="D17" s="7" t="str">
        <f>IFERROR(__xludf.DUMMYFUNCTION("""COMPUTED_VALUE"""),"There is no unified material for teaching DevOps.
There is no complete material to teach DevOps.")</f>
        <v>There is no unified material for teaching DevOps.
There is no complete material to teach DevOps.</v>
      </c>
      <c r="E17" s="7" t="str">
        <f>IFERROR(__xludf.DUMMYFUNCTION("""COMPUTED_VALUE"""),"Unknown unified material for teaching DevOps.")</f>
        <v>Unknown unified material for teaching DevOps.</v>
      </c>
      <c r="F17" s="9" t="s">
        <v>97</v>
      </c>
      <c r="G17" s="9" t="s">
        <v>27</v>
      </c>
      <c r="H17" s="21"/>
    </row>
    <row r="18">
      <c r="A18" s="16">
        <v>45.0</v>
      </c>
      <c r="B18" s="20" t="s">
        <v>8</v>
      </c>
      <c r="C18" s="7" t="str">
        <f>IFERROR(__xludf.DUMMYFUNCTION("filter('Imported Challenges'!B:D,'Imported Challenges'!A:A=A18)"),"Because you take so many different things that I feel a bit sorry, in quotes, to pass everything on to the students. ... So, I think it's a difficulty, from the point of view, like, the pedagogical type of setting up the classes and such. It would be that"&amp;", the condensation of everything, let's say, the centralization of the material in what you produced, right?
I use a couple of books, um, and, uh, as I said, to to be able to own, um, they cover many different topics. And so I tried to use one over, two "&amp;"picks in it. [...] I still think that, uh, the idea scenario would have been able, will have been, to be able to do a situation where I can take several topics in the book and then cover them from the beginning to them. But, uh, I haven't been able to fin"&amp;"d that possible yet.")</f>
        <v>Because you take so many different things that I feel a bit sorry, in quotes, to pass everything on to the students. ... So, I think it's a difficulty, from the point of view, like, the pedagogical type of setting up the classes and such. It would be that, the condensation of everything, let's say, the centralization of the material in what you produced, right?
I use a couple of books, um, and, uh, as I said, to to be able to own, um, they cover many different topics. And so I tried to use one over, two picks in it. [...] I still think that, uh, the idea scenario would have been able, will have been, to be able to do a situation where I can take several topics in the book and then cover them from the beginning to them. But, uh, I haven't been able to find that possible yet.</v>
      </c>
      <c r="D18" s="7" t="str">
        <f>IFERROR(__xludf.DUMMYFUNCTION("""COMPUTED_VALUE"""),"Difficulty in resuming sufficient and suitable material for class lessons.
It is necessary to use multiple books because they do not cover all concepts.")</f>
        <v>Difficulty in resuming sufficient and suitable material for class lessons.
It is necessary to use multiple books because they do not cover all concepts.</v>
      </c>
      <c r="E18" s="7" t="str">
        <f>IFERROR(__xludf.DUMMYFUNCTION("""COMPUTED_VALUE"""),"Difficulty in using multiple materials to create the classes.")</f>
        <v>Difficulty in using multiple materials to create the classes.</v>
      </c>
      <c r="F18" s="9" t="s">
        <v>98</v>
      </c>
      <c r="G18" s="9" t="s">
        <v>24</v>
      </c>
      <c r="H18" s="21"/>
    </row>
    <row r="19">
      <c r="A19" s="16">
        <v>47.0</v>
      </c>
      <c r="B19" s="20" t="s">
        <v>8</v>
      </c>
      <c r="C19" s="7" t="str">
        <f>IFERROR(__xludf.DUMMYFUNCTION("filter('Imported Challenges'!B:D,'Imported Challenges'!A:A=A19)"),"There are concepts of collaboration, communication, organization that are a little subjective, right? So, it's a little harder for you to evaluate.")</f>
        <v>There are concepts of collaboration, communication, organization that are a little subjective, right? So, it's a little harder for you to evaluate.</v>
      </c>
      <c r="D19" s="7" t="str">
        <f>IFERROR(__xludf.DUMMYFUNCTION("""COMPUTED_VALUE"""),"The DevOps concepts collaboration, communication and organization are difficult to assess due to the high degree of subjectivity.")</f>
        <v>The DevOps concepts collaboration, communication and organization are difficult to assess due to the high degree of subjectivity.</v>
      </c>
      <c r="E19" s="7"/>
      <c r="F19" s="9" t="s">
        <v>99</v>
      </c>
      <c r="G19" s="9" t="s">
        <v>29</v>
      </c>
      <c r="H19" s="21"/>
    </row>
    <row r="20">
      <c r="A20" s="16">
        <v>48.0</v>
      </c>
      <c r="B20" s="20" t="s">
        <v>8</v>
      </c>
      <c r="C20" s="7" t="str">
        <f>IFERROR(__xludf.DUMMYFUNCTION("filter('Imported Challenges'!B:D,'Imported Challenges'!A:A=A20)"),"There are concepts of collaboration, communication, organization that are a little subjective, right? So, it's a little harder for you to evaluate.
The teaching plan, where I am going to start, where I am going to go, what is next. So, structuring this s"&amp;"equence of subjects to be covered, of how you are going to connect the subjects, which is the hardest part.")</f>
        <v>There are concepts of collaboration, communication, organization that are a little subjective, right? So, it's a little harder for you to evaluate.
The teaching plan, where I am going to start, where I am going to go, what is next. So, structuring this sequence of subjects to be covered, of how you are going to connect the subjects, which is the hardest part.</v>
      </c>
      <c r="D20" s="7" t="str">
        <f>IFERROR(__xludf.DUMMYFUNCTION("""COMPUTED_VALUE"""),"Difficulty in structuring the learning journey.
Difficulty to create a teaching plan, especially connecting the covered subjects.")</f>
        <v>Difficulty in structuring the learning journey.
Difficulty to create a teaching plan, especially connecting the covered subjects.</v>
      </c>
      <c r="E20" s="7" t="str">
        <f>IFERROR(__xludf.DUMMYFUNCTION("""COMPUTED_VALUE"""),"Difficulty in structuring the learning journey.")</f>
        <v>Difficulty in structuring the learning journey.</v>
      </c>
      <c r="F20" s="9" t="s">
        <v>100</v>
      </c>
      <c r="G20" s="9" t="s">
        <v>24</v>
      </c>
      <c r="H20" s="21"/>
    </row>
    <row r="21">
      <c r="A21" s="16">
        <v>50.0</v>
      </c>
      <c r="B21" s="20" t="s">
        <v>8</v>
      </c>
      <c r="C21" s="7" t="str">
        <f>IFERROR(__xludf.DUMMYFUNCTION("filter('Imported Challenges'!B:D,'Imported Challenges'!A:A=A21)"),"the real challenge was when I started doing it, which I didn't have any. Then, building from scratch is more difficult, there is no baseline. [...] [...] these types of challenges, they are more related to the nature of the subject, not the object, that i"&amp;"s: what type of content, how will you conduct this course, how will you want to conduct the discipline.
I didn't find any course, really I was looking for courses in devops, like yes, there were courses that talk about kubernetes that these, yes. There a"&amp;"re courses that talk about, uh, integrated testing. Yes. There are courses. We talk about AWS and cloud, but I didn't find any course on devops that I can two years ago that I'm almost like three years ago now when I started to work on it, um, use as a ba"&amp;"sis. Right. So the first semester was a nightmare. 
In 2018, 2019, and yet no universities have a program in DevOps, no universities, essentially very few universities have a course in DevOps.
If you want to teach devops, it's really difficult to find, "&amp;"uh, supports, like finding a way to understand how it's towards elsewhere. It's really complicated because there's not a lot, of course that grant themselves as DevOps, basically because it's often hidden because it's something technical you're not suppos"&amp;"ed to teach.")</f>
        <v>the real challenge was when I started doing it, which I didn't have any. Then, building from scratch is more difficult, there is no baseline. [...] [...] these types of challenges, they are more related to the nature of the subject, not the object, that is: what type of content, how will you conduct this course, how will you want to conduct the discipline.
I didn't find any course, really I was looking for courses in devops, like yes, there were courses that talk about kubernetes that these, yes. There are courses that talk about, uh, integrated testing. Yes. There are courses. We talk about AWS and cloud, but I didn't find any course on devops that I can two years ago that I'm almost like three years ago now when I started to work on it, um, use as a basis. Right. So the first semester was a nightmare. 
In 2018, 2019, and yet no universities have a program in DevOps, no universities, essentially very few universities have a course in DevOps.
If you want to teach devops, it's really difficult to find, uh, supports, like finding a way to understand how it's towards elsewhere. It's really complicated because there's not a lot, of course that grant themselves as DevOps, basically because it's often hidden because it's something technical you're not supposed to teach.</v>
      </c>
      <c r="D21" s="7" t="str">
        <f>IFERROR(__xludf.DUMMYFUNCTION("""COMPUTED_VALUE"""),"Difficulty in setting up classes without a prior reference ones.
It isn't easy to create a DevOps course without having another course as a reference.
Few universities have a DevOps course.
It's really difficult to find supports if you want to teach De"&amp;"vOps.")</f>
        <v>Difficulty in setting up classes without a prior reference ones.
It isn't easy to create a DevOps course without having another course as a reference.
Few universities have a DevOps course.
It's really difficult to find supports if you want to teach DevOps.</v>
      </c>
      <c r="E21" s="7" t="str">
        <f>IFERROR(__xludf.DUMMYFUNCTION("""COMPUTED_VALUE"""),"It is difficult to create a DevOps course without a previous reference ones.")</f>
        <v>It is difficult to create a DevOps course without a previous reference ones.</v>
      </c>
      <c r="F21" s="9" t="s">
        <v>101</v>
      </c>
      <c r="G21" s="9" t="s">
        <v>24</v>
      </c>
      <c r="H21" s="21"/>
    </row>
    <row r="22">
      <c r="A22" s="16">
        <v>51.0</v>
      </c>
      <c r="B22" s="20" t="s">
        <v>8</v>
      </c>
      <c r="C22" s="15" t="str">
        <f>IFERROR(__xludf.DUMMYFUNCTION("filter('Imported Challenges'!B:D,'Imported Challenges'!A:A=A22)"),"This teaching plan is not and should not be completed, right? He doesn't have it, he's never ready. ... Things change too fast, the focus changes too fast.")</f>
        <v>This teaching plan is not and should not be completed, right? He doesn't have it, he's never ready. ... Things change too fast, the focus changes too fast.</v>
      </c>
      <c r="D22" s="15" t="str">
        <f>IFERROR(__xludf.DUMMYFUNCTION("""COMPUTED_VALUE"""),"Rapid and constant changes in DevOps make it difficult to create a teaching plan.")</f>
        <v>Rapid and constant changes in DevOps make it difficult to create a teaching plan.</v>
      </c>
      <c r="E22" s="15"/>
      <c r="F22" s="9" t="s">
        <v>102</v>
      </c>
      <c r="G22" s="9" t="s">
        <v>10</v>
      </c>
      <c r="H22" s="21"/>
    </row>
    <row r="23">
      <c r="A23" s="16">
        <v>53.0</v>
      </c>
      <c r="B23" s="22" t="s">
        <v>8</v>
      </c>
      <c r="C23" s="23" t="str">
        <f>IFERROR(__xludf.DUMMYFUNCTION("filter('Imported Challenges'!B:D,'Imported Challenges'!A:A=A23)"),"There are several environments in the cloud, but they all cost money.")</f>
        <v>There are several environments in the cloud, but they all cost money.</v>
      </c>
      <c r="D23" s="23" t="str">
        <f>IFERROR(__xludf.DUMMYFUNCTION("""COMPUTED_VALUE"""),"Environment set up in a cloud service cost money.")</f>
        <v>Environment set up in a cloud service cost money.</v>
      </c>
      <c r="E23" s="23"/>
      <c r="F23" s="9" t="s">
        <v>103</v>
      </c>
      <c r="G23" s="9" t="s">
        <v>12</v>
      </c>
      <c r="H23" s="21"/>
    </row>
    <row r="24">
      <c r="A24" s="16">
        <v>55.0</v>
      </c>
      <c r="B24" s="22" t="s">
        <v>8</v>
      </c>
      <c r="C24" s="23" t="str">
        <f>IFERROR(__xludf.DUMMYFUNCTION("filter('Imported Challenges'!B:D,'Imported Challenges'!A:A=A24)"),"You have to find a set of tools that work together.
 For many people, getting them all to work together can be particularly challenging.")</f>
        <v>You have to find a set of tools that work together.
 For many people, getting them all to work together can be particularly challenging.</v>
      </c>
      <c r="D24" s="23" t="str">
        <f>IFERROR(__xludf.DUMMYFUNCTION("""COMPUTED_VALUE"""),"You have to find a set of tools that work together.
For many people, getting all technologies to work together can be particularly challenging.")</f>
        <v>You have to find a set of tools that work together.
For many people, getting all technologies to work together can be particularly challenging.</v>
      </c>
      <c r="E24" s="23" t="str">
        <f>IFERROR(__xludf.DUMMYFUNCTION("""COMPUTED_VALUE"""),"Getting all DevOps tools to work together is challenging.")</f>
        <v>Getting all DevOps tools to work together is challenging.</v>
      </c>
      <c r="F24" s="9" t="s">
        <v>104</v>
      </c>
      <c r="G24" s="9" t="s">
        <v>105</v>
      </c>
      <c r="H24" s="21"/>
    </row>
    <row r="25">
      <c r="A25" s="16">
        <v>56.0</v>
      </c>
      <c r="B25" s="22" t="s">
        <v>8</v>
      </c>
      <c r="C25" s="23" t="str">
        <f>IFERROR(__xludf.DUMMYFUNCTION("filter('Imported Challenges'!B:D,'Imported Challenges'!A:A=A25)"),"A big challenge is students learning to be, um, to be agile working as a team pair programming. 
Lot of those concepts are hard to teach in a classroom setting.
That's kind of challenging getting them to be agile, getting them to think agile, get into t"&amp;"hink minimum viable product, right.
How do you work in sprints? ")</f>
        <v>A big challenge is students learning to be, um, to be agile working as a team pair programming. 
Lot of those concepts are hard to teach in a classroom setting.
That's kind of challenging getting them to be agile, getting them to think agile, get into think minimum viable product, right.
How do you work in sprints? </v>
      </c>
      <c r="D25" s="23" t="str">
        <f>IFERROR(__xludf.DUMMYFUNCTION("""COMPUTED_VALUE"""),"It is difficult to students learning agile techniques like pair programming.
A lot of agile concepts are hard to teach in a classroom setting.
It's challenging the students to be and to think agile into mininum viable product.
It is difficult how to or"&amp;"ganize each sprint.")</f>
        <v>It is difficult to students learning agile techniques like pair programming.
A lot of agile concepts are hard to teach in a classroom setting.
It's challenging the students to be and to think agile into mininum viable product.
It is difficult how to organize each sprint.</v>
      </c>
      <c r="E25" s="23" t="str">
        <f>IFERROR(__xludf.DUMMYFUNCTION("""COMPUTED_VALUE"""),"It is difficult to teach agile techniques.")</f>
        <v>It is difficult to teach agile techniques.</v>
      </c>
      <c r="F25" s="9" t="s">
        <v>106</v>
      </c>
      <c r="G25" s="9" t="s">
        <v>27</v>
      </c>
      <c r="H25" s="21"/>
    </row>
    <row r="26">
      <c r="A26" s="16">
        <v>58.0</v>
      </c>
      <c r="B26" s="20" t="s">
        <v>8</v>
      </c>
      <c r="C26" s="15" t="str">
        <f>IFERROR(__xludf.DUMMYFUNCTION("filter('Imported Challenges'!B:D,'Imported Challenges'!A:A=A26)"),"Doing a hands-on class with that many (45) students is just physically challenging.")</f>
        <v>Doing a hands-on class with that many (45) students is just physically challenging.</v>
      </c>
      <c r="D26" s="15" t="str">
        <f>IFERROR(__xludf.DUMMYFUNCTION("""COMPUTED_VALUE"""),"Doing a hands-on class with that many (45) students is just physically challenging.")</f>
        <v>Doing a hands-on class with that many (45) students is just physically challenging.</v>
      </c>
      <c r="E26" s="15"/>
      <c r="F26" s="9" t="s">
        <v>107</v>
      </c>
      <c r="G26" s="9" t="s">
        <v>27</v>
      </c>
      <c r="H26" s="21"/>
    </row>
    <row r="27">
      <c r="A27" s="16">
        <v>59.0</v>
      </c>
      <c r="B27" s="20" t="s">
        <v>8</v>
      </c>
      <c r="C27" s="15" t="str">
        <f>IFERROR(__xludf.DUMMYFUNCTION("filter('Imported Challenges'!B:D,'Imported Challenges'!A:A=A27)"),"You have a clean compile, you've tested your code and it meets the functional requirements. And that's the end of the story. But as we know, you know, even from software development,[...] it doesn't end once the software is built and once it's passed test"&amp;"ing, then it goes into this entire operational stage. We tend to ignore it. And I don't think we ignore it deliberately. We ignore it because it's hard")</f>
        <v>You have a clean compile, you've tested your code and it meets the functional requirements. And that's the end of the story. But as we know, you know, even from software development,[...] it doesn't end once the software is built and once it's passed testing, then it goes into this entire operational stage. We tend to ignore it. And I don't think we ignore it deliberately. We ignore it because it's hard</v>
      </c>
      <c r="D27" s="15" t="str">
        <f>IFERROR(__xludf.DUMMYFUNCTION("""COMPUTED_VALUE"""),"Teach operational activities is ignored because it is hard.")</f>
        <v>Teach operational activities is ignored because it is hard.</v>
      </c>
      <c r="E27" s="15"/>
      <c r="F27" s="9" t="s">
        <v>108</v>
      </c>
      <c r="G27" s="9" t="s">
        <v>24</v>
      </c>
      <c r="H27" s="21"/>
    </row>
    <row r="28">
      <c r="A28" s="16">
        <v>61.0</v>
      </c>
      <c r="B28" s="20" t="s">
        <v>8</v>
      </c>
      <c r="C28" s="15" t="str">
        <f>IFERROR(__xludf.DUMMYFUNCTION("filter('Imported Challenges'!B:D,'Imported Challenges'!A:A=A28)"),"It is very dangerous to teach too many tools because it's simply conveys that it is a very technology centric approach.")</f>
        <v>It is very dangerous to teach too many tools because it's simply conveys that it is a very technology centric approach.</v>
      </c>
      <c r="D28" s="15" t="str">
        <f>IFERROR(__xludf.DUMMYFUNCTION("""COMPUTED_VALUE"""),"It is very dangerous to teach too many tools because it conveys that DevOps is a very technology centric approach.")</f>
        <v>It is very dangerous to teach too many tools because it conveys that DevOps is a very technology centric approach.</v>
      </c>
      <c r="E28" s="15"/>
      <c r="F28" s="9" t="s">
        <v>109</v>
      </c>
      <c r="G28" s="9" t="s">
        <v>105</v>
      </c>
      <c r="H28" s="21"/>
    </row>
    <row r="29">
      <c r="A29" s="16">
        <v>62.0</v>
      </c>
      <c r="B29" s="20" t="s">
        <v>8</v>
      </c>
      <c r="C29" s="15" t="str">
        <f>IFERROR(__xludf.DUMMYFUNCTION("filter('Imported Challenges'!B:D,'Imported Challenges'!A:A=A29)"),"A lot of the folks who are attending the course are not at a level in the organization where they can actually affect culture [...] they are usually technologists and so they can very easily understand how they can affect things like technology decisions "&amp;"and the application of technology. But many of them are not, let's say at manager or director or senior director VP levels or things like that will, they can actually affect more senior levels of challenge there.")</f>
        <v>A lot of the folks who are attending the course are not at a level in the organization where they can actually affect culture [...] they are usually technologists and so they can very easily understand how they can affect things like technology decisions and the application of technology. But many of them are not, let's say at manager or director or senior director VP levels or things like that will, they can actually affect more senior levels of challenge there.</v>
      </c>
      <c r="D29" s="15" t="str">
        <f>IFERROR(__xludf.DUMMYFUNCTION("""COMPUTED_VALUE"""),"Students are not at a level in the their companies where they can introduce DevOps mindset.")</f>
        <v>Students are not at a level in the their companies where they can introduce DevOps mindset.</v>
      </c>
      <c r="E29" s="15"/>
      <c r="F29" s="9" t="s">
        <v>110</v>
      </c>
      <c r="G29" s="9" t="s">
        <v>16</v>
      </c>
      <c r="H29" s="21"/>
    </row>
    <row r="30">
      <c r="A30" s="16">
        <v>64.0</v>
      </c>
      <c r="B30" s="20" t="s">
        <v>8</v>
      </c>
      <c r="C30" s="15" t="str">
        <f>IFERROR(__xludf.DUMMYFUNCTION("filter('Imported Challenges'!B:D,'Imported Challenges'!A:A=A30)"),"I have tended to get much more forgiving on how I, for example, grade this particular course, I used to be one of those folks. You know, you, you do the assignment and then you get a grade for the assignment. And at the end of the day, and this is not jus"&amp;"t devops it's it's for other courses as well. At the end of the day, I'm way more concerned. They're able to get stuff working and that you understand why we're doing it.")</f>
        <v>I have tended to get much more forgiving on how I, for example, grade this particular course, I used to be one of those folks. You know, you, you do the assignment and then you get a grade for the assignment. And at the end of the day, and this is not just devops it's it's for other courses as well. At the end of the day, I'm way more concerned. They're able to get stuff working and that you understand why we're doing it.</v>
      </c>
      <c r="D30" s="15" t="str">
        <f>IFERROR(__xludf.DUMMYFUNCTION("""COMPUTED_VALUE"""),"Task done by students do not means that students learned correctly.")</f>
        <v>Task done by students do not means that students learned correctly.</v>
      </c>
      <c r="E30" s="15"/>
      <c r="F30" s="9" t="s">
        <v>111</v>
      </c>
      <c r="G30" s="9" t="s">
        <v>27</v>
      </c>
      <c r="H30" s="21"/>
    </row>
    <row r="31">
      <c r="A31" s="16">
        <v>65.0</v>
      </c>
      <c r="B31" s="20" t="s">
        <v>8</v>
      </c>
      <c r="C31" s="15" t="str">
        <f>IFERROR(__xludf.DUMMYFUNCTION("filter('Imported Challenges'!B:D,'Imported Challenges'!A:A=A31)"),"The challenge of course, is newer students obviously have more than enough to worry about just getting code wrong and compile. Uh, but that's, that's the reality, unfortunately, is the code just doesn't run a compile on a laptop, right? It runs out in pro"&amp;"duction and it's serving real people. And in this day and age, there is, there is stuff that goes with that. And the more folks understand, at least some of the sooner, the better I hope the software will be.")</f>
        <v>The challenge of course, is newer students obviously have more than enough to worry about just getting code wrong and compile. Uh, but that's, that's the reality, unfortunately, is the code just doesn't run a compile on a laptop, right? It runs out in production and it's serving real people. And in this day and age, there is, there is stuff that goes with that. And the more folks understand, at least some of the sooner, the better I hope the software will be.</v>
      </c>
      <c r="D31" s="24" t="str">
        <f>IFERROR(__xludf.DUMMYFUNCTION("""COMPUTED_VALUE"""),"It is difficult for students to understand the importance the software running in production, not just compiling.")</f>
        <v>It is difficult for students to understand the importance the software running in production, not just compiling.</v>
      </c>
      <c r="E31" s="15"/>
      <c r="F31" s="9" t="s">
        <v>112</v>
      </c>
      <c r="G31" s="9" t="s">
        <v>105</v>
      </c>
      <c r="H31" s="21"/>
    </row>
    <row r="32">
      <c r="A32" s="16">
        <v>67.0</v>
      </c>
      <c r="B32" s="20" t="s">
        <v>8</v>
      </c>
      <c r="C32" s="15" t="str">
        <f>IFERROR(__xludf.DUMMYFUNCTION("filter('Imported Challenges'!B:D,'Imported Challenges'!A:A=A32)"),"When you do continuous integration, you need to have a logical base. You need to have a lot of people committing in the code changes often. Um, you need to have a lot of machines. You have the machines where people are coding. You have the machines that a"&amp;"re building, you have the machines that are the way you run your database. You have the machines where you deploy to. ... you need a lot of machines interconnected, um, with visibility on each other that they can get to.")</f>
        <v>When you do continuous integration, you need to have a logical base. You need to have a lot of people committing in the code changes often. Um, you need to have a lot of machines. You have the machines where people are coding. You have the machines that are building, you have the machines that are the way you run your database. You have the machines where you deploy to. ... you need a lot of machines interconnected, um, with visibility on each other that they can get to.</v>
      </c>
      <c r="D32" s="15" t="str">
        <f>IFERROR(__xludf.DUMMYFUNCTION("""COMPUTED_VALUE"""),"You need a lot of interconnected machines running different services with visibility on each other to do continous deployment.")</f>
        <v>You need a lot of interconnected machines running different services with visibility on each other to do continous deployment.</v>
      </c>
      <c r="E32" s="15"/>
      <c r="F32" s="9" t="s">
        <v>113</v>
      </c>
      <c r="G32" s="9" t="s">
        <v>114</v>
      </c>
      <c r="H32" s="21"/>
    </row>
    <row r="33">
      <c r="A33" s="16">
        <v>68.0</v>
      </c>
      <c r="B33" s="20" t="s">
        <v>8</v>
      </c>
      <c r="C33" s="15" t="str">
        <f>IFERROR(__xludf.DUMMYFUNCTION("filter('Imported Challenges'!B:D,'Imported Challenges'!A:A=A33)"),"Uh, so that's a practical challenge that when you want to put it in place, and as a teacher, you want to be able to log into all of those machines to see what they're doing.")</f>
        <v>Uh, so that's a practical challenge that when you want to put it in place, and as a teacher, you want to be able to log into all of those machines to see what they're doing.</v>
      </c>
      <c r="D33" s="15" t="str">
        <f>IFERROR(__xludf.DUMMYFUNCTION("""COMPUTED_VALUE"""),"It's hard to supervise students' work when you use a lot of virtual machines.")</f>
        <v>It's hard to supervise students' work when you use a lot of virtual machines.</v>
      </c>
      <c r="E33" s="15"/>
      <c r="F33" s="9" t="s">
        <v>115</v>
      </c>
      <c r="G33" s="9" t="s">
        <v>29</v>
      </c>
      <c r="H33" s="21"/>
    </row>
    <row r="34">
      <c r="A34" s="16">
        <v>70.0</v>
      </c>
      <c r="B34" s="20" t="s">
        <v>8</v>
      </c>
      <c r="C34" s="15" t="str">
        <f>IFERROR(__xludf.DUMMYFUNCTION("filter('Imported Challenges'!B:D,'Imported Challenges'!A:A=A34)"),"What is hard is to be prepared with, um, a technology stack that is robust and simple or very simple so that you know exactly what you look when you help them debug.")</f>
        <v>What is hard is to be prepared with, um, a technology stack that is robust and simple or very simple so that you know exactly what you look when you help them debug.</v>
      </c>
      <c r="D34" s="15" t="str">
        <f>IFERROR(__xludf.DUMMYFUNCTION("""COMPUTED_VALUE"""),"It is hard to prepare a robust and simple technology stack.")</f>
        <v>It is hard to prepare a robust and simple technology stack.</v>
      </c>
      <c r="E34" s="15"/>
      <c r="F34" s="9" t="s">
        <v>116</v>
      </c>
      <c r="G34" s="9" t="s">
        <v>105</v>
      </c>
      <c r="H34" s="21"/>
    </row>
    <row r="35">
      <c r="A35" s="16">
        <v>71.0</v>
      </c>
      <c r="B35" s="22" t="s">
        <v>8</v>
      </c>
      <c r="C35" s="23" t="str">
        <f>IFERROR(__xludf.DUMMYFUNCTION("filter('Imported Challenges'!B:D,'Imported Challenges'!A:A=A35)"),"It's mostly the preparation of the exercise that is demanding.
That's one of the challenge that I find in preparing proper courses, finding and implementing an application, creating some issues in it, some bugs in it.")</f>
        <v>It's mostly the preparation of the exercise that is demanding.
That's one of the challenge that I find in preparing proper courses, finding and implementing an application, creating some issues in it, some bugs in it.</v>
      </c>
      <c r="D35" s="23" t="str">
        <f>IFERROR(__xludf.DUMMYFUNCTION("""COMPUTED_VALUE"""),"The preparation of the exercise is demanding.
It is laborious to prepare the exercise that the students will work.")</f>
        <v>The preparation of the exercise is demanding.
It is laborious to prepare the exercise that the students will work.</v>
      </c>
      <c r="E35" s="23" t="str">
        <f>IFERROR(__xludf.DUMMYFUNCTION("""COMPUTED_VALUE"""),"The preparation of the exercise is demanding.")</f>
        <v>The preparation of the exercise is demanding.</v>
      </c>
      <c r="F35" s="9" t="s">
        <v>117</v>
      </c>
      <c r="G35" s="9" t="s">
        <v>24</v>
      </c>
      <c r="H35" s="21"/>
    </row>
    <row r="36">
      <c r="A36" s="16">
        <v>73.0</v>
      </c>
      <c r="B36" s="22" t="s">
        <v>8</v>
      </c>
      <c r="C36" s="23" t="str">
        <f>IFERROR(__xludf.DUMMYFUNCTION("filter('Imported Challenges'!B:D,'Imported Challenges'!A:A=A36)"),"I check out the code of every group. And I look at the commits who has done what I look at. How has it been coded, easy to blatant copy paste of somebody else's code? Is it innovative? I run all the scripts. I ask them to provide me with scripts that are "&amp;"portable, that will run on my computer. Um, and there has to be a bill script or run script, uh, scenario, script, et cetera. And I run them on my computer. It takes four it's very long. Uh, but it's an effective way of checking what they've done.")</f>
        <v>I check out the code of every group. And I look at the commits who has done what I look at. How has it been coded, easy to blatant copy paste of somebody else's code? Is it innovative? I run all the scripts. I ask them to provide me with scripts that are portable, that will run on my computer. Um, and there has to be a bill script or run script, uh, scenario, script, et cetera. And I run them on my computer. It takes four it's very long. Uh, but it's an effective way of checking what they've done.</v>
      </c>
      <c r="D36" s="23" t="str">
        <f>IFERROR(__xludf.DUMMYFUNCTION("""COMPUTED_VALUE"""),"It is arduous to analyse the code and run scripts for each project.")</f>
        <v>It is arduous to analyse the code and run scripts for each project.</v>
      </c>
      <c r="E36" s="23"/>
      <c r="F36" s="9" t="s">
        <v>118</v>
      </c>
      <c r="G36" s="9" t="s">
        <v>29</v>
      </c>
      <c r="H36" s="21"/>
    </row>
    <row r="37">
      <c r="A37" s="16">
        <v>74.0</v>
      </c>
      <c r="B37" s="22" t="s">
        <v>8</v>
      </c>
      <c r="C37" s="23" t="str">
        <f>IFERROR(__xludf.DUMMYFUNCTION("filter('Imported Challenges'!B:D,'Imported Challenges'!A:A=A37)"),"We show them Kubernetes, um, but they don't really have time to practice on Kubernetes.")</f>
        <v>We show them Kubernetes, um, but they don't really have time to practice on Kubernetes.</v>
      </c>
      <c r="D37" s="23" t="str">
        <f>IFERROR(__xludf.DUMMYFUNCTION("""COMPUTED_VALUE"""),"They don't have time to practice on Kubernetes because it is lot of work.")</f>
        <v>They don't have time to practice on Kubernetes because it is lot of work.</v>
      </c>
      <c r="E37" s="23"/>
      <c r="F37" s="9" t="s">
        <v>119</v>
      </c>
      <c r="G37" s="9" t="s">
        <v>10</v>
      </c>
      <c r="H37" s="21"/>
    </row>
    <row r="38">
      <c r="A38" s="16">
        <v>76.0</v>
      </c>
      <c r="B38" s="22" t="s">
        <v>8</v>
      </c>
      <c r="C38" s="23" t="str">
        <f>IFERROR(__xludf.DUMMYFUNCTION("filter('Imported Challenges'!B:D,'Imported Challenges'!A:A=A38)"),"For us as educators, we need to find a way where we can make it interesting.
You can make the lectures more interactive, but to make the lecture attractive students have to willing to interact. Right. Which is very difficult to do.")</f>
        <v>For us as educators, we need to find a way where we can make it interesting.
You can make the lectures more interactive, but to make the lecture attractive students have to willing to interact. Right. Which is very difficult to do.</v>
      </c>
      <c r="D38" s="23" t="str">
        <f>IFERROR(__xludf.DUMMYFUNCTION("""COMPUTED_VALUE"""),"Make a DevOps course attractive to the students is challenging.
Make the lectures attractive is difficult.")</f>
        <v>Make a DevOps course attractive to the students is challenging.
Make the lectures attractive is difficult.</v>
      </c>
      <c r="E38" s="23" t="str">
        <f>IFERROR(__xludf.DUMMYFUNCTION("""COMPUTED_VALUE"""),"Make a DevOps course attractive to the students is challenging.")</f>
        <v>Make a DevOps course attractive to the students is challenging.</v>
      </c>
      <c r="F38" s="9" t="s">
        <v>120</v>
      </c>
      <c r="G38" s="9" t="s">
        <v>24</v>
      </c>
      <c r="H38" s="21"/>
    </row>
    <row r="39">
      <c r="A39" s="16">
        <v>77.0</v>
      </c>
      <c r="B39" s="22"/>
      <c r="C39" s="23" t="str">
        <f>IFERROR(__xludf.DUMMYFUNCTION("filter('Imported Challenges'!B:D,'Imported Challenges'!A:A=A39)"),"The biggest challenge is this, like, what goes in, you know? People do lots of things in the DevOps Pipeline these days, which doesn't necessarily go into a DevOps course, right?
I would say at the end of the fall, or maybe at the beginning of 2019, we s"&amp;"tarted to plan this course. And for the longest time I was really questioning myself. Like, what do you teach in a DevOps course?
Now we're questioning ourselves. What else did we bring in? We may add some things about a bit of telemetry. So they have a "&amp;"bit of telemetry because they have lives, but we put some emphasis on it.")</f>
        <v>The biggest challenge is this, like, what goes in, you know? People do lots of things in the DevOps Pipeline these days, which doesn't necessarily go into a DevOps course, right?
I would say at the end of the fall, or maybe at the beginning of 2019, we started to plan this course. And for the longest time I was really questioning myself. Like, what do you teach in a DevOps course?
Now we're questioning ourselves. What else did we bring in? We may add some things about a bit of telemetry. So they have a bit of telemetry because they have lives, but we put some emphasis on it.</v>
      </c>
      <c r="D39" s="23" t="str">
        <f>IFERROR(__xludf.DUMMYFUNCTION("""COMPUTED_VALUE"""),"There is no convention as to what are the main DevOps concepts that should be taught.
It's difficult to decide what will be taught in a DevOps course.
Hard to decide whether to teach telemetry or not.")</f>
        <v>There is no convention as to what are the main DevOps concepts that should be taught.
It's difficult to decide what will be taught in a DevOps course.
Hard to decide whether to teach telemetry or not.</v>
      </c>
      <c r="E39" s="23" t="str">
        <f>IFERROR(__xludf.DUMMYFUNCTION("""COMPUTED_VALUE"""),"There is no convention as to what are the main DevOps concepts that should be taught.")</f>
        <v>There is no convention as to what are the main DevOps concepts that should be taught.</v>
      </c>
      <c r="F39" s="9" t="s">
        <v>121</v>
      </c>
      <c r="G39" s="9" t="s">
        <v>10</v>
      </c>
      <c r="H39" s="21"/>
    </row>
    <row r="40">
      <c r="A40" s="16">
        <v>79.0</v>
      </c>
      <c r="B40" s="20" t="s">
        <v>8</v>
      </c>
      <c r="C40" s="15" t="str">
        <f>IFERROR(__xludf.DUMMYFUNCTION("filter('Imported Challenges'!B:D,'Imported Challenges'!A:A=A40)"),"JIRA is quite difficult to use in industry context, um, just because of the license model then. So it's, it's too complex.")</f>
        <v>JIRA is quite difficult to use in industry context, um, just because of the license model then. So it's, it's too complex.</v>
      </c>
      <c r="D40" s="15" t="str">
        <f>IFERROR(__xludf.DUMMYFUNCTION("""COMPUTED_VALUE"""),"It's difficult to use Jira lifecycle management tool because of its licence model.")</f>
        <v>It's difficult to use Jira lifecycle management tool because of its licence model.</v>
      </c>
      <c r="E40" s="15"/>
      <c r="F40" s="9" t="s">
        <v>122</v>
      </c>
      <c r="G40" s="9" t="s">
        <v>105</v>
      </c>
      <c r="H40" s="21"/>
    </row>
    <row r="41">
      <c r="A41" s="16">
        <v>80.0</v>
      </c>
      <c r="B41" s="20" t="s">
        <v>8</v>
      </c>
      <c r="C41" s="15" t="str">
        <f>IFERROR(__xludf.DUMMYFUNCTION("filter('Imported Challenges'!B:D,'Imported Challenges'!A:A=A41)"),"So one of the challenge from an environment point of view is to get something that students can relate to.")</f>
        <v>So one of the challenge from an environment point of view is to get something that students can relate to.</v>
      </c>
      <c r="D41" s="15" t="str">
        <f>IFERROR(__xludf.DUMMYFUNCTION("""COMPUTED_VALUE"""),"It's hard to find something students can relate to, from a environment point of view.")</f>
        <v>It's hard to find something students can relate to, from a environment point of view.</v>
      </c>
      <c r="E41" s="15"/>
      <c r="F41" s="9" t="s">
        <v>123</v>
      </c>
      <c r="G41" s="9" t="s">
        <v>27</v>
      </c>
      <c r="H41" s="21"/>
    </row>
    <row r="42">
      <c r="A42" s="16">
        <v>82.0</v>
      </c>
      <c r="B42" s="20" t="s">
        <v>8</v>
      </c>
      <c r="C42" s="15" t="str">
        <f>IFERROR(__xludf.DUMMYFUNCTION("filter('Imported Challenges'!B:D,'Imported Challenges'!A:A=A42)"),"It didn't work for some specific tools that they wanted to present using this a katacoda, uh, website.")</f>
        <v>It didn't work for some specific tools that they wanted to present using this a katacoda, uh, website.</v>
      </c>
      <c r="D42" s="15" t="str">
        <f>IFERROR(__xludf.DUMMYFUNCTION("""COMPUTED_VALUE"""),"Katacoda does not work for some specific tools.")</f>
        <v>Katacoda does not work for some specific tools.</v>
      </c>
      <c r="E42" s="15"/>
      <c r="F42" s="9" t="s">
        <v>124</v>
      </c>
      <c r="G42" s="9" t="s">
        <v>105</v>
      </c>
      <c r="H42" s="21"/>
    </row>
    <row r="43">
      <c r="A43" s="16">
        <v>83.0</v>
      </c>
      <c r="B43" s="20" t="s">
        <v>8</v>
      </c>
      <c r="C43" s="15" t="str">
        <f>IFERROR(__xludf.DUMMYFUNCTION("filter('Imported Challenges'!B:D,'Imported Challenges'!A:A=A43)"),"Since the students were free to use any technology and present it ...  it was hard to stay as objective as possible and to have, uh, have the same criteria and metric for, uh, scoring different students, because someone was working on this project, someon"&amp;"e was working on that project.")</f>
        <v>Since the students were free to use any technology and present it ...  it was hard to stay as objective as possible and to have, uh, have the same criteria and metric for, uh, scoring different students, because someone was working on this project, someone was working on that project.</v>
      </c>
      <c r="D43" s="15" t="str">
        <f>IFERROR(__xludf.DUMMYFUNCTION("""COMPUTED_VALUE"""),"It was hard to have the same criteria and metric for scoring different students because they were free to use any technology and present it.")</f>
        <v>It was hard to have the same criteria and metric for scoring different students because they were free to use any technology and present it.</v>
      </c>
      <c r="E43" s="15"/>
      <c r="F43" s="9" t="s">
        <v>125</v>
      </c>
      <c r="G43" s="9" t="s">
        <v>29</v>
      </c>
      <c r="H43" s="21"/>
    </row>
    <row r="44">
      <c r="A44" s="16">
        <v>85.0</v>
      </c>
      <c r="B44" s="20" t="s">
        <v>8</v>
      </c>
      <c r="C44" s="15" t="str">
        <f>IFERROR(__xludf.DUMMYFUNCTION("filter('Imported Challenges'!B:D,'Imported Challenges'!A:A=A44)"),"How this practitioner really works, because if you're not doing this, then you will stay at a very technical level. Like you deploy a pipeline and you're doing DevOps, which is absolutely not the case. And that's absolutely not the, uh, understanding of w"&amp;"hat DevOps is.")</f>
        <v>How this practitioner really works, because if you're not doing this, then you will stay at a very technical level. Like you deploy a pipeline and you're doing DevOps, which is absolutely not the case. And that's absolutely not the, uh, understanding of what DevOps is.</v>
      </c>
      <c r="D44" s="15" t="str">
        <f>IFERROR(__xludf.DUMMYFUNCTION("""COMPUTED_VALUE"""),"It is difficult to students understand how the pipeline deployment works and not just running it.")</f>
        <v>It is difficult to students understand how the pipeline deployment works and not just running it.</v>
      </c>
      <c r="E44" s="15"/>
      <c r="F44" s="9" t="s">
        <v>126</v>
      </c>
      <c r="G44" s="9" t="s">
        <v>16</v>
      </c>
      <c r="H44" s="21"/>
    </row>
    <row r="45">
      <c r="A45" s="16">
        <v>86.0</v>
      </c>
      <c r="B45" s="22" t="s">
        <v>8</v>
      </c>
      <c r="C45" s="23" t="str">
        <f>IFERROR(__xludf.DUMMYFUNCTION("filter('Imported Challenges'!B:D,'Imported Challenges'!A:A=A45)"),"We try to use, um, like remote services to relieve the burden of setup saying that, okay, you're going to use Jenkins on the cloud. Then you're going to use, we have this partnership with IBM. So we're using to use the bluemix platform from, uh, IBM that "&amp;"was supporting this kind of thing, um, disaster, because in the end it was really complicated to debug what was happening because you don't have the access go on the what's happening.
I think that that's one of the course that costed me the most in terms"&amp;" of, uh, frustrating time I've spent, uh, debugging lab sessions, ")</f>
        <v>We try to use, um, like remote services to relieve the burden of setup saying that, okay, you're going to use Jenkins on the cloud. Then you're going to use, we have this partnership with IBM. So we're using to use the bluemix platform from, uh, IBM that was supporting this kind of thing, um, disaster, because in the end it was really complicated to debug what was happening because you don't have the access go on the what's happening.
I think that that's one of the course that costed me the most in terms of, uh, frustrating time I've spent, uh, debugging lab sessions, </v>
      </c>
      <c r="D45" s="23" t="str">
        <f>IFERROR(__xludf.DUMMYFUNCTION("""COMPUTED_VALUE"""),"Using remote services is really complicated to debug because you don't have the access on the what's happening.
Debugging lab sessions are frustating.")</f>
        <v>Using remote services is really complicated to debug because you don't have the access on the what's happening.
Debugging lab sessions are frustating.</v>
      </c>
      <c r="E45" s="23" t="str">
        <f>IFERROR(__xludf.DUMMYFUNCTION("""COMPUTED_VALUE"""),"Debugging lab sessions are very difficult.")</f>
        <v>Debugging lab sessions are very difficult.</v>
      </c>
      <c r="F45" s="9" t="s">
        <v>127</v>
      </c>
      <c r="G45" s="9" t="s">
        <v>12</v>
      </c>
      <c r="H45" s="21"/>
    </row>
    <row r="46">
      <c r="A46" s="16">
        <v>88.0</v>
      </c>
      <c r="B46" s="20" t="s">
        <v>8</v>
      </c>
      <c r="C46" s="15" t="str">
        <f>IFERROR(__xludf.DUMMYFUNCTION("filter('Imported Challenges'!B:D,'Imported Challenges'!A:A=A46)"),"He grade scale was half description, half justification, and that's helped a lot, but it's always, um, qualitative in this way. It's, it's, it's really difficult to be quantitative and to have this, uh, uh, grade scale that is by the, uh, by the point.")</f>
        <v>He grade scale was half description, half justification, and that's helped a lot, but it's always, um, qualitative in this way. It's, it's, it's really difficult to be quantitative and to have this, uh, uh, grade scale that is by the, uh, by the point.</v>
      </c>
      <c r="D46" s="15" t="str">
        <f>IFERROR(__xludf.DUMMYFUNCTION("""COMPUTED_VALUE"""),"It is really difficult to quantitative grade scale on the description and the justification of case studies.")</f>
        <v>It is really difficult to quantitative grade scale on the description and the justification of case studies.</v>
      </c>
      <c r="E46" s="15"/>
      <c r="F46" s="9" t="s">
        <v>128</v>
      </c>
      <c r="G46" s="9" t="s">
        <v>29</v>
      </c>
      <c r="H46" s="21"/>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4.14"/>
    <col customWidth="1" min="2" max="2" width="24.71"/>
    <col customWidth="1" min="3" max="3" width="102.86"/>
    <col customWidth="1" min="4" max="5" width="52.0"/>
    <col customWidth="1" min="6" max="6" width="28.71"/>
    <col customWidth="1" min="7" max="7" width="33.43"/>
    <col customWidth="1" min="8" max="8" width="44.71"/>
  </cols>
  <sheetData>
    <row r="1">
      <c r="A1" s="1" t="s">
        <v>0</v>
      </c>
      <c r="B1" s="2" t="s">
        <v>1</v>
      </c>
      <c r="C1" s="3" t="s">
        <v>2</v>
      </c>
      <c r="D1" s="4" t="s">
        <v>3</v>
      </c>
      <c r="E1" s="4" t="s">
        <v>4</v>
      </c>
      <c r="F1" s="5" t="s">
        <v>5</v>
      </c>
      <c r="G1" s="6" t="s">
        <v>6</v>
      </c>
      <c r="H1" s="6" t="s">
        <v>7</v>
      </c>
    </row>
    <row r="2">
      <c r="A2" s="7">
        <v>1.0</v>
      </c>
      <c r="B2" s="8" t="s">
        <v>8</v>
      </c>
      <c r="C2" s="7" t="str">
        <f>IFERROR(__xludf.DUMMYFUNCTION("filter('Imported Challenges'!B:D,'Imported Challenges'!A:A=A2)"),"A recurrent problem is the level of students knowledge that they come when they start the discipline.
The lack of proficiency of some students in some criteria of this ends up making this practice difficult.
For those who are from infrastructure and are"&amp;" only used to accessing the server, building it with a tool like Maven, for example, can be a challenge for them.
Some people take a network course they know when IP addresses. Some people don't know what an IP address is.
Many students, even master's s"&amp;"tudents who are going through this kind of a program are probably, are we missing one or two frames of reference? A lot of students come through approaching this from the software engineering side of the house. They're learning how to build applications a"&amp;"nd that sort of thing. They have no real experience on operations and simply standing up infrastructure in the cloud is not operations, right? It's an aspect of operations. It's important piece of operations, but it's not everything you don't necessarily "&amp;"have people with the expertise in network design capacity plan, security, identity management")</f>
        <v>A recurrent problem is the level of students knowledge that they come when they start the discipline.
The lack of proficiency of some students in some criteria of this ends up making this practice difficult.
For those who are from infrastructure and are only used to accessing the server, building it with a tool like Maven, for example, can be a challenge for them.
Some people take a network course they know when IP addresses. Some people don't know what an IP address is.
Many students, even master's students who are going through this kind of a program are probably, are we missing one or two frames of reference? A lot of students come through approaching this from the software engineering side of the house. They're learning how to build applications and that sort of thing. They have no real experience on operations and simply standing up infrastructure in the cloud is not operations, right? It's an aspect of operations. It's important piece of operations, but it's not everything you don't necessarily have people with the expertise in network design capacity plan, security, identity management</v>
      </c>
      <c r="D2" s="7" t="str">
        <f>IFERROR(__xludf.DUMMYFUNCTION("""COMPUTED_VALUE"""),"Insufficient knowledge level of students to start the course.
Students' previous lack of knowledge makes learning difficult.
It is challenging for students with an operating background to carry out software development activities, such as generating a b"&amp;"uild with the maven tool.
Students who came from the area of ​​software engineering lack experience in operational activities.
Some students don't know network concepts.")</f>
        <v>Insufficient knowledge level of students to start the course.
Students' previous lack of knowledge makes learning difficult.
It is challenging for students with an operating background to carry out software development activities, such as generating a build with the maven tool.
Students who came from the area of ​​software engineering lack experience in operational activities.
Some students don't know network concepts.</v>
      </c>
      <c r="E2" s="7" t="str">
        <f>IFERROR(__xludf.DUMMYFUNCTION("""COMPUTED_VALUE"""),"Insufficient knowledge level of students to start the course.")</f>
        <v>Insufficient knowledge level of students to start the course.</v>
      </c>
      <c r="F2" s="9" t="s">
        <v>9</v>
      </c>
      <c r="G2" s="9" t="s">
        <v>10</v>
      </c>
      <c r="H2" s="25"/>
    </row>
    <row r="3" ht="69.75" customHeight="1">
      <c r="A3" s="8">
        <v>2.0</v>
      </c>
      <c r="B3" s="8" t="s">
        <v>8</v>
      </c>
      <c r="C3" s="7" t="str">
        <f>IFERROR(__xludf.DUMMYFUNCTION("filter('Imported Challenges'!B:D,'Imported Challenges'!A:A=A3)"),"To configure a environment needed to start.
I had difficulty setting up the infrastructure.
If you want a kind of hybrid discipline, in which you have the theory and applied practice, then the challenge will be different, then it ranges from having an e"&amp;"nvironment for it to structuring the environment, or thinking about something like that, to making a virtual machine available.
We've tried to let the students, uh, deal with the setup and, uh, install everything on their computer with Dockerizing stuff "&amp;"and scan things. And that was yet another disaster because then it's not reproducible and it works on their computer, but then it's really complicated to make it work on the TA.")</f>
        <v>To configure a environment needed to start.
I had difficulty setting up the infrastructure.
If you want a kind of hybrid discipline, in which you have the theory and applied practice, then the challenge will be different, then it ranges from having an environment for it to structuring the environment, or thinking about something like that, to making a virtual machine available.
We've tried to let the students, uh, deal with the setup and, uh, install everything on their computer with Dockerizing stuff and scan things. And that was yet another disaster because then it's not reproducible and it works on their computer, but then it's really complicated to make it work on the TA.</v>
      </c>
      <c r="D3" s="8" t="str">
        <f>IFERROR(__xludf.DUMMYFUNCTION("""COMPUTED_VALUE"""),"Difficulty configuring and setting up the infrastructure needed to run DevOps experiments.
Difficulty in setting up the infrastructure.
Be concerned about the infrastructure used in the student's environment.
If you let the students deal with the envir"&amp;"onment setup on their computers, it will become not reproducible and complicated to make it work even with the teacher assistant.")</f>
        <v>Difficulty configuring and setting up the infrastructure needed to run DevOps experiments.
Difficulty in setting up the infrastructure.
Be concerned about the infrastructure used in the student's environment.
If you let the students deal with the environment setup on their computers, it will become not reproducible and complicated to make it work even with the teacher assistant.</v>
      </c>
      <c r="E3" s="8" t="str">
        <f>IFERROR(__xludf.DUMMYFUNCTION("""COMPUTED_VALUE"""),"Setting up the infrastructure is difficulty.")</f>
        <v>Setting up the infrastructure is difficulty.</v>
      </c>
      <c r="F3" s="9" t="s">
        <v>11</v>
      </c>
      <c r="G3" s="9" t="s">
        <v>12</v>
      </c>
      <c r="H3" s="25"/>
    </row>
    <row r="4" ht="115.5" customHeight="1">
      <c r="A4" s="8">
        <v>3.0</v>
      </c>
      <c r="B4" s="8" t="s">
        <v>8</v>
      </c>
      <c r="C4" s="7" t="str">
        <f>IFERROR(__xludf.DUMMYFUNCTION("filter('Imported Challenges'!B:D,'Imported Challenges'!A:A=A4)"),"In many times, a professor would need computational resources to teach specific concepts [...] to configure real scenarios as much as possible.
Many times, you do not have access to computer resources to set up scenarios that you can actually teach labs "&amp;"or do, there, labs for students to learn.
Student machine capacity restriction.
We depend on the internet, I will give you a straightforward example, you will use the virtual machine, no matter how much you use Vagrant, for example, it needs to download"&amp;" a base image. And depending on the student's location, it takes two minutes and up to two hours.
If you're the things and they've launch, you know, Docker and Jenkins, that's it or JDK, that's it. There's no memory left. Um, so is the environment set up"&amp;" is hard. ")</f>
        <v>In many times, a professor would need computational resources to teach specific concepts [...] to configure real scenarios as much as possible.
Many times, you do not have access to computer resources to set up scenarios that you can actually teach labs or do, there, labs for students to learn.
Student machine capacity restriction.
We depend on the internet, I will give you a straightforward example, you will use the virtual machine, no matter how much you use Vagrant, for example, it needs to download a base image. And depending on the student's location, it takes two minutes and up to two hours.
If you're the things and they've launch, you know, Docker and Jenkins, that's it or JDK, that's it. There's no memory left. Um, so is the environment set up is hard. </v>
      </c>
      <c r="D4" s="8" t="str">
        <f>IFERROR(__xludf.DUMMYFUNCTION("""COMPUTED_VALUE"""),"Few computational resources for setting up scenarios close to real ones.
Lack of computer resources for teaching the class.
Students may have learning difficulties due to their machine's capacity constraints.
Students may have limited internet access. "&amp;"It difficults activities such as downloading OS images to virtual machines.
Local environment set up is hard because it needs lots of hardware.")</f>
        <v>Few computational resources for setting up scenarios close to real ones.
Lack of computer resources for teaching the class.
Students may have learning difficulties due to their machine's capacity constraints.
Students may have limited internet access. It difficults activities such as downloading OS images to virtual machines.
Local environment set up is hard because it needs lots of hardware.</v>
      </c>
      <c r="E4" s="8" t="str">
        <f>IFERROR(__xludf.DUMMYFUNCTION("""COMPUTED_VALUE"""),"Limited computional resources.")</f>
        <v>Limited computional resources.</v>
      </c>
      <c r="F4" s="9" t="s">
        <v>13</v>
      </c>
      <c r="G4" s="9" t="s">
        <v>12</v>
      </c>
      <c r="H4" s="9"/>
    </row>
    <row r="5" ht="115.5" customHeight="1">
      <c r="A5" s="7">
        <v>4.0</v>
      </c>
      <c r="B5" s="8" t="s">
        <v>8</v>
      </c>
      <c r="C5" s="7" t="str">
        <f>IFERROR(__xludf.DUMMYFUNCTION("filter('Imported Challenges'!B:D,'Imported Challenges'!A:A=A5)"),"Some datasets as Azure from Microsoft, which the federal institute has a partnership has limited trial time to test, and it is necessary to have a credit card and other related things which sometimes the students do not have.
There is no account, like, t"&amp;"he teacher that he can make available, and there are resources for what students learn to set up these scenarios, right? Neither a local datacenter nor one of these commercials, many times it is not, it does not have all the possibilities you could use, a"&amp;"t least not, without being linked to an agreement or something like that.
If you are going to make this CI in the cloud commercially, you will have to pay. It is not free. Free here just for us to play, right? However, if you want to put your company's s"&amp;"ystem to do, I don't know how many integrations per week, you will have to pay for it.
Mean, captive of their platform and you also have to sign with your blood and agreements that you're doing it for academic purposes and those kind of things, because I"&amp;"BM can be quite aggressive with their partnership, um, policies. So except that I had to sign something that was a little bit too much from my perspective, this kind of tooling was good.")</f>
        <v>Some datasets as Azure from Microsoft, which the federal institute has a partnership has limited trial time to test, and it is necessary to have a credit card and other related things which sometimes the students do not have.
There is no account, like, the teacher that he can make available, and there are resources for what students learn to set up these scenarios, right? Neither a local datacenter nor one of these commercials, many times it is not, it does not have all the possibilities you could use, at least not, without being linked to an agreement or something like that.
If you are going to make this CI in the cloud commercially, you will have to pay. It is not free. Free here just for us to play, right? However, if you want to put your company's system to do, I don't know how many integrations per week, you will have to pay for it.
Mean, captive of their platform and you also have to sign with your blood and agreements that you're doing it for academic purposes and those kind of things, because IBM can be quite aggressive with their partnership, um, policies. So except that I had to sign something that was a little bit too much from my perspective, this kind of tooling was good.</v>
      </c>
      <c r="D5" s="7" t="str">
        <f>IFERROR(__xludf.DUMMYFUNCTION("""COMPUTED_VALUE"""),"Even through educational partnerships, using private cloud providers by students could be limited.
In public clouds, teacher use of student resource management is not widely available.
Using cloud services more professionally requires payment at a comme"&amp;"rcial level.
Cloud providers can have aggressive policies in the agreements for academic purposes.")</f>
        <v>Even through educational partnerships, using private cloud providers by students could be limited.
In public clouds, teacher use of student resource management is not widely available.
Using cloud services more professionally requires payment at a commercial level.
Cloud providers can have aggressive policies in the agreements for academic purposes.</v>
      </c>
      <c r="E5" s="7" t="str">
        <f>IFERROR(__xludf.DUMMYFUNCTION("""COMPUTED_VALUE"""),"Cloud providers usage has limits.")</f>
        <v>Cloud providers usage has limits.</v>
      </c>
      <c r="F5" s="9" t="s">
        <v>14</v>
      </c>
      <c r="G5" s="9" t="s">
        <v>12</v>
      </c>
      <c r="H5" s="9"/>
    </row>
    <row r="6" ht="123.75" customHeight="1">
      <c r="A6" s="8">
        <v>6.0</v>
      </c>
      <c r="B6" s="8" t="s">
        <v>8</v>
      </c>
      <c r="C6" s="7" t="str">
        <f>IFERROR(__xludf.DUMMYFUNCTION("filter('Imported Challenges'!B:D,'Imported Challenges'!A:A=A6)"),"There is no accepted taxonomy of what the concepts of DevOps are.
There's a lack of frame of reference on even what operations is. Most people get into operations, at least in my experience sort of accidentally.
 How to express concept, formalize them. "&amp;"But at the same time also focus on those issues that are getting in the way, the non-industrial way of, you know, writing scripts that if you want to industrialize them and they become Bulletproof, it's a mess, right? It's difficult.")</f>
        <v>There is no accepted taxonomy of what the concepts of DevOps are.
There's a lack of frame of reference on even what operations is. Most people get into operations, at least in my experience sort of accidentally.
 How to express concept, formalize them. But at the same time also focus on those issues that are getting in the way, the non-industrial way of, you know, writing scripts that if you want to industrialize them and they become Bulletproof, it's a mess, right? It's difficult.</v>
      </c>
      <c r="D6" s="26" t="str">
        <f>IFERROR(__xludf.DUMMYFUNCTION("""COMPUTED_VALUE"""),"There is no taxonomy about what are the main DevOps concepts.
There's a lack of reference on operations concepts.
It is difficult to express and formalize DevOps concepts. There is not bulletproof in devops.")</f>
        <v>There is no taxonomy about what are the main DevOps concepts.
There's a lack of reference on operations concepts.
It is difficult to express and formalize DevOps concepts. There is not bulletproof in devops.</v>
      </c>
      <c r="E6" s="26" t="str">
        <f>IFERROR(__xludf.DUMMYFUNCTION("""COMPUTED_VALUE"""),"There is no convention about DevOps concepts.")</f>
        <v>There is no convention about DevOps concepts.</v>
      </c>
      <c r="F6" s="9" t="s">
        <v>15</v>
      </c>
      <c r="G6" s="9" t="s">
        <v>16</v>
      </c>
      <c r="H6" s="19"/>
    </row>
    <row r="7" ht="221.25" customHeight="1">
      <c r="A7" s="7">
        <v>7.0</v>
      </c>
      <c r="B7" s="8" t="s">
        <v>8</v>
      </c>
      <c r="C7" s="7" t="str">
        <f>IFERROR(__xludf.DUMMYFUNCTION("filter('Imported Challenges'!B:D,'Imported Challenges'!A:A=A7)"),"I don't know any specific teaching devops tool.")</f>
        <v>I don't know any specific teaching devops tool.</v>
      </c>
      <c r="D7" s="7" t="str">
        <f>IFERROR(__xludf.DUMMYFUNCTION("""COMPUTED_VALUE"""),"Unknown specific devops educational supportive environment.")</f>
        <v>Unknown specific devops educational supportive environment.</v>
      </c>
      <c r="E7" s="7"/>
      <c r="F7" s="9" t="s">
        <v>17</v>
      </c>
      <c r="G7" s="9" t="s">
        <v>18</v>
      </c>
      <c r="H7" s="9"/>
    </row>
    <row r="8">
      <c r="A8" s="8">
        <v>8.0</v>
      </c>
      <c r="B8" s="8" t="s">
        <v>8</v>
      </c>
      <c r="C8" s="7" t="str">
        <f>IFERROR(__xludf.DUMMYFUNCTION("filter('Imported Challenges'!B:D,'Imported Challenges'!A:A=A8)"),"We sometimes want to teach everything and we don't have infinite time[...] to fit the knowledge of DevOps, which is very broad knowledge and involves at least two distinct areas[...]
Making it fit was more difficult because sometimes the content is too l"&amp;"ong and time is limited.
The challenge in this aspect refers to [..] the issue of laboratories [...], but you always end up as a matter of time versus class development.
When I taught the DevOps course in my master's, it was DevOps from beginning to end"&amp;", right? So I had to decide everything that was going to go into the content. There is a lot that was left out.
This area of ​​DevOps is gigantic too. So training is limited there. It is a forty-hour training, right?
My biggest challenge is that my cour"&amp;"se should be two semesters because it's just too much stuff to fit in one semester. [...] the challenge there is I had to put together a curriculum that had, um, a little bit about everything. [...] So it's challenging fitting all that stuff into one seme"&amp;"ster.
   There's lots and lots of information, which is why I give them lots of support during the week on slack. Um, but there's lots of information to cover. And because it's so challenging, I don't get to cover a lot of once you deploy it, how do you "&amp;"monitor it? Uh, right. And, and, and how do you, how do you, you know, go through the logs? And I mean, we do a little bit of looking at the logs when we deploy it to figure out if it's working, but I don't do a lot of the ops side of DevOps.
And in term"&amp;"s of operation, a lot of the stuff that we tend to do at university tends to be fairly small because there's just realistic time constraints for how much people can get done in a week or two, or even in a term or a semester. ...  that I've found is a litt"&amp;"le bit of misconception or at least prejudice around what devops actually is.
Because in though in the ops part, and this is the stuff I typically don't have as much time for simply because I know most of the students are coming from the software develop"&amp;"ment side of the house.
That's exactly. That's a lot for one semester.
I introduced the concept of them speaking about continuous integration, continuous, and delivery and continuous deployment. But, uh, in, in practice doing the remaining stage in the "&amp;"lab is very challenging because we don't have enough time because it's three months.")</f>
        <v>We sometimes want to teach everything and we don't have infinite time[...] to fit the knowledge of DevOps, which is very broad knowledge and involves at least two distinct areas[...]
Making it fit was more difficult because sometimes the content is too long and time is limited.
The challenge in this aspect refers to [..] the issue of laboratories [...], but you always end up as a matter of time versus class development.
When I taught the DevOps course in my master's, it was DevOps from beginning to end, right? So I had to decide everything that was going to go into the content. There is a lot that was left out.
This area of ​​DevOps is gigantic too. So training is limited there. It is a forty-hour training, right?
My biggest challenge is that my course should be two semesters because it's just too much stuff to fit in one semester. [...] the challenge there is I had to put together a curriculum that had, um, a little bit about everything. [...] So it's challenging fitting all that stuff into one semester.
   There's lots and lots of information, which is why I give them lots of support during the week on slack. Um, but there's lots of information to cover. And because it's so challenging, I don't get to cover a lot of once you deploy it, how do you monitor it? Uh, right. And, and, and how do you, how do you, you know, go through the logs? And I mean, we do a little bit of looking at the logs when we deploy it to figure out if it's working, but I don't do a lot of the ops side of DevOps.
And in terms of operation, a lot of the stuff that we tend to do at university tends to be fairly small because there's just realistic time constraints for how much people can get done in a week or two, or even in a term or a semester. ...  that I've found is a little bit of misconception or at least prejudice around what devops actually is.
Because in though in the ops part, and this is the stuff I typically don't have as much time for simply because I know most of the students are coming from the software development side of the house.
That's exactly. That's a lot for one semester.
I introduced the concept of them speaking about continuous integration, continuous, and delivery and continuous deployment. But, uh, in, in practice doing the remaining stage in the lab is very challenging because we don't have enough time because it's three months.</v>
      </c>
      <c r="D8" s="8" t="str">
        <f>IFERROR(__xludf.DUMMYFUNCTION("""COMPUTED_VALUE"""),"Insufficient time to address extensive DevOps knowledge in a limited-hour curriculum.
Insufficient time to address extensive DevOps knowledge in a limited-hour curriculum.
Limitation of the development of laboratory practices in class due to the short t"&amp;"ime.
There is a limited amount of time to teach the devops content.
Lots of DevOps content to teach with little time available (40 hours).
DevOps has too much contents and it's hard to fit it in a semester.
No time to teach operations side.
Realistic"&amp;" time constraints prejudice around what devops actually is.
In devops course with dev and ops together, ops part are not touched because dev parts take a lot of time.
One semester is insufficient time to teach DevOps.
Labs of continuous integration and"&amp;" continous delivery are challeging because there is not enough time in three months.")</f>
        <v>Insufficient time to address extensive DevOps knowledge in a limited-hour curriculum.
Insufficient time to address extensive DevOps knowledge in a limited-hour curriculum.
Limitation of the development of laboratory practices in class due to the short time.
There is a limited amount of time to teach the devops content.
Lots of DevOps content to teach with little time available (40 hours).
DevOps has too much contents and it's hard to fit it in a semester.
No time to teach operations side.
Realistic time constraints prejudice around what devops actually is.
In devops course with dev and ops together, ops part are not touched because dev parts take a lot of time.
One semester is insufficient time to teach DevOps.
Labs of continuous integration and continous delivery are challeging because there is not enough time in three months.</v>
      </c>
      <c r="E8" s="8" t="str">
        <f>IFERROR(__xludf.DUMMYFUNCTION("""COMPUTED_VALUE"""),"Insufficient time in the course to teach DevOps.")</f>
        <v>Insufficient time in the course to teach DevOps.</v>
      </c>
      <c r="F8" s="9" t="s">
        <v>19</v>
      </c>
      <c r="G8" s="9" t="s">
        <v>10</v>
      </c>
      <c r="H8" s="6"/>
    </row>
    <row r="9">
      <c r="A9" s="8">
        <v>9.0</v>
      </c>
      <c r="B9" s="8" t="s">
        <v>8</v>
      </c>
      <c r="C9" s="7" t="str">
        <f>IFERROR(__xludf.DUMMYFUNCTION("filter('Imported Challenges'!B:D,'Imported Challenges'!A:A=A9)"),"[...] I couldn't set up a DevOps environment due to restrictions even with administrative authorization.
 That simply wasn't a possibility and computer labs are not equipped for that sort of a thing because of necessity. Universities have to lock down th"&amp;"eir software and hardware to keep really bad things from happening.
You have the machines where you deploy to. Um, and quite often the students are in the same classroom on the wifi of the universities or the under the sub network, but the ports are not "&amp;"open [...] you need a lot of machines interconnected, um, with visibility on each other that they can get to. And that's hard in a, in a, in a classroom environment this year I had 78 students.
All of those challenges are basically how do you rebuild an "&amp;"enterprise environment into a university environment that is much more restrictive and doesn't have enough machines for them. Usually that's a real challenge.
")</f>
        <v>[...] I couldn't set up a DevOps environment due to restrictions even with administrative authorization.
 That simply wasn't a possibility and computer labs are not equipped for that sort of a thing because of necessity. Universities have to lock down their software and hardware to keep really bad things from happening.
You have the machines where you deploy to. Um, and quite often the students are in the same classroom on the wifi of the universities or the under the sub network, but the ports are not open [...] you need a lot of machines interconnected, um, with visibility on each other that they can get to. And that's hard in a, in a, in a classroom environment this year I had 78 students.
All of those challenges are basically how do you rebuild an enterprise environment into a university environment that is much more restrictive and doesn't have enough machines for them. Usually that's a real challenge.
</v>
      </c>
      <c r="D9" s="8" t="str">
        <f>IFERROR(__xludf.DUMMYFUNCTION("""COMPUTED_VALUE"""),"Difficulty in getting authorization and lab resources from the institution to install tools in order to setup a DevOps environment.
University labs have restrictions on installing tools.
The academy has network limitations to create near-real infrastruc"&amp;"ture.
It is difficult to build an enterprise environment into a university environment that is much more restrictive and doesn't have enough machines for them.")</f>
        <v>Difficulty in getting authorization and lab resources from the institution to install tools in order to setup a DevOps environment.
University labs have restrictions on installing tools.
The academy has network limitations to create near-real infrastructure.
It is difficult to build an enterprise environment into a university environment that is much more restrictive and doesn't have enough machines for them.</v>
      </c>
      <c r="E9" s="8" t="str">
        <f>IFERROR(__xludf.DUMMYFUNCTION("""COMPUTED_VALUE"""),"Institutions' resources have limits.")</f>
        <v>Institutions' resources have limits.</v>
      </c>
      <c r="F9" s="9" t="s">
        <v>20</v>
      </c>
      <c r="G9" s="9" t="s">
        <v>12</v>
      </c>
      <c r="H9" s="9"/>
    </row>
    <row r="10" ht="134.25" customHeight="1">
      <c r="A10" s="7">
        <v>10.0</v>
      </c>
      <c r="B10" s="8" t="s">
        <v>8</v>
      </c>
      <c r="C10" s="7" t="str">
        <f>IFERROR(__xludf.DUMMYFUNCTION("filter('Imported Challenges'!B:D,'Imported Challenges'!A:A=A10)"),"
There wasn't a tool to configure the environment [...] or to automate these environments then [..] since it became manual.")</f>
        <v>
There wasn't a tool to configure the environment [...] or to automate these environments then [..] since it became manual.</v>
      </c>
      <c r="D10" s="7" t="str">
        <f>IFERROR(__xludf.DUMMYFUNCTION("""COMPUTED_VALUE"""),"There was no automated environment setup tool to support the student.")</f>
        <v>There was no automated environment setup tool to support the student.</v>
      </c>
      <c r="E10" s="7"/>
      <c r="F10" s="9" t="s">
        <v>21</v>
      </c>
      <c r="G10" s="9" t="s">
        <v>12</v>
      </c>
      <c r="H10" s="9"/>
    </row>
    <row r="11">
      <c r="A11" s="8">
        <v>11.0</v>
      </c>
      <c r="B11" s="8" t="s">
        <v>8</v>
      </c>
      <c r="C11" s="7" t="str">
        <f>IFERROR(__xludf.DUMMYFUNCTION("filter('Imported Challenges'!B:D,'Imported Challenges'!A:A=A11)"),"There wasn't a set of [...] scripts that the student should configure this environment himself, install the tool himself [...] whatever the servers he needed.")</f>
        <v>There wasn't a set of [...] scripts that the student should configure this environment himself, install the tool himself [...] whatever the servers he needed.</v>
      </c>
      <c r="D11" s="8" t="str">
        <f>IFERROR(__xludf.DUMMYFUNCTION("""COMPUTED_VALUE"""),"There was no script for the student on how to install the tools used during the course.")</f>
        <v>There was no script for the student on how to install the tools used during the course.</v>
      </c>
      <c r="E11" s="8"/>
      <c r="F11" s="9" t="s">
        <v>22</v>
      </c>
      <c r="G11" s="9" t="s">
        <v>12</v>
      </c>
      <c r="H11" s="9"/>
    </row>
    <row r="12">
      <c r="A12" s="8">
        <v>12.0</v>
      </c>
      <c r="B12" s="8" t="s">
        <v>8</v>
      </c>
      <c r="C12" s="7" t="str">
        <f>IFERROR(__xludf.DUMMYFUNCTION("filter('Imported Challenges'!B:D,'Imported Challenges'!A:A=A12)"),"There is no such literature in the area of ​​enterprise systems.
A partner editor, including the board, who brought a catalog of books for us to take a look at, and I went after it, including a book on the subject, right? From corporate systems, right, f"&amp;"rom this part of DevOps, and simply, I didn't find it in the catalog.
The even greater difficulty, which I can point out, is precisely the structuring, really, perhaps of the sequence of classes, because we do not have this material that guides.
It is a"&amp;" discipline with no definition, so there is no introductory textbook. There is not something totally agreed upon between the community of what it is, when it is applied, and such.
The course preparation is very difficult [...] there will not be that much"&amp;" paper, article because it is very new.
 And then the books are more industry oriented. Like, uh, we don't look at the, uh, uh, more with teaching parts, like, um, so there is no textbook, actually it is more industry document, eh, discussion about DevOp"&amp;"s.
 what we sit and do, but, uh, so from the lab perspective, that's interesting, but on the teaching side, as I said, like, uh, having limited material, make the teaching a little bit more difficult.
your books are written mostly with the different pro"&amp;"jects in mind. Like they are thinking about people working in the company, but not thinking about students who are learning. And this makes it very difficult to design a DevOps curriculum where you cover a hundred percent DevOps in one course.")</f>
        <v>There is no such literature in the area of ​​enterprise systems.
A partner editor, including the board, who brought a catalog of books for us to take a look at, and I went after it, including a book on the subject, right? From corporate systems, right, from this part of DevOps, and simply, I didn't find it in the catalog.
The even greater difficulty, which I can point out, is precisely the structuring, really, perhaps of the sequence of classes, because we do not have this material that guides.
It is a discipline with no definition, so there is no introductory textbook. There is not something totally agreed upon between the community of what it is, when it is applied, and such.
The course preparation is very difficult [...] there will not be that much paper, article because it is very new.
 And then the books are more industry oriented. Like, uh, we don't look at the, uh, uh, more with teaching parts, like, um, so there is no textbook, actually it is more industry document, eh, discussion about DevOps.
 what we sit and do, but, uh, so from the lab perspective, that's interesting, but on the teaching side, as I said, like, uh, having limited material, make the teaching a little bit more difficult.
your books are written mostly with the different projects in mind. Like they are thinking about people working in the company, but not thinking about students who are learning. And this makes it very difficult to design a DevOps curriculum where you cover a hundred percent DevOps in one course.</v>
      </c>
      <c r="D12" s="8" t="str">
        <f>IFERROR(__xludf.DUMMYFUNCTION("""COMPUTED_VALUE"""),"Difficulty finding book on corporate systems related to DevOps.
Literature in the area of ​​enterprise systems related to DevOps is insufficient.
Difficulty in structuring classes due to lack of reference material.
There is no fully agreed community ba"&amp;"se text.
There are not so many scientific articles on which to base course preparation.
The books are more industry oriented. There is no textbook about with discussion about DevOps concepts.
There's limited material to teach.
Books are designed to co"&amp;"mpany professionals and not about to students who are learning.")</f>
        <v>Difficulty finding book on corporate systems related to DevOps.
Literature in the area of ​​enterprise systems related to DevOps is insufficient.
Difficulty in structuring classes due to lack of reference material.
There is no fully agreed community base text.
There are not so many scientific articles on which to base course preparation.
The books are more industry oriented. There is no textbook about with discussion about DevOps concepts.
There's limited material to teach.
Books are designed to company professionals and not about to students who are learning.</v>
      </c>
      <c r="E12" s="8" t="str">
        <f>IFERROR(__xludf.DUMMYFUNCTION("""COMPUTED_VALUE"""),"Insufficient literature related to teach DevOps.")</f>
        <v>Insufficient literature related to teach DevOps.</v>
      </c>
      <c r="F12" s="9" t="s">
        <v>23</v>
      </c>
      <c r="G12" s="9" t="s">
        <v>24</v>
      </c>
      <c r="H12" s="9"/>
    </row>
    <row r="13">
      <c r="A13" s="7">
        <v>13.0</v>
      </c>
      <c r="B13" s="8" t="s">
        <v>8</v>
      </c>
      <c r="C13" s="7" t="str">
        <f>IFERROR(__xludf.DUMMYFUNCTION("filter('Imported Challenges'!B:D,'Imported Challenges'!A:A=A13)"),"Once it's deployed, how do you manage to monitor and give and maybe get feedback from the customer, maybe things to improve, the monitoring of the system itself, this part is a challenge, really, to be able to show it to the student and maybe , make him f"&amp;"ace it from a more professional perspective, because already imagining that he is going to the market and will come across these many situations there.
When they arrive, many use another environment[...] they put the system there and they don't have to w"&amp;"orry too much about other details[...] We really ask them to make this migration for them to have this other view, this aspect of setting up the environment. Putting it into production and keeping this system working.[...] I think this can be seen as a ch"&amp;"allenge, which is to convince students to give importance to this, the importance of them knowing these aspects too, not leaving it so transparent to them too.")</f>
        <v>Once it's deployed, how do you manage to monitor and give and maybe get feedback from the customer, maybe things to improve, the monitoring of the system itself, this part is a challenge, really, to be able to show it to the student and maybe , make him face it from a more professional perspective, because already imagining that he is going to the market and will come across these many situations there.
When they arrive, many use another environment[...] they put the system there and they don't have to worry too much about other details[...] We really ask them to make this migration for them to have this other view, this aspect of setting up the environment. Putting it into production and keeping this system working.[...] I think this can be seen as a challenge, which is to convince students to give importance to this, the importance of them knowing these aspects too, not leaving it so transparent to them too.</v>
      </c>
      <c r="D13" s="7" t="str">
        <f>IFERROR(__xludf.DUMMYFUNCTION("""COMPUTED_VALUE"""),"It is difficult to make the student face teaching scenarios with a more professional perspective, with production-level monitoring.
Difficulty in making clear to students the importance of having a more realistic perspective of production, using other en"&amp;"vironments and leaving aside the comfort zone in which they may be inserted.")</f>
        <v>It is difficult to make the student face teaching scenarios with a more professional perspective, with production-level monitoring.
Difficulty in making clear to students the importance of having a more realistic perspective of production, using other environments and leaving aside the comfort zone in which they may be inserted.</v>
      </c>
      <c r="E13" s="7" t="str">
        <f>IFERROR(__xludf.DUMMYFUNCTION("""COMPUTED_VALUE"""),"Difficulty in making clear to students the importance of having a more realistic perspective of production.")</f>
        <v>Difficulty in making clear to students the importance of having a more realistic perspective of production.</v>
      </c>
      <c r="F13" s="9" t="s">
        <v>25</v>
      </c>
      <c r="G13" s="9" t="s">
        <v>129</v>
      </c>
      <c r="H13" s="9"/>
    </row>
    <row r="14">
      <c r="A14" s="7">
        <v>14.0</v>
      </c>
      <c r="B14" s="8" t="s">
        <v>8</v>
      </c>
      <c r="C14" s="7" t="str">
        <f>IFERROR(__xludf.DUMMYFUNCTION("filter('Imported Challenges'!B:D,'Imported Challenges'!A:A=A14)"),"The challenge of making students see this approach to operationalization, putting the system on the air, maintaining this system, adding new features and not breaking the system.
The concept of continuous delivery [...] The difficult thing is to put it i"&amp;"nto practice [...] when they, as a team, need to release a certain functionality and ensure that it doesn't break the system.")</f>
        <v>The challenge of making students see this approach to operationalization, putting the system on the air, maintaining this system, adding new features and not breaking the system.
The concept of continuous delivery [...] The difficult thing is to put it into practice [...] when they, as a team, need to release a certain functionality and ensure that it doesn't break the system.</v>
      </c>
      <c r="D14" s="7" t="str">
        <f>IFERROR(__xludf.DUMMYFUNCTION("""COMPUTED_VALUE"""),"Difficulty in teaching the student how to operate the system, allowing the addition of new features without breaking the system.
Difficulty for students to practice the concept of Continuous Delivery when it is necessary to add new features to the system"&amp;" without the build breaking.")</f>
        <v>Difficulty in teaching the student how to operate the system, allowing the addition of new features without breaking the system.
Difficulty for students to practice the concept of Continuous Delivery when it is necessary to add new features to the system without the build breaking.</v>
      </c>
      <c r="E14" s="7" t="str">
        <f>IFERROR(__xludf.DUMMYFUNCTION("""COMPUTED_VALUE"""),"Difficulty in teaching the student how to operate the system, allowing the addition of new features without breaking the system.")</f>
        <v>Difficulty in teaching the student how to operate the system, allowing the addition of new features without breaking the system.</v>
      </c>
      <c r="F14" s="9" t="s">
        <v>26</v>
      </c>
      <c r="G14" s="9" t="s">
        <v>16</v>
      </c>
      <c r="H14" s="9"/>
    </row>
    <row r="15">
      <c r="A15" s="7">
        <v>15.0</v>
      </c>
      <c r="B15" s="8" t="s">
        <v>8</v>
      </c>
      <c r="C15" s="7" t="str">
        <f>IFERROR(__xludf.DUMMYFUNCTION("filter('Imported Challenges'!B:D,'Imported Challenges'!A:A=A15)"),"How can we see if the student is aware of the concept of continuous delivery, which is one of the concepts we address?")</f>
        <v>How can we see if the student is aware of the concept of continuous delivery, which is one of the concepts we address?</v>
      </c>
      <c r="D15" s="7" t="str">
        <f>IFERROR(__xludf.DUMMYFUNCTION("""COMPUTED_VALUE"""),"Difficulty in assessing students' understanding of Continuous Delivery.")</f>
        <v>Difficulty in assessing students' understanding of Continuous Delivery.</v>
      </c>
      <c r="E15" s="7"/>
      <c r="F15" s="9" t="s">
        <v>28</v>
      </c>
      <c r="G15" s="9" t="s">
        <v>29</v>
      </c>
      <c r="H15" s="9"/>
    </row>
    <row r="16">
      <c r="A16" s="7">
        <v>17.0</v>
      </c>
      <c r="B16" s="8" t="s">
        <v>8</v>
      </c>
      <c r="C16" s="7" t="str">
        <f>IFERROR(__xludf.DUMMYFUNCTION("filter('Imported Challenges'!B:D,'Imported Challenges'!A:A=A16)"),"the docker, [...] to use, they usually have a greater difficulty in this theme, in the beginning.")</f>
        <v>the docker, [...] to use, they usually have a greater difficulty in this theme, in the beginning.</v>
      </c>
      <c r="D16" s="7" t="str">
        <f>IFERROR(__xludf.DUMMYFUNCTION("""COMPUTED_VALUE"""),"Initial difficulty using the Docker container tool.")</f>
        <v>Initial difficulty using the Docker container tool.</v>
      </c>
      <c r="E16" s="7"/>
      <c r="F16" s="9" t="s">
        <v>130</v>
      </c>
      <c r="G16" s="9" t="s">
        <v>18</v>
      </c>
      <c r="H16" s="9"/>
    </row>
    <row r="17">
      <c r="A17" s="16">
        <v>25.0</v>
      </c>
      <c r="B17" s="20" t="s">
        <v>8</v>
      </c>
      <c r="C17" s="7" t="str">
        <f>IFERROR(__xludf.DUMMYFUNCTION("filter('Imported Challenges'!B:D,'Imported Challenges'!A:A=A17)"),"The main challenge is to correctly convey to students the idea that DevOps is about a culture.
It is the cultural challenge of I am not going to deliver a ready-made recipe.
How to apply these things from Devops in companies [...] there is a great diffi"&amp;"culty that is cultural. Companies have always organized themselves in this way, separating movement from infrastructure, not having collaboration, not having communication, and this ends up generating friction, especially when problems arise [...] go on c"&amp;"hanging a little the company's culture, the process, the way people organize themselves, meet, and such, trying to remove the barriers there until it is natural and both teams work together [...] with a single goal, which is to develop, deliver software t"&amp;"hat works and solve problems as quickly as possible.
Trying to contextualize this too is very difficult.
Culture is difficult to teach.")</f>
        <v>The main challenge is to correctly convey to students the idea that DevOps is about a culture.
It is the cultural challenge of I am not going to deliver a ready-made recipe.
How to apply these things from Devops in companies [...] there is a great difficulty that is cultural. Companies have always organized themselves in this way, separating movement from infrastructure, not having collaboration, not having communication, and this ends up generating friction, especially when problems arise [...] go on changing a little the company's culture, the process, the way people organize themselves, meet, and such, trying to remove the barriers there until it is natural and both teams work together [...] with a single goal, which is to develop, deliver software that works and solve problems as quickly as possible.
Trying to contextualize this too is very difficult.
Culture is difficult to teach.</v>
      </c>
      <c r="D17" s="14" t="str">
        <f>IFERROR(__xludf.DUMMYFUNCTION("""COMPUTED_VALUE"""),"Difficulty to teach the DevOps culture.
There is no ready-made recipe to teach the DevOps mindset (culture).
Difficulty breaking through resistance to the DevOps culture and its principles.
Difficulty contextualizing the DevOps culture.
Culture is dif"&amp;"ficult to teach.")</f>
        <v>Difficulty to teach the DevOps culture.
There is no ready-made recipe to teach the DevOps mindset (culture).
Difficulty breaking through resistance to the DevOps culture and its principles.
Difficulty contextualizing the DevOps culture.
Culture is difficult to teach.</v>
      </c>
      <c r="E17" s="14" t="str">
        <f>IFERROR(__xludf.DUMMYFUNCTION("""COMPUTED_VALUE"""),"DevOps culture is hard to teach. ")</f>
        <v>DevOps culture is hard to teach. </v>
      </c>
      <c r="F17" s="9" t="s">
        <v>131</v>
      </c>
      <c r="G17" s="9" t="s">
        <v>16</v>
      </c>
      <c r="H17" s="21"/>
    </row>
    <row r="18">
      <c r="A18" s="16">
        <v>26.0</v>
      </c>
      <c r="B18" s="20" t="s">
        <v>8</v>
      </c>
      <c r="C18" s="7" t="str">
        <f>IFERROR(__xludf.DUMMYFUNCTION("filter('Imported Challenges'!B:D,'Imported Challenges'!A:A=A18)"),"The student hopes to [...] learn that killer tool, which will help in the practical context of his life, whether in the process of development, security or operations. [...] wants to know the tools much more than understand the DevOps culture.
The first "&amp;"challenge is to decouple the idea that about DevOps [...] to deliver a formula.
The students arrive with the idea that they have a set of X tools to deliver in their daily lives and tools only a piece and a small piece within the delivery process, which "&amp;"is more cultural and more personal than tooling, huh? Organizational even, I would say.
It is to set expectations when he signs up that the entire course is not tooling and that no, we will not use the best stacks in the market.
Give this view that DevO"&amp;"ps is not just a tool [...] It is very much in line with agile movement.
Trying to show that DevOps is not just tools, trying to make people understand this and trying to change it during the class, so trying as best as possible to make people understand"&amp;", right? That they will end up having to change the culture of the environment, right? The processes, the way they organize themselves.
 People coming through the programs want to play with technology. ... But what that tends to foster is a technology ce"&amp;"ntric attitude about what devops is all about. ... That's half the reason we got into this field in the first place, and it's a really fun thing to be able to do, but it's not sufficient.
There's a big focus on tools.
DevOps doesn't equal CI/CD and DevO"&amp;"ps doesn't equal automate the testing.
Let's say political challenge that you have to convince in a way that DevOps is not purely technical and that it's must be part of an academy curriculum.")</f>
        <v>The student hopes to [...] learn that killer tool, which will help in the practical context of his life, whether in the process of development, security or operations. [...] wants to know the tools much more than understand the DevOps culture.
The first challenge is to decouple the idea that about DevOps [...] to deliver a formula.
The students arrive with the idea that they have a set of X tools to deliver in their daily lives and tools only a piece and a small piece within the delivery process, which is more cultural and more personal than tooling, huh? Organizational even, I would say.
It is to set expectations when he signs up that the entire course is not tooling and that no, we will not use the best stacks in the market.
Give this view that DevOps is not just a tool [...] It is very much in line with agile movement.
Trying to show that DevOps is not just tools, trying to make people understand this and trying to change it during the class, so trying as best as possible to make people understand, right? That they will end up having to change the culture of the environment, right? The processes, the way they organize themselves.
 People coming through the programs want to play with technology. ... But what that tends to foster is a technology centric attitude about what devops is all about. ... That's half the reason we got into this field in the first place, and it's a really fun thing to be able to do, but it's not sufficient.
There's a big focus on tools.
DevOps doesn't equal CI/CD and DevOps doesn't equal automate the testing.
Let's say political challenge that you have to convince in a way that DevOps is not purely technical and that it's must be part of an academy curriculum.</v>
      </c>
      <c r="D18" s="13" t="str">
        <f>IFERROR(__xludf.DUMMYFUNCTION("""COMPUTED_VALUE"""),"Students have a prior concept that DevOps is restricted to the use of tools, not being interested in the cultural part of DevOps.
Difficulty explaining to students that DevOps is not just about tools.
Difficulty in explaining to students that DevOps is "&amp;"not just tooling, it encompasses the cultural part.
Difficulty adjusting students' expectations, as most of them just want to use new tools.
Difficulty in being able to explain to the student that DevOps does not involve only the tooling part.
Difficul"&amp;"ty breaking the student perspective that DevOps is just tools and automation.
Students came to course focused in the tools.
So many people only focus on the tools side from DevOps.
DevOps is not only CI/CD and automation.
Convince people that DevOps i"&amp;"s not purely technical and it must be part of an academy curriculum.")</f>
        <v>Students have a prior concept that DevOps is restricted to the use of tools, not being interested in the cultural part of DevOps.
Difficulty explaining to students that DevOps is not just about tools.
Difficulty in explaining to students that DevOps is not just tooling, it encompasses the cultural part.
Difficulty adjusting students' expectations, as most of them just want to use new tools.
Difficulty in being able to explain to the student that DevOps does not involve only the tooling part.
Difficulty breaking the student perspective that DevOps is just tools and automation.
Students came to course focused in the tools.
So many people only focus on the tools side from DevOps.
DevOps is not only CI/CD and automation.
Convince people that DevOps is not purely technical and it must be part of an academy curriculum.</v>
      </c>
      <c r="E18" s="13" t="str">
        <f>IFERROR(__xludf.DUMMYFUNCTION("""COMPUTED_VALUE"""),"It's hard to show to students that DevOps is not all about tooling.")</f>
        <v>It's hard to show to students that DevOps is not all about tooling.</v>
      </c>
      <c r="F18" s="9" t="s">
        <v>86</v>
      </c>
      <c r="G18" s="9" t="s">
        <v>16</v>
      </c>
      <c r="H18" s="21"/>
    </row>
    <row r="19">
      <c r="A19" s="16">
        <v>28.0</v>
      </c>
      <c r="B19" s="20" t="s">
        <v>8</v>
      </c>
      <c r="C19" s="7" t="str">
        <f>IFERROR(__xludf.DUMMYFUNCTION("filter('Imported Challenges'!B:D,'Imported Challenges'!A:A=A19)"),"[...] in many cases the assessment is still based on the traditional test model or on some fixed assessment process, with an X list of questions or something similar.")</f>
        <v>[...] in many cases the assessment is still based on the traditional test model or on some fixed assessment process, with an X list of questions or something similar.</v>
      </c>
      <c r="D19" s="13" t="str">
        <f>IFERROR(__xludf.DUMMYFUNCTION("""COMPUTED_VALUE"""),"Difficulty dealing with assessments based on a traditional test model.")</f>
        <v>Difficulty dealing with assessments based on a traditional test model.</v>
      </c>
      <c r="E19" s="13"/>
      <c r="F19" s="9" t="s">
        <v>132</v>
      </c>
      <c r="G19" s="9" t="s">
        <v>29</v>
      </c>
      <c r="H19" s="21"/>
    </row>
    <row r="20">
      <c r="A20" s="16">
        <v>29.0</v>
      </c>
      <c r="B20" s="20" t="s">
        <v>8</v>
      </c>
      <c r="C20" s="7" t="str">
        <f>IFERROR(__xludf.DUMMYFUNCTION("filter('Imported Challenges'!B:D,'Imported Challenges'!A:A=A20)"),"The DevOps concept, it's very open, right, it encompasses different areas between development, security and operations.
You cannot teach DevOps without experiencing DevOps, right? You cannot read in a book and want to teach DevOps because DevOps is a ver"&amp;"y practical discipline. There is a lot that happens in practice. So, there is a lot of doubt, from concepts, about Kubernetes configuration error, for example. So, these are things that we have to deal with [...] So, venturing out to teach DevOps, parachu"&amp;"ting, that is a big challenge because the level of knowledge you will have to collect for this is quite diverse and multidisciplinary.")</f>
        <v>The DevOps concept, it's very open, right, it encompasses different areas between development, security and operations.
You cannot teach DevOps without experiencing DevOps, right? You cannot read in a book and want to teach DevOps because DevOps is a very practical discipline. There is a lot that happens in practice. So, there is a lot of doubt, from concepts, about Kubernetes configuration error, for example. So, these are things that we have to deal with [...] So, venturing out to teach DevOps, parachuting, that is a big challenge because the level of knowledge you will have to collect for this is quite diverse and multidisciplinary.</v>
      </c>
      <c r="D20" s="13" t="str">
        <f>IFERROR(__xludf.DUMMYFUNCTION("""COMPUTED_VALUE"""),"The teaching of devops is multidisciplinary, covering different areas such as development, safety and operation.
There is a very diverse and multidisciplinary knowledge in teaching DevOps.")</f>
        <v>The teaching of devops is multidisciplinary, covering different areas such as development, safety and operation.
There is a very diverse and multidisciplinary knowledge in teaching DevOps.</v>
      </c>
      <c r="E20" s="13" t="str">
        <f>IFERROR(__xludf.DUMMYFUNCTION("""COMPUTED_VALUE"""),"The multidiscuplinary of DevOps is hard to deal with.")</f>
        <v>The multidiscuplinary of DevOps is hard to deal with.</v>
      </c>
      <c r="F20" s="9" t="s">
        <v>88</v>
      </c>
      <c r="G20" s="9" t="s">
        <v>10</v>
      </c>
      <c r="H20" s="21"/>
    </row>
    <row r="21">
      <c r="A21" s="16">
        <v>31.0</v>
      </c>
      <c r="B21" s="20" t="s">
        <v>8</v>
      </c>
      <c r="C21" s="7" t="str">
        <f>IFERROR(__xludf.DUMMYFUNCTION("filter('Imported Challenges'!B:D,'Imported Challenges'!A:A=A21)"),"DevSecOps [...] is the type of discipline that requires strong knowledge in two areas, both distinct, in the security area, but at the same time in the development area to be able to find the link between the two and then yes, get to what the student.
Th"&amp;"e second point that the second challenge would be [...] skills.  I'm working on software engineering and I'm working on how to build software since the gate.")</f>
        <v>DevSecOps [...] is the type of discipline that requires strong knowledge in two areas, both distinct, in the security area, but at the same time in the development area to be able to find the link between the two and then yes, get to what the student.
The second point that the second challenge would be [...] skills.  I'm working on software engineering and I'm working on how to build software since the gate.</v>
      </c>
      <c r="D21" s="13" t="str">
        <f>IFERROR(__xludf.DUMMYFUNCTION("""COMPUTED_VALUE"""),"The teacher needs good technical knowledge in the areas of security (especially vulnerability management) and systems development to teach DevSecOps.
Skills to teach DevOps are challeging.")</f>
        <v>The teacher needs good technical knowledge in the areas of security (especially vulnerability management) and systems development to teach DevSecOps.
Skills to teach DevOps are challeging.</v>
      </c>
      <c r="E21" s="13" t="str">
        <f>IFERROR(__xludf.DUMMYFUNCTION("""COMPUTED_VALUE"""),"Skills to teach DevOps are challeging.")</f>
        <v>Skills to teach DevOps are challeging.</v>
      </c>
      <c r="F21" s="9" t="s">
        <v>133</v>
      </c>
      <c r="G21" s="9" t="s">
        <v>24</v>
      </c>
      <c r="H21" s="21"/>
    </row>
    <row r="22">
      <c r="A22" s="16">
        <v>32.0</v>
      </c>
      <c r="B22" s="20" t="s">
        <v>8</v>
      </c>
      <c r="C22" s="7" t="str">
        <f>IFERROR(__xludf.DUMMYFUNCTION("filter('Imported Challenges'!B:D,'Imported Challenges'!A:A=A22)"),"The second challenge is people with different experiences [...] you have mixed classes, so at a point in the course where you talk about a specific programming language to give an example. Some are more familiar than others. [...] So, knowing how to deal "&amp;"with these differences to make the course pleasant for everyone and comfortable for everyone, this is a great challenge.
We have a standard agreement, not an agreement. It is a convention that we have which is the following, people are different, see? [."&amp;"..] they have different backgrounds, they have different life stories, experiences that marked them in different ways.
In both classes that I taught [...], there was a challenge of class heterogeneity. You have very proficient people in the development a"&amp;"nd have no idea about the server, Linux and environment configuration, tools, the other spectrum. People who came from operational, System admin itself is not so proficient in the programming part, in code.
Each student in the class brings a different ex"&amp;"perience, different challenges, and trying to generalize this is more complicated.
One of the challenges is how do you teach people from these different backgrounds [...]  there is so much technology that comes together in DevOps, that the challenge is h"&amp;"ow do you get everyone up to speed on an even right? So that we can all move forward together and learn together. So, so that's a big challenge.
Some of them do have a lot of programming and are fairly mature, but because when we recruit, they be coming "&amp;"from different schools.")</f>
        <v>The second challenge is people with different experiences [...] you have mixed classes, so at a point in the course where you talk about a specific programming language to give an example. Some are more familiar than others. [...] So, knowing how to deal with these differences to make the course pleasant for everyone and comfortable for everyone, this is a great challenge.
We have a standard agreement, not an agreement. It is a convention that we have which is the following, people are different, see? [...] they have different backgrounds, they have different life stories, experiences that marked them in different ways.
In both classes that I taught [...], there was a challenge of class heterogeneity. You have very proficient people in the development and have no idea about the server, Linux and environment configuration, tools, the other spectrum. People who came from operational, System admin itself is not so proficient in the programming part, in code.
Each student in the class brings a different experience, different challenges, and trying to generalize this is more complicated.
One of the challenges is how do you teach people from these different backgrounds [...]  there is so much technology that comes together in DevOps, that the challenge is how do you get everyone up to speed on an even right? So that we can all move forward together and learn together. So, so that's a big challenge.
Some of them do have a lot of programming and are fairly mature, but because when we recruit, they be coming from different schools.</v>
      </c>
      <c r="D22" s="13" t="str">
        <f>IFERROR(__xludf.DUMMYFUNCTION("""COMPUTED_VALUE"""),"Difficulty in knowing how to deal with groups of students who have very different experiences.
Students in a class have different backgrounds, life stories and experiences.
Difficulty in preparing classes with students at different levels of proficiency"&amp;" in development and operation.
Dealing with the different experiences and perspectives of each student.
It's hard to teach people with different backgrounds.
Students have different backgrouds.")</f>
        <v>Difficulty in knowing how to deal with groups of students who have very different experiences.
Students in a class have different backgrounds, life stories and experiences.
Difficulty in preparing classes with students at different levels of proficiency in development and operation.
Dealing with the different experiences and perspectives of each student.
It's hard to teach people with different backgrounds.
Students have different backgrouds.</v>
      </c>
      <c r="E22" s="13" t="str">
        <f>IFERROR(__xludf.DUMMYFUNCTION("""COMPUTED_VALUE"""),"It's challeging to deal with students having different backgrounds.")</f>
        <v>It's challeging to deal with students having different backgrounds.</v>
      </c>
      <c r="F22" s="9" t="s">
        <v>90</v>
      </c>
      <c r="G22" s="6" t="s">
        <v>129</v>
      </c>
      <c r="H22" s="21"/>
    </row>
    <row r="23">
      <c r="A23" s="16">
        <v>34.0</v>
      </c>
      <c r="B23" s="20" t="s">
        <v>8</v>
      </c>
      <c r="C23" s="7" t="str">
        <f>IFERROR(__xludf.DUMMYFUNCTION("filter('Imported Challenges'!B:D,'Imported Challenges'!A:A=A23)"),"Doing infrastructure as code or forms of configuration management or containerization, or even the simpler things like treating build scripts as first-class citizens alongside your code, start to not be meaningful until you have code at some minimum scale"&amp;" where there's a certain minimum complexity, both in terms of construction.
If you give artificial example or small toy example, then it's just going about configuring small things. So naturally naturally what DevOps is, uh, it's really complicated to ma"&amp;"ke the students experience a cultural change and those kinds of things, because there's, well, there's no culture of, uh, industrial project in a school because it's academic project or it's teaching how to behave in a industrial project.
So it was lectu"&amp;"res and labs and like a small project, but it was wasn't really satisfactory.")</f>
        <v>Doing infrastructure as code or forms of configuration management or containerization, or even the simpler things like treating build scripts as first-class citizens alongside your code, start to not be meaningful until you have code at some minimum scale where there's a certain minimum complexity, both in terms of construction.
If you give artificial example or small toy example, then it's just going about configuring small things. So naturally naturally what DevOps is, uh, it's really complicated to make the students experience a cultural change and those kinds of things, because there's, well, there's no culture of, uh, industrial project in a school because it's academic project or it's teaching how to behave in a industrial project.
So it was lectures and labs and like a small project, but it was wasn't really satisfactory.</v>
      </c>
      <c r="D23" s="13" t="str">
        <f>IFERROR(__xludf.DUMMYFUNCTION("""COMPUTED_VALUE"""),"Devops concepts like configuration management and contaizerization need examples with mininum scale and complexity.
The students can have difficulty understanding the DevOps culture working on a small example.
Small project wasn't really satisfactory.")</f>
        <v>Devops concepts like configuration management and contaizerization need examples with mininum scale and complexity.
The students can have difficulty understanding the DevOps culture working on a small example.
Small project wasn't really satisfactory.</v>
      </c>
      <c r="E23" s="13" t="str">
        <f>IFERROR(__xludf.DUMMYFUNCTION("""COMPUTED_VALUE"""),"Small examples weren't really satisfactory.")</f>
        <v>Small examples weren't really satisfactory.</v>
      </c>
      <c r="F23" s="9" t="s">
        <v>41</v>
      </c>
      <c r="G23" s="9" t="s">
        <v>18</v>
      </c>
      <c r="H23" s="21"/>
    </row>
    <row r="24">
      <c r="A24" s="16">
        <v>35.0</v>
      </c>
      <c r="B24" s="20" t="s">
        <v>8</v>
      </c>
      <c r="C24" s="7" t="str">
        <f>IFERROR(__xludf.DUMMYFUNCTION("filter('Imported Challenges'!B:D,'Imported Challenges'!A:A=A24)"),"The DevOps concept, it's very open, right, it encompasses different areas between development, security and operations.
The expectation of students to deliver something, by hand, because they are technical people, is to be able to balance what is concept"&amp;" and what is practical and show the importance, the value of what you are explaining.
This part of culture and such, which is, let us say, more boring, right? That people go there wanting to see tools, right? So, how to balance, right? Talk a little non-"&amp;"technical things with technical things.
The challenge is this: having the non-technical part with the technical part, pondering both, and addressing these main topics, right?
The point is how do we adapt DevOps in concept in a way where we, we are still"&amp;" take keeping in mind the theoretical foundation, but where make it making it interesting from an industry or practical perspective.
The challenge is, in my opinion, is, is to, to strike this balance between, between, um, concreteness, like work with tec"&amp;"hnologies, because essentially, uh, DevOps is yes, a philosophy. 
To strike a balance. The students are of course, very keen about the products and telemetry about the product and, and, and, and building Docker containers. And, but what I want them to re"&amp;"flect, I mean, the whole goal of DevOps is to make the process effective, very, very efficient.
There's a gap between what we can experiment during the course, what can be presented during the invited lecture from the industry, for example, those kinds o"&amp;"f things and how, how whole, the things are connected together.")</f>
        <v>The DevOps concept, it's very open, right, it encompasses different areas between development, security and operations.
The expectation of students to deliver something, by hand, because they are technical people, is to be able to balance what is concept and what is practical and show the importance, the value of what you are explaining.
This part of culture and such, which is, let us say, more boring, right? That people go there wanting to see tools, right? So, how to balance, right? Talk a little non-technical things with technical things.
The challenge is this: having the non-technical part with the technical part, pondering both, and addressing these main topics, right?
The point is how do we adapt DevOps in concept in a way where we, we are still take keeping in mind the theoretical foundation, but where make it making it interesting from an industry or practical perspective.
The challenge is, in my opinion, is, is to, to strike this balance between, between, um, concreteness, like work with technologies, because essentially, uh, DevOps is yes, a philosophy. 
To strike a balance. The students are of course, very keen about the products and telemetry about the product and, and, and, and building Docker containers. And, but what I want them to reflect, I mean, the whole goal of DevOps is to make the process effective, very, very efficient.
There's a gap between what we can experiment during the course, what can be presented during the invited lecture from the industry, for example, those kinds of things and how, how whole, the things are connected together.</v>
      </c>
      <c r="D24" s="13" t="str">
        <f>IFERROR(__xludf.DUMMYFUNCTION("""COMPUTED_VALUE"""),"Difficulty in making the association between theory and practice.
Difficulty balancing theory foundations and make them interesting in the practice.
Difficulty in balancing the teaching of theory (culture) and practice (tools).
Challenge to balance the"&amp;"ory and practice.
It's challenging to teach DevOps concepts that have theoretical foundations and make them interesting from the industry perspective.
It is difficult to balance the concreteness (technologies) and the philosophy (concepts) of DevOps.
I"&amp;"t is difficult to balance the usage of tools and making the DevOps process effective and efficient.
There is a gap about how to connect the lectures with the labs.")</f>
        <v>Difficulty in making the association between theory and practice.
Difficulty balancing theory foundations and make them interesting in the practice.
Difficulty in balancing the teaching of theory (culture) and practice (tools).
Challenge to balance theory and practice.
It's challenging to teach DevOps concepts that have theoretical foundations and make them interesting from the industry perspective.
It is difficult to balance the concreteness (technologies) and the philosophy (concepts) of DevOps.
It is difficult to balance the usage of tools and making the DevOps process effective and efficient.
There is a gap about how to connect the lectures with the labs.</v>
      </c>
      <c r="E24" s="13" t="str">
        <f>IFERROR(__xludf.DUMMYFUNCTION("""COMPUTED_VALUE"""),"It's challeging to balance DevOps theory and practice.")</f>
        <v>It's challeging to balance DevOps theory and practice.</v>
      </c>
      <c r="F24" s="9" t="s">
        <v>91</v>
      </c>
      <c r="G24" s="9" t="s">
        <v>16</v>
      </c>
      <c r="H24" s="21"/>
    </row>
    <row r="25">
      <c r="A25" s="16">
        <v>37.0</v>
      </c>
      <c r="B25" s="20" t="s">
        <v>8</v>
      </c>
      <c r="C25" s="15" t="str">
        <f>IFERROR(__xludf.DUMMYFUNCTION("filter('Imported Challenges'!B:D,'Imported Challenges'!A:A=A25)"),"There's still this challenge of understanding these tools, environment, network, configuration, you know? So, I think one challenge brings the other, right? I would say this is a challenge, too.
")</f>
        <v>There's still this challenge of understanding these tools, environment, network, configuration, you know? So, I think one challenge brings the other, right? I would say this is a challenge, too.
</v>
      </c>
      <c r="D25" s="13" t="str">
        <f>IFERROR(__xludf.DUMMYFUNCTION("""COMPUTED_VALUE"""),"Difficulty in understanding environment, tools and network configuration.")</f>
        <v>Difficulty in understanding environment, tools and network configuration.</v>
      </c>
      <c r="E25" s="13"/>
      <c r="F25" s="9" t="s">
        <v>134</v>
      </c>
      <c r="G25" s="9" t="s">
        <v>12</v>
      </c>
      <c r="H25" s="21"/>
    </row>
    <row r="26">
      <c r="A26" s="16">
        <v>38.0</v>
      </c>
      <c r="B26" s="20" t="s">
        <v>8</v>
      </c>
      <c r="C26" s="15" t="str">
        <f>IFERROR(__xludf.DUMMYFUNCTION("filter('Imported Challenges'!B:D,'Imported Challenges'!A:A=A26)"),"When you go to configure the tools and such, as you were the one who developed the system, it becomes easier, I believe you understand all the automations and such, but at the same time I see that the guys have a lot of difficulty in doing it.")</f>
        <v>When you go to configure the tools and such, as you were the one who developed the system, it becomes easier, I believe you understand all the automations and such, but at the same time I see that the guys have a lot of difficulty in doing it.</v>
      </c>
      <c r="D26" s="13" t="str">
        <f>IFERROR(__xludf.DUMMYFUNCTION("""COMPUTED_VALUE"""),"There is difficulty for students to carry out the automation of the construction of systems used during the course.")</f>
        <v>There is difficulty for students to carry out the automation of the construction of systems used during the course.</v>
      </c>
      <c r="E26" s="13"/>
      <c r="F26" s="9" t="s">
        <v>94</v>
      </c>
      <c r="G26" s="9" t="s">
        <v>18</v>
      </c>
      <c r="H26" s="21"/>
    </row>
    <row r="27">
      <c r="A27" s="16">
        <v>40.0</v>
      </c>
      <c r="B27" s="20" t="s">
        <v>8</v>
      </c>
      <c r="C27" s="7" t="str">
        <f>IFERROR(__xludf.DUMMYFUNCTION("filter('Imported Challenges'!B:D,'Imported Challenges'!A:A=A27)"),"So, because then, if I make this system, I can pass it on to people in a much simpler way, right? How do they do things and such, but then we also know that there are challenges, right? Wow, this is not that simple, will I have time to do it, right?
Ther"&amp;"e is no time for, for example, structuring complex environments [...] I know it is not the reality in the market, very few companies I had contact that set up their environment from scratch on the nail, in a set of internal servers.")</f>
        <v>So, because then, if I make this system, I can pass it on to people in a much simpler way, right? How do they do things and such, but then we also know that there are challenges, right? Wow, this is not that simple, will I have time to do it, right?
There is no time for, for example, structuring complex environments [...] I know it is not the reality in the market, very few companies I had contact that set up their environment from scratch on the nail, in a set of internal servers.</v>
      </c>
      <c r="D27" s="13" t="str">
        <f>IFERROR(__xludf.DUMMYFUNCTION("""COMPUTED_VALUE"""),"Lack of time for teachers to develop a ready-made and well-crafted example system.
Lack of time to structure more complex environments with students.")</f>
        <v>Lack of time for teachers to develop a ready-made and well-crafted example system.
Lack of time to structure more complex environments with students.</v>
      </c>
      <c r="E27" s="13" t="str">
        <f>IFERROR(__xludf.DUMMYFUNCTION("""COMPUTED_VALUE"""),"Lack of time to prepare classes to teach DevOps.")</f>
        <v>Lack of time to prepare classes to teach DevOps.</v>
      </c>
      <c r="F27" s="9" t="s">
        <v>135</v>
      </c>
      <c r="G27" s="9" t="s">
        <v>24</v>
      </c>
      <c r="H27" s="21"/>
    </row>
    <row r="28">
      <c r="A28" s="16">
        <v>41.0</v>
      </c>
      <c r="B28" s="20" t="s">
        <v>8</v>
      </c>
      <c r="C28" s="7" t="str">
        <f>IFERROR(__xludf.DUMMYFUNCTION("filter('Imported Challenges'!B:D,'Imported Challenges'!A:A=A28)"),"If I make this system [...] We, professors, sometimes are not the most proficient programmers there are, so maybe what we write is not in accordance with what is happening in the market today.
So it is in line with what is happening in the community as a"&amp;" whole, right? Always trying to bring it, because this area, specifically, it runs very fast. So, every semester I run this discipline once a year, there are very strong updates on what is happening.
You have to change the tools almost every semester or "&amp;"every two years. You've got to look at what are the popular tools right now.
So the challenge for me is that the cloud is constantly evolving. And so every semester what I try to do in my class, in my labs, I have snapshots of screenshots and circles and"&amp;" arrows and, you know, click on this and move there. Um, and that changes constantly.
So there's a lot of preparation in making sure that the tools still work the way they should, that the cloud still works the way they should, um, that the code doesn't "&amp;"have vulnerabilities in it. And that you've got all the right versions of stuff. So that's a lot of, uh, preparation then of course, as I said, you know, new technologies, like when Kubernetes came around, you know, you have to add Kubernetes to the class"&amp;", constantly adding new technologies to the class move.
The big challenge for me right, is, uh, is keeping up with the technology [...] so it's just challenging to keep up with all the new technology that's out there in DevOps.
And so every so often I'l"&amp;"l get folks who have taken one class and then they start using the wrong version of the tool for the second class, because they have an upgraded or something along those lines. 
We move through some technology on the application side, we'll move through "&amp;"a little bit of technology on the operation side. What does change is trying to keep up to speed and keep the class adjusted for, uh, what the current state of the art and the current understanding of best practices.
There's always double checking the te"&amp;"chnology, making sure that if you've got any automation in your class, it still works after all of the API changes may have gone into effect on say your cloud provider or, or whatever, making sure you're on the latest and greatest versions of whatever too"&amp;"ling that you're going to use and make sure that the hat that hasn't broken things and always missing something and suddenly be scrambling before class going, oh no, no, no. They've changed something. I need to figure this out.
Um, we got bit by that qui"&amp;"te a few times where we built the stack plus G unit plus, uh, we use, um, uh, some additional libraries for front-end, uh, some scripts for building Docker images, some version of Maven, and you need an Artifactory, et cetera. You can get everything set u"&amp;"p, everything works fine up to June. Then you go on summer break and then the next session comes up in September and you use what you've built well, too bad. In the middle of the summer, Jay, you need to release a new version that requires where some acts"&amp;" of Maven that requires this version of the stack of the student install from scratch on their machine.
The main, uh, challenge that we had was that DevOps is, there are many too many tools and, uh, many of these tools are not solid and are not commonly "&amp;"used yet.
 I mean devops is always evolving and we are not what we consider DevOps here is different for, from what was considered DevOps, let's say five years ago.
The lab session, they have to be like really precise. You have to, it would work one day"&amp;". And then the second day it doesn't work because there's an upgrade in the Docker API that makes things totally different. Or you you're, you're using it in the Dockerfile, you're using keywords. And then suddenly the new version of Docker decide that th"&amp;"ose keywords are deprecated and that you should not, uh, declared the authors this way.
So keeping things up to date and making things work like really working in, in, in being able to run the labs, not in panic mode, that everything was fragile and ever"&amp;"ything was able to collapse at any point was really stressful. And of course, a lot of things, I think it costs me like twice or three times the cost of preparing a regular course.")</f>
        <v>If I make this system [...] We, professors, sometimes are not the most proficient programmers there are, so maybe what we write is not in accordance with what is happening in the market today.
So it is in line with what is happening in the community as a whole, right? Always trying to bring it, because this area, specifically, it runs very fast. So, every semester I run this discipline once a year, there are very strong updates on what is happening.
You have to change the tools almost every semester or every two years. You've got to look at what are the popular tools right now.
So the challenge for me is that the cloud is constantly evolving. And so every semester what I try to do in my class, in my labs, I have snapshots of screenshots and circles and arrows and, you know, click on this and move there. Um, and that changes constantly.
So there's a lot of preparation in making sure that the tools still work the way they should, that the cloud still works the way they should, um, that the code doesn't have vulnerabilities in it. And that you've got all the right versions of stuff. So that's a lot of, uh, preparation then of course, as I said, you know, new technologies, like when Kubernetes came around, you know, you have to add Kubernetes to the class, constantly adding new technologies to the class move.
The big challenge for me right, is, uh, is keeping up with the technology [...] so it's just challenging to keep up with all the new technology that's out there in DevOps.
And so every so often I'll get folks who have taken one class and then they start using the wrong version of the tool for the second class, because they have an upgraded or something along those lines. 
We move through some technology on the application side, we'll move through a little bit of technology on the operation side. What does change is trying to keep up to speed and keep the class adjusted for, uh, what the current state of the art and the current understanding of best practices.
There's always double checking the technology, making sure that if you've got any automation in your class, it still works after all of the API changes may have gone into effect on say your cloud provider or, or whatever, making sure you're on the latest and greatest versions of whatever tooling that you're going to use and make sure that the hat that hasn't broken things and always missing something and suddenly be scrambling before class going, oh no, no, no. They've changed something. I need to figure this out.
Um, we got bit by that quite a few times where we built the stack plus G unit plus, uh, we use, um, uh, some additional libraries for front-end, uh, some scripts for building Docker images, some version of Maven, and you need an Artifactory, et cetera. You can get everything set up, everything works fine up to June. Then you go on summer break and then the next session comes up in September and you use what you've built well, too bad. In the middle of the summer, Jay, you need to release a new version that requires where some acts of Maven that requires this version of the stack of the student install from scratch on their machine.
The main, uh, challenge that we had was that DevOps is, there are many too many tools and, uh, many of these tools are not solid and are not commonly used yet.
 I mean devops is always evolving and we are not what we consider DevOps here is different for, from what was considered DevOps, let's say five years ago.
The lab session, they have to be like really precise. You have to, it would work one day. And then the second day it doesn't work because there's an upgrade in the Docker API that makes things totally different. Or you you're, you're using it in the Dockerfile, you're using keywords. And then suddenly the new version of Docker decide that those keywords are deprecated and that you should not, uh, declared the authors this way.
So keeping things up to date and making things work like really working in, in, in being able to run the labs, not in panic mode, that everything was fragile and everything was able to collapse at any point was really stressful. And of course, a lot of things, I think it costs me like twice or three times the cost of preparing a regular course.</v>
      </c>
      <c r="D28" s="13" t="str">
        <f>IFERROR(__xludf.DUMMYFUNCTION("""COMPUTED_VALUE"""),"Difficulty for teachers to keep up with the state of the art in the industry.
It is important to be up-to-date on industry tools every six months.
Every semester is necessary to update tools used on course.
The cloud are constantly evolving and it brea"&amp;"ks labs every semester.
Lots of preparation to keep tools and environment working, secure and updated.
Keep up with new technologies is challenging.
Tool versions upgrades require updating the labs during the classes.
It is difficult to keep up the cu"&amp;"rrent state of art of devops industry practices.
Devops tools and APIs change fast and it may break your labs.
Exercises can be outdated in few months.
Many tools and some are not mature and not commonly used yet.
DevOps is always evolving fast in the"&amp;" last five years.
Lab session works one day and then doesn't work because there are changes like update in Docker API.
Keeping things up to date and making things working the labs is really stressful and time costing.")</f>
        <v>Difficulty for teachers to keep up with the state of the art in the industry.
It is important to be up-to-date on industry tools every six months.
Every semester is necessary to update tools used on course.
The cloud are constantly evolving and it breaks labs every semester.
Lots of preparation to keep tools and environment working, secure and updated.
Keep up with new technologies is challenging.
Tool versions upgrades require updating the labs during the classes.
It is difficult to keep up the current state of art of devops industry practices.
Devops tools and APIs change fast and it may break your labs.
Exercises can be outdated in few months.
Many tools and some are not mature and not commonly used yet.
DevOps is always evolving fast in the last five years.
Lab session works one day and then doesn't work because there are changes like update in Docker API.
Keeping things up to date and making things working the labs is really stressful and time costing.</v>
      </c>
      <c r="E28" s="13" t="str">
        <f>IFERROR(__xludf.DUMMYFUNCTION("""COMPUTED_VALUE"""),"It's challeging to be up-to-date with industrial DevOps tools.")</f>
        <v>It's challeging to be up-to-date with industrial DevOps tools.</v>
      </c>
      <c r="F28" s="9" t="s">
        <v>96</v>
      </c>
      <c r="G28" s="9" t="s">
        <v>24</v>
      </c>
      <c r="H28" s="21"/>
    </row>
    <row r="29">
      <c r="A29" s="16">
        <v>43.0</v>
      </c>
      <c r="B29" s="20" t="s">
        <v>8</v>
      </c>
      <c r="C29" s="15" t="str">
        <f>IFERROR(__xludf.DUMMYFUNCTION("filter('Imported Challenges'!B:D,'Imported Challenges'!A:A=A29)"),"Then the boy will go in a week, he will only have his entire environment set up, right? But, this creates challenges too, right? That it will be difficult to do this and such.
We had to work to do on the labs. ...  the assistant I had two for the labs wa"&amp;"s too busy with too many things.
That's really complicated as, um, like as a teacher, uh, then we decided to move for on premises, uh, version with our own, uh, systems for deployment building and everything, uh, another disaster, because then it require"&amp;"s a lot of maintenance and a lot of them, of course, or the students are going to work like in the two days before the room, the, um, the delivery of the project.")</f>
        <v>Then the boy will go in a week, he will only have his entire environment set up, right? But, this creates challenges too, right? That it will be difficult to do this and such.
We had to work to do on the labs. ...  the assistant I had two for the labs was too busy with too many things.
That's really complicated as, um, like as a teacher, uh, then we decided to move for on premises, uh, version with our own, uh, systems for deployment building and everything, uh, another disaster, because then it requires a lot of maintenance and a lot of them, of course, or the students are going to work like in the two days before the room, the, um, the delivery of the project.</v>
      </c>
      <c r="D29" s="27" t="str">
        <f>IFERROR(__xludf.DUMMYFUNCTION("""COMPUTED_VALUE"""),"A lot of time preparing the initial environment setup of students.
Lots of work to setup the labs even if you have teacher assistants.
On premises systems for deployment everything is complicated because it requires a lot of maintenance and time.")</f>
        <v>A lot of time preparing the initial environment setup of students.
Lots of work to setup the labs even if you have teacher assistants.
On premises systems for deployment everything is complicated because it requires a lot of maintenance and time.</v>
      </c>
      <c r="E29" s="27" t="str">
        <f>IFERROR(__xludf.DUMMYFUNCTION("""COMPUTED_VALUE"""),"Prepare the labs environment requires a lot of time.")</f>
        <v>Prepare the labs environment requires a lot of time.</v>
      </c>
      <c r="F29" s="9" t="s">
        <v>136</v>
      </c>
      <c r="G29" s="9" t="s">
        <v>12</v>
      </c>
      <c r="H29" s="21"/>
    </row>
    <row r="30">
      <c r="A30" s="16">
        <v>44.0</v>
      </c>
      <c r="B30" s="20" t="s">
        <v>8</v>
      </c>
      <c r="C30" s="7" t="str">
        <f>IFERROR(__xludf.DUMMYFUNCTION("filter('Imported Challenges'!B:D,'Imported Challenges'!A:A=A30)"),"Material heterogeneity is the biggest challenge. You have to set up a class sewing the fonts, right?
When I started preparing, there was not a buy the book, a ""kit"" a suggestion for a course, there for you to start, it is a good start, right?")</f>
        <v>Material heterogeneity is the biggest challenge. You have to set up a class sewing the fonts, right?
When I started preparing, there was not a buy the book, a "kit" a suggestion for a course, there for you to start, it is a good start, right?</v>
      </c>
      <c r="D30" s="13" t="str">
        <f>IFERROR(__xludf.DUMMYFUNCTION("""COMPUTED_VALUE"""),"There is no unified material for teaching DevOps.
There is no complete material to teach DevOps.")</f>
        <v>There is no unified material for teaching DevOps.
There is no complete material to teach DevOps.</v>
      </c>
      <c r="E30" s="13" t="str">
        <f>IFERROR(__xludf.DUMMYFUNCTION("""COMPUTED_VALUE"""),"Unknown unified material for teaching DevOps.")</f>
        <v>Unknown unified material for teaching DevOps.</v>
      </c>
      <c r="F30" s="9" t="s">
        <v>97</v>
      </c>
      <c r="G30" s="9" t="s">
        <v>24</v>
      </c>
      <c r="H30" s="21"/>
    </row>
    <row r="31">
      <c r="A31" s="16">
        <v>46.0</v>
      </c>
      <c r="B31" s="20" t="s">
        <v>8</v>
      </c>
      <c r="C31" s="7" t="str">
        <f>IFERROR(__xludf.DUMMYFUNCTION("filter('Imported Challenges'!B:D,'Imported Challenges'!A:A=A31)"),"And sometimes you took a little bit of such a thing, right? Not all that text was relevant, you know? So, your material ends up becoming the only source, let's put it that way. For students, I've already figured that out, like, you know? People studied an"&amp;"d such, they went a lot for the material I prepared. When the material I was preparing was, let's say, it was a set of slides, right? Which doesn't serve that much, from the point of view, right, from having a more in-depth reading and such. So, I think i"&amp;"t's a difficulty, from the point of view, like, the pedagogical type of setting up the classes and such.
There are concepts of collaboration, communication, organization that are a little subjective, right? So, it's a little harder for you to evaluate.
S"&amp;"o, all this traceability of what was done to what they are going to do, was the very difficult part [...] So, you can't think about doing a theoretical thing, you have to have practice, you can't just to be just practical exercises, it has to have a whole"&amp;" journey, a well-established train of thought. It was quite tricky to get to that topic.
 So part one is the three ways, just give you an overview of the, each of the three way. And then you have one part essentially for each of the three ways. And I thi"&amp;"nk that the first two parts of the book you can find online, but, but not, not as a, someone who puts it in PDF, but from the publisher, from, from revolution, publisher and official version. So you can read it from the way.")</f>
        <v>And sometimes you took a little bit of such a thing, right? Not all that text was relevant, you know? So, your material ends up becoming the only source, let's put it that way. For students, I've already figured that out, like, you know? People studied and such, they went a lot for the material I prepared. When the material I was preparing was, let's say, it was a set of slides, right? Which doesn't serve that much, from the point of view, right, from having a more in-depth reading and such. So, I think it's a difficulty, from the point of view, like, the pedagogical type of setting up the classes and such.
There are concepts of collaboration, communication, organization that are a little subjective, right? So, it's a little harder for you to evaluate.
So, all this traceability of what was done to what they are going to do, was the very difficult part [...] So, you can't think about doing a theoretical thing, you have to have practice, you can't just to be just practical exercises, it has to have a whole journey, a well-established train of thought. It was quite tricky to get to that topic.
 So part one is the three ways, just give you an overview of the, each of the three way. And then you have one part essentially for each of the three ways. And I think that the first two parts of the book you can find online, but, but not, not as a, someone who puts it in PDF, but from the publisher, from, from revolution, publisher and official version. So you can read it from the way.</v>
      </c>
      <c r="D31" s="13" t="str">
        <f>IFERROR(__xludf.DUMMYFUNCTION("""COMPUTED_VALUE"""),"Students rely heavily on the teacher's slide material, which is often limited.
The students don't read the suggested book even if you strongly encourage them.
Students tend to get short free versions and not full versions of books.")</f>
        <v>Students rely heavily on the teacher's slide material, which is often limited.
The students don't read the suggested book even if you strongly encourage them.
Students tend to get short free versions and not full versions of books.</v>
      </c>
      <c r="E31" s="13" t="str">
        <f>IFERROR(__xludf.DUMMYFUNCTION("""COMPUTED_VALUE"""),"Students rely on limited material instead of reading books.")</f>
        <v>Students rely on limited material instead of reading books.</v>
      </c>
      <c r="F31" s="9" t="s">
        <v>137</v>
      </c>
      <c r="G31" s="9" t="s">
        <v>129</v>
      </c>
      <c r="H31" s="21"/>
    </row>
    <row r="32">
      <c r="A32" s="16">
        <v>47.0</v>
      </c>
      <c r="B32" s="20" t="s">
        <v>8</v>
      </c>
      <c r="C32" s="7" t="str">
        <f>IFERROR(__xludf.DUMMYFUNCTION("filter('Imported Challenges'!B:D,'Imported Challenges'!A:A=A32)"),"There are concepts of collaboration, communication, organization that are a little subjective, right? So, it's a little harder for you to evaluate.")</f>
        <v>There are concepts of collaboration, communication, organization that are a little subjective, right? So, it's a little harder for you to evaluate.</v>
      </c>
      <c r="D32" s="13" t="str">
        <f>IFERROR(__xludf.DUMMYFUNCTION("""COMPUTED_VALUE"""),"The DevOps concepts collaboration, communication and organization are difficult to assess due to the high degree of subjectivity.")</f>
        <v>The DevOps concepts collaboration, communication and organization are difficult to assess due to the high degree of subjectivity.</v>
      </c>
      <c r="E32" s="13"/>
      <c r="F32" s="9" t="s">
        <v>99</v>
      </c>
      <c r="G32" s="9" t="s">
        <v>29</v>
      </c>
      <c r="H32" s="21"/>
    </row>
    <row r="33">
      <c r="A33" s="16">
        <v>49.0</v>
      </c>
      <c r="B33" s="20" t="s">
        <v>8</v>
      </c>
      <c r="C33" s="7" t="str">
        <f>IFERROR(__xludf.DUMMYFUNCTION("filter('Imported Challenges'!B:D,'Imported Challenges'!A:A=A33)"),"team of monitors [...] If you don't have it, it gets heavier, it's more difficult, you alone evaluate. Take a class with forty students, even if you divide it into teams, it's a lot for you to evaluate.")</f>
        <v>team of monitors [...] If you don't have it, it gets heavier, it's more difficult, you alone evaluate. Take a class with forty students, even if you divide it into teams, it's a lot for you to evaluate.</v>
      </c>
      <c r="D33" s="13" t="str">
        <f>IFERROR(__xludf.DUMMYFUNCTION("""COMPUTED_VALUE"""),"Large class assessment requires great effort.")</f>
        <v>Large class assessment requires great effort.</v>
      </c>
      <c r="E33" s="13"/>
      <c r="F33" s="9" t="s">
        <v>138</v>
      </c>
      <c r="G33" s="9" t="s">
        <v>29</v>
      </c>
      <c r="H33" s="21"/>
    </row>
    <row r="34">
      <c r="A34" s="16">
        <v>50.0</v>
      </c>
      <c r="B34" s="20" t="s">
        <v>8</v>
      </c>
      <c r="C34" s="7" t="str">
        <f>IFERROR(__xludf.DUMMYFUNCTION("filter('Imported Challenges'!B:D,'Imported Challenges'!A:A=A34)"),"the real challenge was when I started doing it, which I didn't have any. Then, building from scratch is more difficult, there is no baseline. [...] [...] these types of challenges, they are more related to the nature of the subject, not the object, that i"&amp;"s: what type of content, how will you conduct this course, how will you want to conduct the discipline.
I didn't find any course, really I was looking for courses in devops, like yes, there were courses that talk about kubernetes that these, yes. There a"&amp;"re courses that talk about, uh, integrated testing. Yes. There are courses. We talk about AWS and cloud, but I didn't find any course on devops that I can two years ago that I'm almost like three years ago now when I started to work on it, um, use as a ba"&amp;"sis. Right. So the first semester was a nightmare. 
In 2018, 2019, and yet no universities have a program in DevOps, no universities, essentially very few universities have a course in DevOps.
If you want to teach devops, it's really difficult to find, "&amp;"uh, supports, like finding a way to understand how it's towards elsewhere. It's really complicated because there's not a lot, of course that grant themselves as DevOps, basically because it's often hidden because it's something technical you're not suppos"&amp;"ed to teach.")</f>
        <v>the real challenge was when I started doing it, which I didn't have any. Then, building from scratch is more difficult, there is no baseline. [...] [...] these types of challenges, they are more related to the nature of the subject, not the object, that is: what type of content, how will you conduct this course, how will you want to conduct the discipline.
I didn't find any course, really I was looking for courses in devops, like yes, there were courses that talk about kubernetes that these, yes. There are courses that talk about, uh, integrated testing. Yes. There are courses. We talk about AWS and cloud, but I didn't find any course on devops that I can two years ago that I'm almost like three years ago now when I started to work on it, um, use as a basis. Right. So the first semester was a nightmare. 
In 2018, 2019, and yet no universities have a program in DevOps, no universities, essentially very few universities have a course in DevOps.
If you want to teach devops, it's really difficult to find, uh, supports, like finding a way to understand how it's towards elsewhere. It's really complicated because there's not a lot, of course that grant themselves as DevOps, basically because it's often hidden because it's something technical you're not supposed to teach.</v>
      </c>
      <c r="D34" s="13" t="str">
        <f>IFERROR(__xludf.DUMMYFUNCTION("""COMPUTED_VALUE"""),"Difficulty in setting up classes without a prior reference ones.
It isn't easy to create a DevOps course without having another course as a reference.
Few universities have a DevOps course.
It's really difficult to find supports if you want to teach De"&amp;"vOps.")</f>
        <v>Difficulty in setting up classes without a prior reference ones.
It isn't easy to create a DevOps course without having another course as a reference.
Few universities have a DevOps course.
It's really difficult to find supports if you want to teach DevOps.</v>
      </c>
      <c r="E34" s="13" t="str">
        <f>IFERROR(__xludf.DUMMYFUNCTION("""COMPUTED_VALUE"""),"It is difficult to create a DevOps course without a previous reference ones.")</f>
        <v>It is difficult to create a DevOps course without a previous reference ones.</v>
      </c>
      <c r="F34" s="9" t="s">
        <v>101</v>
      </c>
      <c r="G34" s="9" t="s">
        <v>10</v>
      </c>
      <c r="H34" s="21"/>
    </row>
    <row r="35">
      <c r="A35" s="16">
        <v>52.0</v>
      </c>
      <c r="B35" s="20" t="s">
        <v>8</v>
      </c>
      <c r="C35" s="15" t="str">
        <f>IFERROR(__xludf.DUMMYFUNCTION("filter('Imported Challenges'!B:D,'Imported Challenges'!A:A=A35)"),"""DevOps ends up forcing you to tap into a lot of other universes, right? Especially if you go into project as an evaluation method. So, that's another big challenge, you keep an eye out for what's going on, which can be correlated and which you can bring"&amp;" as an open scope to be worked also in the discipline, with this type of direction. Which in my case, comes AI student, Bank student, Software Engineering student, pay for the post, and that then you can't just stay in the context of developing software, "&amp;"delivering software on DevOps, right? There's a whole other context of things related, for example, to operation, infrastructure analysis, learning, prediction, and so on.")</f>
        <v>"DevOps ends up forcing you to tap into a lot of other universes, right? Especially if you go into project as an evaluation method. So, that's another big challenge, you keep an eye out for what's going on, which can be correlated and which you can bring as an open scope to be worked also in the discipline, with this type of direction. Which in my case, comes AI student, Bank student, Software Engineering student, pay for the post, and that then you can't just stay in the context of developing software, delivering software on DevOps, right? There's a whole other context of things related, for example, to operation, infrastructure analysis, learning, prediction, and so on.</v>
      </c>
      <c r="D35" s="27" t="str">
        <f>IFERROR(__xludf.DUMMYFUNCTION("""COMPUTED_VALUE"""),"Difficulty in linking DevOps classes with other subjects of interest to students.")</f>
        <v>Difficulty in linking DevOps classes with other subjects of interest to students.</v>
      </c>
      <c r="E35" s="27"/>
      <c r="F35" s="9" t="s">
        <v>139</v>
      </c>
      <c r="G35" s="9" t="s">
        <v>16</v>
      </c>
      <c r="H35" s="21"/>
    </row>
    <row r="36">
      <c r="A36" s="16">
        <v>54.0</v>
      </c>
      <c r="B36" s="22" t="s">
        <v>8</v>
      </c>
      <c r="C36" s="23" t="str">
        <f>IFERROR(__xludf.DUMMYFUNCTION("filter('Imported Challenges'!B:D,'Imported Challenges'!A:A=A36)")," However, last semester eight of my students showed up with apple, M one Silicon Macs and they don't run VirtualBox because VirtualBox only runs on Intel. It's not an emulator. It is a virtualizing layer, right? It needs an Intel CPU in order to virtualiz"&amp;"e. Um, and so I had to change the class for them to use Docker and VirtualBox. ")</f>
        <v> However, last semester eight of my students showed up with apple, M one Silicon Macs and they don't run VirtualBox because VirtualBox only runs on Intel. It's not an emulator. It is a virtualizing layer, right? It needs an Intel CPU in order to virtualize. Um, and so I had to change the class for them to use Docker and VirtualBox. </v>
      </c>
      <c r="D36" s="23" t="str">
        <f>IFERROR(__xludf.DUMMYFUNCTION("""COMPUTED_VALUE"""),"VirtualBox has limitation in MacOS.")</f>
        <v>VirtualBox has limitation in MacOS.</v>
      </c>
      <c r="E36" s="23"/>
      <c r="F36" s="9" t="s">
        <v>140</v>
      </c>
      <c r="G36" s="9" t="s">
        <v>18</v>
      </c>
      <c r="H36" s="21"/>
    </row>
    <row r="37">
      <c r="A37" s="16">
        <v>55.0</v>
      </c>
      <c r="B37" s="22" t="s">
        <v>8</v>
      </c>
      <c r="C37" s="23" t="str">
        <f>IFERROR(__xludf.DUMMYFUNCTION("filter('Imported Challenges'!B:D,'Imported Challenges'!A:A=A37)"),"You have to find a set of tools that work together.
 For many people, getting them all to work together can be particularly challenging.")</f>
        <v>You have to find a set of tools that work together.
 For many people, getting them all to work together can be particularly challenging.</v>
      </c>
      <c r="D37" s="23" t="str">
        <f>IFERROR(__xludf.DUMMYFUNCTION("""COMPUTED_VALUE"""),"You have to find a set of tools that work together.
For many people, getting all technologies to work together can be particularly challenging.")</f>
        <v>You have to find a set of tools that work together.
For many people, getting all technologies to work together can be particularly challenging.</v>
      </c>
      <c r="E37" s="23" t="str">
        <f>IFERROR(__xludf.DUMMYFUNCTION("""COMPUTED_VALUE"""),"Getting all DevOps tools to work together is challenging.")</f>
        <v>Getting all DevOps tools to work together is challenging.</v>
      </c>
      <c r="F37" s="9" t="s">
        <v>104</v>
      </c>
      <c r="G37" s="9" t="s">
        <v>18</v>
      </c>
      <c r="H37" s="21"/>
    </row>
    <row r="38">
      <c r="A38" s="16">
        <v>57.0</v>
      </c>
      <c r="B38" s="22" t="s">
        <v>8</v>
      </c>
      <c r="C38" s="23" t="str">
        <f>IFERROR(__xludf.DUMMYFUNCTION("filter('Imported Challenges'!B:D,'Imported Challenges'!A:A=A38)"),"Are they following the process? Not, did they get the work done in the end? That's not the important part is did they learn the process and follow it? And did they learn from it? So that's, it's kind of challenging.")</f>
        <v>Are they following the process? Not, did they get the work done in the end? That's not the important part is did they learn the process and follow it? And did they learn from it? So that's, it's kind of challenging.</v>
      </c>
      <c r="D38" s="23" t="str">
        <f>IFERROR(__xludf.DUMMYFUNCTION("""COMPUTED_VALUE"""),"It is challeging to verify if the students learn the devops process of working.")</f>
        <v>It is challeging to verify if the students learn the devops process of working.</v>
      </c>
      <c r="E38" s="23"/>
      <c r="F38" s="9" t="s">
        <v>141</v>
      </c>
      <c r="G38" s="9" t="s">
        <v>29</v>
      </c>
      <c r="H38" s="21"/>
    </row>
    <row r="39">
      <c r="A39" s="16">
        <v>58.0</v>
      </c>
      <c r="B39" s="22" t="s">
        <v>8</v>
      </c>
      <c r="C39" s="23" t="str">
        <f>IFERROR(__xludf.DUMMYFUNCTION("filter('Imported Challenges'!B:D,'Imported Challenges'!A:A=A39)"),"Doing a hands-on class with that many (45) students is just physically challenging.")</f>
        <v>Doing a hands-on class with that many (45) students is just physically challenging.</v>
      </c>
      <c r="D39" s="23" t="str">
        <f>IFERROR(__xludf.DUMMYFUNCTION("""COMPUTED_VALUE"""),"Doing a hands-on class with that many (45) students is just physically challenging.")</f>
        <v>Doing a hands-on class with that many (45) students is just physically challenging.</v>
      </c>
      <c r="E39" s="23"/>
      <c r="F39" s="9" t="s">
        <v>107</v>
      </c>
      <c r="G39" s="9" t="s">
        <v>73</v>
      </c>
      <c r="H39" s="21"/>
    </row>
    <row r="40">
      <c r="A40" s="16">
        <v>60.0</v>
      </c>
      <c r="B40" s="22" t="s">
        <v>8</v>
      </c>
      <c r="C40" s="23" t="str">
        <f>IFERROR(__xludf.DUMMYFUNCTION("filter('Imported Challenges'!B:D,'Imported Challenges'!A:A=A40)"),"That is a lot of the devops principles that come into play. ")</f>
        <v>That is a lot of the devops principles that come into play. </v>
      </c>
      <c r="D40" s="23" t="str">
        <f>IFERROR(__xludf.DUMMYFUNCTION("""COMPUTED_VALUE"""),"Many devops concepts need to be taught.")</f>
        <v>Many devops concepts need to be taught.</v>
      </c>
      <c r="E40" s="23"/>
      <c r="F40" s="9" t="s">
        <v>60</v>
      </c>
      <c r="G40" s="9" t="s">
        <v>16</v>
      </c>
      <c r="H40" s="21"/>
    </row>
    <row r="41">
      <c r="A41" s="16">
        <v>61.0</v>
      </c>
      <c r="B41" s="22" t="s">
        <v>8</v>
      </c>
      <c r="C41" s="23" t="str">
        <f>IFERROR(__xludf.DUMMYFUNCTION("filter('Imported Challenges'!B:D,'Imported Challenges'!A:A=A41)"),"It is very dangerous to teach too many tools because it's simply conveys that it is a very technology centric approach.")</f>
        <v>It is very dangerous to teach too many tools because it's simply conveys that it is a very technology centric approach.</v>
      </c>
      <c r="D41" s="23" t="str">
        <f>IFERROR(__xludf.DUMMYFUNCTION("""COMPUTED_VALUE"""),"It is very dangerous to teach too many tools because it conveys that DevOps is a very technology centric approach.")</f>
        <v>It is very dangerous to teach too many tools because it conveys that DevOps is a very technology centric approach.</v>
      </c>
      <c r="E41" s="23"/>
      <c r="F41" s="9" t="s">
        <v>109</v>
      </c>
      <c r="G41" s="9" t="s">
        <v>18</v>
      </c>
      <c r="H41" s="21"/>
    </row>
    <row r="42">
      <c r="A42" s="16">
        <v>63.0</v>
      </c>
      <c r="B42" s="22" t="s">
        <v>8</v>
      </c>
      <c r="C42" s="23" t="str">
        <f>IFERROR(__xludf.DUMMYFUNCTION("filter('Imported Challenges'!B:D,'Imported Challenges'!A:A=A42)"),"It can be a little harder garner garnering some of that same thing from, from industry, you know, unless you happen to find reasonably wit reasonably written, uh, white papers or, or things along those lines.")</f>
        <v>It can be a little harder garner garnering some of that same thing from, from industry, you know, unless you happen to find reasonably wit reasonably written, uh, white papers or, or things along those lines.</v>
      </c>
      <c r="D42" s="23" t="str">
        <f>IFERROR(__xludf.DUMMYFUNCTION("""COMPUTED_VALUE"""),"It is hard to find strategies from industry unless if it written in a paper.")</f>
        <v>It is hard to find strategies from industry unless if it written in a paper.</v>
      </c>
      <c r="E42" s="23"/>
      <c r="F42" s="9" t="s">
        <v>63</v>
      </c>
      <c r="G42" s="9" t="s">
        <v>24</v>
      </c>
      <c r="H42" s="21"/>
    </row>
    <row r="43">
      <c r="A43" s="16">
        <v>64.0</v>
      </c>
      <c r="B43" s="22" t="s">
        <v>8</v>
      </c>
      <c r="C43" s="23" t="str">
        <f>IFERROR(__xludf.DUMMYFUNCTION("filter('Imported Challenges'!B:D,'Imported Challenges'!A:A=A43)"),"I have tended to get much more forgiving on how I, for example, grade this particular course, I used to be one of those folks. You know, you, you do the assignment and then you get a grade for the assignment. And at the end of the day, and this is not jus"&amp;"t devops it's it's for other courses as well. At the end of the day, I'm way more concerned. They're able to get stuff working and that you understand why we're doing it.")</f>
        <v>I have tended to get much more forgiving on how I, for example, grade this particular course, I used to be one of those folks. You know, you, you do the assignment and then you get a grade for the assignment. And at the end of the day, and this is not just devops it's it's for other courses as well. At the end of the day, I'm way more concerned. They're able to get stuff working and that you understand why we're doing it.</v>
      </c>
      <c r="D43" s="23" t="str">
        <f>IFERROR(__xludf.DUMMYFUNCTION("""COMPUTED_VALUE"""),"Task done by students do not means that students learned correctly.")</f>
        <v>Task done by students do not means that students learned correctly.</v>
      </c>
      <c r="E43" s="23"/>
      <c r="F43" s="9" t="s">
        <v>111</v>
      </c>
      <c r="G43" s="9" t="s">
        <v>29</v>
      </c>
      <c r="H43" s="21"/>
    </row>
    <row r="44">
      <c r="A44" s="16">
        <v>66.0</v>
      </c>
      <c r="B44" s="22" t="s">
        <v>8</v>
      </c>
      <c r="C44" s="23" t="str">
        <f>IFERROR(__xludf.DUMMYFUNCTION("filter('Imported Challenges'!B:D,'Imported Challenges'!A:A=A44)"),"Human challenges are when you start teaching DevOps, it doesn't look serious.
So one of the challenges regarding the culture, if you want, is that when you tell them that initially they don't believe it. And only when they start doing it, they do believe"&amp;" it. 
Whatever they found it valuable usually, um, after the class is done at the end of the year, they don't always see the value. It's the kind of class where you want them to know this stuff, because once they will be in the industry, they'll need it "&amp;"every day. Um, but they don't know they need it every day. 
An undergrad program, it's also something complicated because it's teaching at the undergrad program might make sense, but then it's other kinds of challenges like younger students who might not"&amp;" be interested in this.")</f>
        <v>Human challenges are when you start teaching DevOps, it doesn't look serious.
So one of the challenges regarding the culture, if you want, is that when you tell them that initially they don't believe it. And only when they start doing it, they do believe it. 
Whatever they found it valuable usually, um, after the class is done at the end of the year, they don't always see the value. It's the kind of class where you want them to know this stuff, because once they will be in the industry, they'll need it every day. Um, but they don't know they need it every day. 
An undergrad program, it's also something complicated because it's teaching at the undergrad program might make sense, but then it's other kinds of challenges like younger students who might not be interested in this.</v>
      </c>
      <c r="D44" s="23" t="str">
        <f>IFERROR(__xludf.DUMMYFUNCTION("""COMPUTED_VALUE"""),"When you start teaching DevOps, it doesn't look relevant.
Students only believe the importance of DevOps mindset when they experiment in the practice.
Students do not know that they will need DevOps concepts at industry every day.
Young undergraduate s"&amp;"tudents can have no interest in DevOps course.")</f>
        <v>When you start teaching DevOps, it doesn't look relevant.
Students only believe the importance of DevOps mindset when they experiment in the practice.
Students do not know that they will need DevOps concepts at industry every day.
Young undergraduate students can have no interest in DevOps course.</v>
      </c>
      <c r="E44" s="23" t="str">
        <f>IFERROR(__xludf.DUMMYFUNCTION("""COMPUTED_VALUE"""),"DevOps course doesn't look relevant for undergratuate students when you start teaching.")</f>
        <v>DevOps course doesn't look relevant for undergratuate students when you start teaching.</v>
      </c>
      <c r="F44" s="9" t="s">
        <v>142</v>
      </c>
      <c r="G44" s="9" t="s">
        <v>73</v>
      </c>
      <c r="H44" s="21"/>
    </row>
    <row r="45">
      <c r="A45" s="16">
        <v>67.0</v>
      </c>
      <c r="B45" s="22" t="s">
        <v>8</v>
      </c>
      <c r="C45" s="23" t="str">
        <f>IFERROR(__xludf.DUMMYFUNCTION("filter('Imported Challenges'!B:D,'Imported Challenges'!A:A=A45)"),"When you do continuous integration, you need to have a logical base. You need to have a lot of people committing in the code changes often. Um, you need to have a lot of machines. You have the machines where people are coding. You have the machines that a"&amp;"re building, you have the machines that are the way you run your database. You have the machines where you deploy to. ... you need a lot of machines interconnected, um, with visibility on each other that they can get to.")</f>
        <v>When you do continuous integration, you need to have a logical base. You need to have a lot of people committing in the code changes often. Um, you need to have a lot of machines. You have the machines where people are coding. You have the machines that are building, you have the machines that are the way you run your database. You have the machines where you deploy to. ... you need a lot of machines interconnected, um, with visibility on each other that they can get to.</v>
      </c>
      <c r="D45" s="23" t="str">
        <f>IFERROR(__xludf.DUMMYFUNCTION("""COMPUTED_VALUE"""),"You need a lot of interconnected machines running different services with visibility on each other to do continous deployment.")</f>
        <v>You need a lot of interconnected machines running different services with visibility on each other to do continous deployment.</v>
      </c>
      <c r="E45" s="23"/>
      <c r="F45" s="9" t="s">
        <v>113</v>
      </c>
      <c r="G45" s="9" t="s">
        <v>12</v>
      </c>
      <c r="H45" s="21"/>
    </row>
    <row r="46">
      <c r="A46" s="16">
        <v>69.0</v>
      </c>
      <c r="B46" s="22" t="s">
        <v>8</v>
      </c>
      <c r="C46" s="23" t="str">
        <f>IFERROR(__xludf.DUMMYFUNCTION("filter('Imported Challenges'!B:D,'Imported Challenges'!A:A=A46)"),"It's hard for them to see all the values, layers of source side, real shoes, deployment side. They have a tendency because the students write code clicky works done, right? And it's hard to teach them that no wanting code somewhere.")</f>
        <v>It's hard for them to see all the values, layers of source side, real shoes, deployment side. They have a tendency because the students write code clicky works done, right? And it's hard to teach them that no wanting code somewhere.</v>
      </c>
      <c r="D46" s="23" t="str">
        <f>IFERROR(__xludf.DUMMYFUNCTION("""COMPUTED_VALUE"""),"It's hard for students to see the values of deployment side and they don't want to do operational activities.")</f>
        <v>It's hard for students to see the values of deployment side and they don't want to do operational activities.</v>
      </c>
      <c r="E46" s="23"/>
      <c r="F46" s="9" t="s">
        <v>143</v>
      </c>
      <c r="G46" s="9" t="s">
        <v>16</v>
      </c>
      <c r="H46" s="21"/>
    </row>
    <row r="47">
      <c r="A47" s="16">
        <v>70.0</v>
      </c>
      <c r="B47" s="22" t="s">
        <v>8</v>
      </c>
      <c r="C47" s="23" t="str">
        <f>IFERROR(__xludf.DUMMYFUNCTION("filter('Imported Challenges'!B:D,'Imported Challenges'!A:A=A47)"),"What is hard is to be prepared with, um, a technology stack that is robust and simple or very simple so that you know exactly what you look when you help them debug.")</f>
        <v>What is hard is to be prepared with, um, a technology stack that is robust and simple or very simple so that you know exactly what you look when you help them debug.</v>
      </c>
      <c r="D47" s="23" t="str">
        <f>IFERROR(__xludf.DUMMYFUNCTION("""COMPUTED_VALUE"""),"It is hard to prepare a robust and simple technology stack.")</f>
        <v>It is hard to prepare a robust and simple technology stack.</v>
      </c>
      <c r="E47" s="23"/>
      <c r="F47" s="9" t="s">
        <v>116</v>
      </c>
      <c r="G47" s="9" t="s">
        <v>18</v>
      </c>
      <c r="H47" s="21"/>
    </row>
    <row r="48">
      <c r="A48" s="16">
        <v>72.0</v>
      </c>
      <c r="B48" s="22" t="s">
        <v>8</v>
      </c>
      <c r="C48" s="23" t="str">
        <f>IFERROR(__xludf.DUMMYFUNCTION("filter('Imported Challenges'!B:D,'Imported Challenges'!A:A=A48)"),"Um, but then the preparation for the class itself was a concept class. That's, I've done that. Um, and then adjust, but it's no more difficult than any other class. It depends what you know, and what you do as a job. Right? And that's part of my job to do"&amp;" it. So I feel comfortable")</f>
        <v>Um, but then the preparation for the class itself was a concept class. That's, I've done that. Um, and then adjust, but it's no more difficult than any other class. It depends what you know, and what you do as a job. Right? And that's part of my job to do it. So I feel comfortable</v>
      </c>
      <c r="D48" s="23" t="str">
        <f>IFERROR(__xludf.DUMMYFUNCTION("""COMPUTED_VALUE"""),"Teach DevOps requires much knowledge from the professor who could not be familiar with it.")</f>
        <v>Teach DevOps requires much knowledge from the professor who could not be familiar with it.</v>
      </c>
      <c r="E48" s="23"/>
      <c r="F48" s="9" t="s">
        <v>144</v>
      </c>
      <c r="G48" s="9" t="s">
        <v>24</v>
      </c>
      <c r="H48" s="21"/>
    </row>
    <row r="49">
      <c r="A49" s="16">
        <v>73.0</v>
      </c>
      <c r="B49" s="22" t="s">
        <v>8</v>
      </c>
      <c r="C49" s="23" t="str">
        <f>IFERROR(__xludf.DUMMYFUNCTION("filter('Imported Challenges'!B:D,'Imported Challenges'!A:A=A49)"),"I check out the code of every group. And I look at the commits who has done what I look at. How has it been coded, easy to blatant copy paste of somebody else's code? Is it innovative? I run all the scripts. I ask them to provide me with scripts that are "&amp;"portable, that will run on my computer. Um, and there has to be a bill script or run script, uh, scenario, script, et cetera. And I run them on my computer. It takes four it's very long. Uh, but it's an effective way of checking what they've done.")</f>
        <v>I check out the code of every group. And I look at the commits who has done what I look at. How has it been coded, easy to blatant copy paste of somebody else's code? Is it innovative? I run all the scripts. I ask them to provide me with scripts that are portable, that will run on my computer. Um, and there has to be a bill script or run script, uh, scenario, script, et cetera. And I run them on my computer. It takes four it's very long. Uh, but it's an effective way of checking what they've done.</v>
      </c>
      <c r="D49" s="23" t="str">
        <f>IFERROR(__xludf.DUMMYFUNCTION("""COMPUTED_VALUE"""),"It is arduous to analyse the code and run scripts for each project.")</f>
        <v>It is arduous to analyse the code and run scripts for each project.</v>
      </c>
      <c r="E49" s="23"/>
      <c r="F49" s="9" t="s">
        <v>118</v>
      </c>
      <c r="G49" s="9" t="s">
        <v>73</v>
      </c>
      <c r="H49" s="21"/>
    </row>
    <row r="50">
      <c r="A50" s="16">
        <v>75.0</v>
      </c>
      <c r="B50" s="22" t="s">
        <v>8</v>
      </c>
      <c r="C50" s="23" t="str">
        <f>IFERROR(__xludf.DUMMYFUNCTION("filter('Imported Challenges'!B:D,'Imported Challenges'!A:A=A50)"),"And as I said, we, students are doing other things. So this means we are limited in what we can ask them.")</f>
        <v>And as I said, we, students are doing other things. So this means we are limited in what we can ask them.</v>
      </c>
      <c r="D50" s="23" t="str">
        <f>IFERROR(__xludf.DUMMYFUNCTION("""COMPUTED_VALUE"""),"There is a limitation of what is appropriate to ask the students because they are doing a lot of other activities.")</f>
        <v>There is a limitation of what is appropriate to ask the students because they are doing a lot of other activities.</v>
      </c>
      <c r="E50" s="23"/>
      <c r="F50" s="9" t="s">
        <v>145</v>
      </c>
      <c r="G50" s="9" t="s">
        <v>73</v>
      </c>
      <c r="H50" s="21"/>
    </row>
    <row r="51">
      <c r="A51" s="16">
        <v>76.0</v>
      </c>
      <c r="B51" s="22" t="s">
        <v>8</v>
      </c>
      <c r="C51" s="23" t="str">
        <f>IFERROR(__xludf.DUMMYFUNCTION("filter('Imported Challenges'!B:D,'Imported Challenges'!A:A=A51)"),"For us as educators, we need to find a way where we can make it interesting.
You can make the lectures more interactive, but to make the lecture attractive students have to willing to interact. Right. Which is very difficult to do.")</f>
        <v>For us as educators, we need to find a way where we can make it interesting.
You can make the lectures more interactive, but to make the lecture attractive students have to willing to interact. Right. Which is very difficult to do.</v>
      </c>
      <c r="D51" s="23" t="str">
        <f>IFERROR(__xludf.DUMMYFUNCTION("""COMPUTED_VALUE"""),"Make a DevOps course attractive to the students is challenging.
Make the lectures attractive is difficult.")</f>
        <v>Make a DevOps course attractive to the students is challenging.
Make the lectures attractive is difficult.</v>
      </c>
      <c r="E51" s="23" t="str">
        <f>IFERROR(__xludf.DUMMYFUNCTION("""COMPUTED_VALUE"""),"Make a DevOps course attractive to the students is challenging.")</f>
        <v>Make a DevOps course attractive to the students is challenging.</v>
      </c>
      <c r="F51" s="9" t="s">
        <v>120</v>
      </c>
      <c r="G51" s="9" t="s">
        <v>24</v>
      </c>
      <c r="H51" s="21"/>
    </row>
    <row r="52">
      <c r="A52" s="16">
        <v>78.0</v>
      </c>
      <c r="B52" s="22" t="s">
        <v>8</v>
      </c>
      <c r="C52" s="23" t="str">
        <f>IFERROR(__xludf.DUMMYFUNCTION("filter('Imported Challenges'!B:D,'Imported Challenges'!A:A=A52)"),"The, the overall context will change the process they use will have to change, to adapt, to become better, to, to stay at the top too, you know, they have to, so they have to recognize first that technologies will change, but the foundation, the fundament"&amp;"als will remain,")</f>
        <v>The, the overall context will change the process they use will have to change, to adapt, to become better, to, to stay at the top too, you know, they have to, so they have to recognize first that technologies will change, but the foundation, the fundamentals will remain,</v>
      </c>
      <c r="D52" s="23" t="str">
        <f>IFERROR(__xludf.DUMMYFUNCTION("""COMPUTED_VALUE"""),"It's hard to make clear to students and make them understand the fact that technologies will change with time, but the fundamentals will remain.")</f>
        <v>It's hard to make clear to students and make them understand the fact that technologies will change with time, but the fundamentals will remain.</v>
      </c>
      <c r="E52" s="23"/>
      <c r="F52" s="9" t="s">
        <v>146</v>
      </c>
      <c r="G52" s="9" t="s">
        <v>16</v>
      </c>
      <c r="H52" s="21"/>
    </row>
    <row r="53">
      <c r="A53" s="16">
        <v>79.0</v>
      </c>
      <c r="B53" s="22" t="s">
        <v>8</v>
      </c>
      <c r="C53" s="23" t="str">
        <f>IFERROR(__xludf.DUMMYFUNCTION("filter('Imported Challenges'!B:D,'Imported Challenges'!A:A=A53)"),"JIRA is quite difficult to use in industry context, um, just because of the license model then. So it's, it's too complex.")</f>
        <v>JIRA is quite difficult to use in industry context, um, just because of the license model then. So it's, it's too complex.</v>
      </c>
      <c r="D53" s="23" t="str">
        <f>IFERROR(__xludf.DUMMYFUNCTION("""COMPUTED_VALUE"""),"It's difficult to use Jira lifecycle management tool because of its licence model.")</f>
        <v>It's difficult to use Jira lifecycle management tool because of its licence model.</v>
      </c>
      <c r="E53" s="23"/>
      <c r="F53" s="9" t="s">
        <v>122</v>
      </c>
      <c r="G53" s="9" t="s">
        <v>18</v>
      </c>
      <c r="H53" s="21"/>
    </row>
    <row r="54">
      <c r="A54" s="16">
        <v>81.0</v>
      </c>
      <c r="B54" s="22" t="s">
        <v>8</v>
      </c>
      <c r="C54" s="23" t="str">
        <f>IFERROR(__xludf.DUMMYFUNCTION("filter('Imported Challenges'!B:D,'Imported Challenges'!A:A=A54)"),"We hear from our industrial partners and from industry in general is there's this HUGE gap right? Between what the industry needs and what university provides.")</f>
        <v>We hear from our industrial partners and from industry in general is there's this HUGE gap right? Between what the industry needs and what university provides.</v>
      </c>
      <c r="D54" s="23" t="str">
        <f>IFERROR(__xludf.DUMMYFUNCTION("""COMPUTED_VALUE"""),"There is a lack between what the industry wants from students about DevOps and what the university teaches.")</f>
        <v>There is a lack between what the industry wants from students about DevOps and what the university teaches.</v>
      </c>
      <c r="E54" s="23"/>
      <c r="F54" s="9" t="s">
        <v>147</v>
      </c>
      <c r="G54" s="9" t="s">
        <v>10</v>
      </c>
      <c r="H54" s="21"/>
    </row>
    <row r="55">
      <c r="A55" s="16">
        <v>82.0</v>
      </c>
      <c r="B55" s="22" t="s">
        <v>8</v>
      </c>
      <c r="C55" s="23" t="str">
        <f>IFERROR(__xludf.DUMMYFUNCTION("filter('Imported Challenges'!B:D,'Imported Challenges'!A:A=A55)"),"It didn't work for some specific tools that they wanted to present using this a katacoda, uh, website.")</f>
        <v>It didn't work for some specific tools that they wanted to present using this a katacoda, uh, website.</v>
      </c>
      <c r="D55" s="23" t="str">
        <f>IFERROR(__xludf.DUMMYFUNCTION("""COMPUTED_VALUE"""),"Katacoda does not work for some specific tools.")</f>
        <v>Katacoda does not work for some specific tools.</v>
      </c>
      <c r="E55" s="23"/>
      <c r="F55" s="9" t="s">
        <v>124</v>
      </c>
      <c r="G55" s="9" t="s">
        <v>18</v>
      </c>
      <c r="H55" s="21"/>
    </row>
    <row r="56">
      <c r="A56" s="16">
        <v>84.0</v>
      </c>
      <c r="B56" s="22" t="s">
        <v>8</v>
      </c>
      <c r="C56" s="23" t="str">
        <f>IFERROR(__xludf.DUMMYFUNCTION("filter('Imported Challenges'!B:D,'Imported Challenges'!A:A=A56)"),"It was a bit risk because if they had contributed to something that, uh, that the developers didn't merge they wouldn't get, uh, get the score.")</f>
        <v>It was a bit risk because if they had contributed to something that, uh, that the developers didn't merge they wouldn't get, uh, get the score.</v>
      </c>
      <c r="D56" s="23" t="str">
        <f>IFERROR(__xludf.DUMMYFUNCTION("""COMPUTED_VALUE"""),"The students wouldn't get the score if they had contributed to some open source project that the developers didn't merge on github.")</f>
        <v>The students wouldn't get the score if they had contributed to some open source project that the developers didn't merge on github.</v>
      </c>
      <c r="E56" s="23"/>
      <c r="F56" s="9" t="s">
        <v>148</v>
      </c>
      <c r="G56" s="9" t="s">
        <v>73</v>
      </c>
      <c r="H56" s="21"/>
    </row>
    <row r="57">
      <c r="A57" s="16">
        <v>85.0</v>
      </c>
      <c r="B57" s="22" t="s">
        <v>8</v>
      </c>
      <c r="C57" s="23" t="str">
        <f>IFERROR(__xludf.DUMMYFUNCTION("filter('Imported Challenges'!B:D,'Imported Challenges'!A:A=A57)"),"How this practitioner really works, because if you're not doing this, then you will stay at a very technical level. Like you deploy a pipeline and you're doing DevOps, which is absolutely not the case. And that's absolutely not the, uh, understanding of w"&amp;"hat DevOps is.")</f>
        <v>How this practitioner really works, because if you're not doing this, then you will stay at a very technical level. Like you deploy a pipeline and you're doing DevOps, which is absolutely not the case. And that's absolutely not the, uh, understanding of what DevOps is.</v>
      </c>
      <c r="D57" s="23" t="str">
        <f>IFERROR(__xludf.DUMMYFUNCTION("""COMPUTED_VALUE"""),"It is difficult to students understand how the pipeline deployment works and not just running it.")</f>
        <v>It is difficult to students understand how the pipeline deployment works and not just running it.</v>
      </c>
      <c r="E57" s="23"/>
      <c r="F57" s="9" t="s">
        <v>126</v>
      </c>
      <c r="G57" s="9" t="s">
        <v>16</v>
      </c>
      <c r="H57" s="21"/>
    </row>
    <row r="58">
      <c r="A58" s="16">
        <v>87.0</v>
      </c>
      <c r="B58" s="22" t="s">
        <v>8</v>
      </c>
      <c r="C58" s="23" t="str">
        <f>IFERROR(__xludf.DUMMYFUNCTION("filter('Imported Challenges'!B:D,'Imported Challenges'!A:A=A58)"),"Your Bamboo continuous to, uh, integration will just collapse because there's way too much students. My cohorts were 120 students a year. So when you have 120 students who all try to start their pipeline at the very same time, uh, in the last two days, an"&amp;"d it's just a catastrophe and I mean, this thing will always happen.")</f>
        <v>Your Bamboo continuous to, uh, integration will just collapse because there's way too much students. My cohorts were 120 students a year. So when you have 120 students who all try to start their pipeline at the very same time, uh, in the last two days, and it's just a catastrophe and I mean, this thing will always happen.</v>
      </c>
      <c r="D58" s="23" t="str">
        <f>IFERROR(__xludf.DUMMYFUNCTION("""COMPUTED_VALUE"""),"Bamboo continuous integration does not work with 120 students running pipeline at the same time.")</f>
        <v>Bamboo continuous integration does not work with 120 students running pipeline at the same time.</v>
      </c>
      <c r="E58" s="23"/>
      <c r="F58" s="9" t="s">
        <v>149</v>
      </c>
      <c r="G58" s="9" t="s">
        <v>18</v>
      </c>
      <c r="H58" s="21"/>
    </row>
    <row r="59">
      <c r="A59" s="16">
        <v>88.0</v>
      </c>
      <c r="B59" s="22" t="s">
        <v>8</v>
      </c>
      <c r="C59" s="23" t="str">
        <f>IFERROR(__xludf.DUMMYFUNCTION("filter('Imported Challenges'!B:D,'Imported Challenges'!A:A=A59)"),"He grade scale was half description, half justification, and that's helped a lot, but it's always, um, qualitative in this way. It's, it's, it's really difficult to be quantitative and to have this, uh, uh, grade scale that is by the, uh, by the point.")</f>
        <v>He grade scale was half description, half justification, and that's helped a lot, but it's always, um, qualitative in this way. It's, it's, it's really difficult to be quantitative and to have this, uh, uh, grade scale that is by the, uh, by the point.</v>
      </c>
      <c r="D59" s="23" t="str">
        <f>IFERROR(__xludf.DUMMYFUNCTION("""COMPUTED_VALUE"""),"It is really difficult to quantitative grade scale on the description and the justification of case studies.")</f>
        <v>It is really difficult to quantitative grade scale on the description and the justification of case studies.</v>
      </c>
      <c r="E59" s="23"/>
      <c r="F59" s="9" t="s">
        <v>128</v>
      </c>
      <c r="G59" s="9" t="s">
        <v>29</v>
      </c>
      <c r="H59" s="21"/>
    </row>
    <row r="60">
      <c r="A60" s="16">
        <v>90.0</v>
      </c>
      <c r="B60" s="22" t="s">
        <v>8</v>
      </c>
      <c r="C60" s="23" t="str">
        <f>IFERROR(__xludf.DUMMYFUNCTION("filter('Imported Challenges'!B:D,'Imported Challenges'!A:A=A60)"),"Like, do you have to go through this course to if you're doing a master or a bachelor in software engineering, is it mandatory to go through DevOps or is it like an option that an optional path that you're following is this kind of, uh, there is no consen"&amp;"sus on, on those kinds of, um, uh, things.")</f>
        <v>Like, do you have to go through this course to if you're doing a master or a bachelor in software engineering, is it mandatory to go through DevOps or is it like an option that an optional path that you're following is this kind of, uh, there is no consensus on, on those kinds of, um, uh, things.</v>
      </c>
      <c r="D60" s="23" t="str">
        <f>IFERROR(__xludf.DUMMYFUNCTION("""COMPUTED_VALUE"""),"There is no consensus if DevOps course should be mandatory or optional.")</f>
        <v>There is no consensus if DevOps course should be mandatory or optional.</v>
      </c>
      <c r="E60" s="23"/>
      <c r="F60" s="9" t="s">
        <v>150</v>
      </c>
      <c r="G60" s="9" t="s">
        <v>10</v>
      </c>
      <c r="H60" s="21"/>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4.43" defaultRowHeight="15.75"/>
  <cols>
    <col customWidth="1" min="1" max="1" width="4.14"/>
    <col customWidth="1" min="2" max="2" width="14.0"/>
    <col customWidth="1" min="3" max="3" width="24.29"/>
    <col customWidth="1" min="4" max="4" width="103.0"/>
    <col customWidth="1" min="5" max="6" width="52.0"/>
    <col customWidth="1" min="7" max="7" width="28.71"/>
    <col customWidth="1" min="8" max="8" width="49.57"/>
    <col customWidth="1" min="9" max="9" width="46.43"/>
    <col customWidth="1" min="10" max="10" width="44.71"/>
    <col customWidth="1" min="11" max="11" width="38.14"/>
    <col customWidth="1" min="12" max="12" width="18.57"/>
    <col customWidth="1" min="13" max="13" width="16.57"/>
    <col customWidth="1" min="14" max="14" width="17.57"/>
    <col customWidth="1" min="15" max="15" width="14.71"/>
    <col customWidth="1" min="16" max="16" width="44.71"/>
  </cols>
  <sheetData>
    <row r="1">
      <c r="A1" s="1" t="s">
        <v>0</v>
      </c>
      <c r="B1" s="28" t="s">
        <v>151</v>
      </c>
      <c r="C1" s="28" t="s">
        <v>1</v>
      </c>
      <c r="D1" s="3" t="s">
        <v>2</v>
      </c>
      <c r="E1" s="18" t="s">
        <v>3</v>
      </c>
      <c r="F1" s="18" t="s">
        <v>4</v>
      </c>
      <c r="G1" s="6" t="s">
        <v>152</v>
      </c>
      <c r="H1" s="6" t="s">
        <v>153</v>
      </c>
      <c r="I1" s="6" t="s">
        <v>154</v>
      </c>
      <c r="J1" s="29" t="s">
        <v>155</v>
      </c>
      <c r="K1" s="29" t="s">
        <v>156</v>
      </c>
      <c r="L1" s="29" t="s">
        <v>157</v>
      </c>
      <c r="M1" s="6" t="s">
        <v>158</v>
      </c>
      <c r="N1" s="6" t="s">
        <v>159</v>
      </c>
      <c r="O1" s="6" t="s">
        <v>160</v>
      </c>
      <c r="P1" s="6" t="s">
        <v>161</v>
      </c>
    </row>
    <row r="2">
      <c r="A2" s="7">
        <v>1.0</v>
      </c>
      <c r="B2" s="8" t="s">
        <v>162</v>
      </c>
      <c r="C2" s="8" t="s">
        <v>8</v>
      </c>
      <c r="D2" s="8" t="str">
        <f>IFERROR(__xludf.DUMMYFUNCTION("filter('Imported Challenges'!B:D,'Imported Challenges'!A:A=A2)"),"A recurrent problem is the level of students knowledge that they come when they start the discipline.
The lack of proficiency of some students in some criteria of this ends up making this practice difficult.
For those who are from infrastructure and are"&amp;" only used to accessing the server, building it with a tool like Maven, for example, can be a challenge for them.
Some people take a network course they know when IP addresses. Some people don't know what an IP address is.
Many students, even master's s"&amp;"tudents who are going through this kind of a program are probably, are we missing one or two frames of reference? A lot of students come through approaching this from the software engineering side of the house. They're learning how to build applications a"&amp;"nd that sort of thing. They have no real experience on operations and simply standing up infrastructure in the cloud is not operations, right? It's an aspect of operations. It's important piece of operations, but it's not everything you don't necessarily "&amp;"have people with the expertise in network design capacity plan, security, identity management")</f>
        <v>A recurrent problem is the level of students knowledge that they come when they start the discipline.
The lack of proficiency of some students in some criteria of this ends up making this practice difficult.
For those who are from infrastructure and are only used to accessing the server, building it with a tool like Maven, for example, can be a challenge for them.
Some people take a network course they know when IP addresses. Some people don't know what an IP address is.
Many students, even master's students who are going through this kind of a program are probably, are we missing one or two frames of reference? A lot of students come through approaching this from the software engineering side of the house. They're learning how to build applications and that sort of thing. They have no real experience on operations and simply standing up infrastructure in the cloud is not operations, right? It's an aspect of operations. It's important piece of operations, but it's not everything you don't necessarily have people with the expertise in network design capacity plan, security, identity management</v>
      </c>
      <c r="E2" s="8" t="str">
        <f>IFERROR(__xludf.DUMMYFUNCTION("""COMPUTED_VALUE"""),"Insufficient knowledge level of students to start the course.
Students' previous lack of knowledge makes learning difficult.
It is challenging for students with an operating background to carry out software development activities, such as generating a b"&amp;"uild with the maven tool.
Students who came from the area of ​​software engineering lack experience in operational activities.
Some students don't know network concepts.")</f>
        <v>Insufficient knowledge level of students to start the course.
Students' previous lack of knowledge makes learning difficult.
It is challenging for students with an operating background to carry out software development activities, such as generating a build with the maven tool.
Students who came from the area of ​​software engineering lack experience in operational activities.
Some students don't know network concepts.</v>
      </c>
      <c r="F2" s="8" t="str">
        <f>IFERROR(__xludf.DUMMYFUNCTION("""COMPUTED_VALUE"""),"Insufficient knowledge level of students to start the course.")</f>
        <v>Insufficient knowledge level of students to start the course.</v>
      </c>
      <c r="G2" s="9" t="s">
        <v>9</v>
      </c>
      <c r="H2" s="9" t="s">
        <v>10</v>
      </c>
      <c r="I2" s="9"/>
      <c r="J2" s="30" t="s">
        <v>9</v>
      </c>
      <c r="K2" s="31" t="s">
        <v>10</v>
      </c>
      <c r="L2" s="31"/>
      <c r="M2" s="6"/>
      <c r="N2" s="6"/>
      <c r="O2" s="25"/>
      <c r="P2" s="9"/>
    </row>
    <row r="3" ht="69.75" customHeight="1">
      <c r="A3" s="8">
        <v>2.0</v>
      </c>
      <c r="B3" s="8" t="s">
        <v>162</v>
      </c>
      <c r="C3" s="8" t="s">
        <v>8</v>
      </c>
      <c r="D3" s="8" t="str">
        <f>IFERROR(__xludf.DUMMYFUNCTION("filter('Imported Challenges'!B:D,'Imported Challenges'!A:A=A3)"),"To configure a environment needed to start.
I had difficulty setting up the infrastructure.
If you want a kind of hybrid discipline, in which you have the theory and applied practice, then the challenge will be different, then it ranges from having an e"&amp;"nvironment for it to structuring the environment, or thinking about something like that, to making a virtual machine available.
We've tried to let the students, uh, deal with the setup and, uh, install everything on their computer with Dockerizing stuff "&amp;"and scan things. And that was yet another disaster because then it's not reproducible and it works on their computer, but then it's really complicated to make it work on the TA.")</f>
        <v>To configure a environment needed to start.
I had difficulty setting up the infrastructure.
If you want a kind of hybrid discipline, in which you have the theory and applied practice, then the challenge will be different, then it ranges from having an environment for it to structuring the environment, or thinking about something like that, to making a virtual machine available.
We've tried to let the students, uh, deal with the setup and, uh, install everything on their computer with Dockerizing stuff and scan things. And that was yet another disaster because then it's not reproducible and it works on their computer, but then it's really complicated to make it work on the TA.</v>
      </c>
      <c r="E3" s="8" t="str">
        <f>IFERROR(__xludf.DUMMYFUNCTION("""COMPUTED_VALUE"""),"Difficulty configuring and setting up the infrastructure needed to run DevOps experiments.
Difficulty in setting up the infrastructure.
Be concerned about the infrastructure used in the student's environment.
If you let the students deal with the envir"&amp;"onment setup on their computers, it will become not reproducible and complicated to make it work even with the teacher assistant.")</f>
        <v>Difficulty configuring and setting up the infrastructure needed to run DevOps experiments.
Difficulty in setting up the infrastructure.
Be concerned about the infrastructure used in the student's environment.
If you let the students deal with the environment setup on their computers, it will become not reproducible and complicated to make it work even with the teacher assistant.</v>
      </c>
      <c r="F3" s="8" t="str">
        <f>IFERROR(__xludf.DUMMYFUNCTION("""COMPUTED_VALUE"""),"Setting up the infrastructure is difficulty.")</f>
        <v>Setting up the infrastructure is difficulty.</v>
      </c>
      <c r="G3" s="9" t="s">
        <v>11</v>
      </c>
      <c r="H3" s="9" t="s">
        <v>12</v>
      </c>
      <c r="I3" s="9"/>
      <c r="J3" s="30" t="s">
        <v>11</v>
      </c>
      <c r="K3" s="31" t="s">
        <v>12</v>
      </c>
      <c r="L3" s="31"/>
      <c r="M3" s="6"/>
      <c r="N3" s="6"/>
      <c r="O3" s="25"/>
      <c r="P3" s="9"/>
    </row>
    <row r="4" ht="115.5" customHeight="1">
      <c r="A4" s="8">
        <v>3.0</v>
      </c>
      <c r="B4" s="8" t="s">
        <v>162</v>
      </c>
      <c r="C4" s="8" t="s">
        <v>8</v>
      </c>
      <c r="D4" s="8" t="str">
        <f>IFERROR(__xludf.DUMMYFUNCTION("filter('Imported Challenges'!B:D,'Imported Challenges'!A:A=A4)"),"In many times, a professor would need computational resources to teach specific concepts [...] to configure real scenarios as much as possible.
Many times, you do not have access to computer resources to set up scenarios that you can actually teach labs "&amp;"or do, there, labs for students to learn.
Student machine capacity restriction.
We depend on the internet, I will give you a straightforward example, you will use the virtual machine, no matter how much you use Vagrant, for example, it needs to download"&amp;" a base image. And depending on the student's location, it takes two minutes and up to two hours.
If you're the things and they've launch, you know, Docker and Jenkins, that's it or JDK, that's it. There's no memory left. Um, so is the environment set up"&amp;" is hard. ")</f>
        <v>In many times, a professor would need computational resources to teach specific concepts [...] to configure real scenarios as much as possible.
Many times, you do not have access to computer resources to set up scenarios that you can actually teach labs or do, there, labs for students to learn.
Student machine capacity restriction.
We depend on the internet, I will give you a straightforward example, you will use the virtual machine, no matter how much you use Vagrant, for example, it needs to download a base image. And depending on the student's location, it takes two minutes and up to two hours.
If you're the things and they've launch, you know, Docker and Jenkins, that's it or JDK, that's it. There's no memory left. Um, so is the environment set up is hard. </v>
      </c>
      <c r="E4" s="8" t="str">
        <f>IFERROR(__xludf.DUMMYFUNCTION("""COMPUTED_VALUE"""),"Few computational resources for setting up scenarios close to real ones.
Lack of computer resources for teaching the class.
Students may have learning difficulties due to their machine's capacity constraints.
Students may have limited internet access. "&amp;"It difficults activities such as downloading OS images to virtual machines.
Local environment set up is hard because it needs lots of hardware.")</f>
        <v>Few computational resources for setting up scenarios close to real ones.
Lack of computer resources for teaching the class.
Students may have learning difficulties due to their machine's capacity constraints.
Students may have limited internet access. It difficults activities such as downloading OS images to virtual machines.
Local environment set up is hard because it needs lots of hardware.</v>
      </c>
      <c r="F4" s="8" t="str">
        <f>IFERROR(__xludf.DUMMYFUNCTION("""COMPUTED_VALUE"""),"Limited computional resources.")</f>
        <v>Limited computional resources.</v>
      </c>
      <c r="G4" s="9" t="s">
        <v>13</v>
      </c>
      <c r="H4" s="9" t="s">
        <v>12</v>
      </c>
      <c r="I4" s="9"/>
      <c r="J4" s="30" t="s">
        <v>13</v>
      </c>
      <c r="K4" s="31" t="s">
        <v>12</v>
      </c>
      <c r="L4" s="31"/>
      <c r="M4" s="6"/>
      <c r="N4" s="6"/>
      <c r="O4" s="25"/>
      <c r="P4" s="9"/>
    </row>
    <row r="5" ht="115.5" customHeight="1">
      <c r="A5" s="7">
        <v>4.0</v>
      </c>
      <c r="B5" s="8" t="s">
        <v>162</v>
      </c>
      <c r="C5" s="8" t="s">
        <v>8</v>
      </c>
      <c r="D5" s="8" t="str">
        <f>IFERROR(__xludf.DUMMYFUNCTION("filter('Imported Challenges'!B:D,'Imported Challenges'!A:A=A5)"),"Some datasets as Azure from Microsoft, which the federal institute has a partnership has limited trial time to test, and it is necessary to have a credit card and other related things which sometimes the students do not have.
There is no account, like, t"&amp;"he teacher that he can make available, and there are resources for what students learn to set up these scenarios, right? Neither a local datacenter nor one of these commercials, many times it is not, it does not have all the possibilities you could use, a"&amp;"t least not, without being linked to an agreement or something like that.
If you are going to make this CI in the cloud commercially, you will have to pay. It is not free. Free here just for us to play, right? However, if you want to put your company's s"&amp;"ystem to do, I don't know how many integrations per week, you will have to pay for it.
Mean, captive of their platform and you also have to sign with your blood and agreements that you're doing it for academic purposes and those kind of things, because I"&amp;"BM can be quite aggressive with their partnership, um, policies. So except that I had to sign something that was a little bit too much from my perspective, this kind of tooling was good.")</f>
        <v>Some datasets as Azure from Microsoft, which the federal institute has a partnership has limited trial time to test, and it is necessary to have a credit card and other related things which sometimes the students do not have.
There is no account, like, the teacher that he can make available, and there are resources for what students learn to set up these scenarios, right? Neither a local datacenter nor one of these commercials, many times it is not, it does not have all the possibilities you could use, at least not, without being linked to an agreement or something like that.
If you are going to make this CI in the cloud commercially, you will have to pay. It is not free. Free here just for us to play, right? However, if you want to put your company's system to do, I don't know how many integrations per week, you will have to pay for it.
Mean, captive of their platform and you also have to sign with your blood and agreements that you're doing it for academic purposes and those kind of things, because IBM can be quite aggressive with their partnership, um, policies. So except that I had to sign something that was a little bit too much from my perspective, this kind of tooling was good.</v>
      </c>
      <c r="E5" s="8" t="str">
        <f>IFERROR(__xludf.DUMMYFUNCTION("""COMPUTED_VALUE"""),"Even through educational partnerships, using private cloud providers by students could be limited.
In public clouds, teacher use of student resource management is not widely available.
Using cloud services more professionally requires payment at a comme"&amp;"rcial level.
Cloud providers can have aggressive policies in the agreements for academic purposes.")</f>
        <v>Even through educational partnerships, using private cloud providers by students could be limited.
In public clouds, teacher use of student resource management is not widely available.
Using cloud services more professionally requires payment at a commercial level.
Cloud providers can have aggressive policies in the agreements for academic purposes.</v>
      </c>
      <c r="F5" s="8" t="str">
        <f>IFERROR(__xludf.DUMMYFUNCTION("""COMPUTED_VALUE"""),"Cloud providers usage has limits.")</f>
        <v>Cloud providers usage has limits.</v>
      </c>
      <c r="G5" s="9" t="s">
        <v>14</v>
      </c>
      <c r="H5" s="9" t="s">
        <v>12</v>
      </c>
      <c r="I5" s="9"/>
      <c r="J5" s="30" t="s">
        <v>14</v>
      </c>
      <c r="K5" s="31" t="s">
        <v>12</v>
      </c>
      <c r="L5" s="31"/>
      <c r="M5" s="6"/>
      <c r="N5" s="6"/>
      <c r="O5" s="25"/>
      <c r="P5" s="9"/>
    </row>
    <row r="6">
      <c r="A6" s="8">
        <v>6.0</v>
      </c>
      <c r="B6" s="8" t="s">
        <v>162</v>
      </c>
      <c r="C6" s="8" t="s">
        <v>8</v>
      </c>
      <c r="D6" s="8" t="str">
        <f>IFERROR(__xludf.DUMMYFUNCTION("filter('Imported Challenges'!B:D,'Imported Challenges'!A:A=A6)"),"There is no accepted taxonomy of what the concepts of DevOps are.
There's a lack of frame of reference on even what operations is. Most people get into operations, at least in my experience sort of accidentally.
 How to express concept, formalize them. "&amp;"But at the same time also focus on those issues that are getting in the way, the non-industrial way of, you know, writing scripts that if you want to industrialize them and they become Bulletproof, it's a mess, right? It's difficult.")</f>
        <v>There is no accepted taxonomy of what the concepts of DevOps are.
There's a lack of frame of reference on even what operations is. Most people get into operations, at least in my experience sort of accidentally.
 How to express concept, formalize them. But at the same time also focus on those issues that are getting in the way, the non-industrial way of, you know, writing scripts that if you want to industrialize them and they become Bulletproof, it's a mess, right? It's difficult.</v>
      </c>
      <c r="E6" s="26" t="str">
        <f>IFERROR(__xludf.DUMMYFUNCTION("""COMPUTED_VALUE"""),"There is no taxonomy about what are the main DevOps concepts.
There's a lack of reference on operations concepts.
It is difficult to express and formalize DevOps concepts. There is not bulletproof in devops.")</f>
        <v>There is no taxonomy about what are the main DevOps concepts.
There's a lack of reference on operations concepts.
It is difficult to express and formalize DevOps concepts. There is not bulletproof in devops.</v>
      </c>
      <c r="F6" s="26" t="str">
        <f>IFERROR(__xludf.DUMMYFUNCTION("""COMPUTED_VALUE"""),"There is no convention about DevOps concepts.")</f>
        <v>There is no convention about DevOps concepts.</v>
      </c>
      <c r="G6" s="9" t="s">
        <v>15</v>
      </c>
      <c r="H6" s="9" t="s">
        <v>16</v>
      </c>
      <c r="I6" s="9"/>
      <c r="J6" s="30" t="s">
        <v>15</v>
      </c>
      <c r="K6" s="31" t="s">
        <v>16</v>
      </c>
      <c r="L6" s="31"/>
      <c r="M6" s="32"/>
      <c r="N6" s="32"/>
      <c r="O6" s="25"/>
      <c r="P6" s="19"/>
    </row>
    <row r="7" ht="221.25" customHeight="1">
      <c r="A7" s="7">
        <v>7.0</v>
      </c>
      <c r="B7" s="8" t="s">
        <v>162</v>
      </c>
      <c r="C7" s="8" t="s">
        <v>8</v>
      </c>
      <c r="D7" s="8" t="str">
        <f>IFERROR(__xludf.DUMMYFUNCTION("filter('Imported Challenges'!B:D,'Imported Challenges'!A:A=A7)"),"I don't know any specific teaching devops tool.")</f>
        <v>I don't know any specific teaching devops tool.</v>
      </c>
      <c r="E7" s="8" t="str">
        <f>IFERROR(__xludf.DUMMYFUNCTION("""COMPUTED_VALUE"""),"Unknown specific devops educational supportive environment.")</f>
        <v>Unknown specific devops educational supportive environment.</v>
      </c>
      <c r="F7" s="7"/>
      <c r="G7" s="25" t="s">
        <v>17</v>
      </c>
      <c r="H7" s="9" t="s">
        <v>18</v>
      </c>
      <c r="I7" s="9"/>
      <c r="J7" s="33" t="s">
        <v>17</v>
      </c>
      <c r="K7" s="31" t="s">
        <v>18</v>
      </c>
      <c r="L7" s="31"/>
      <c r="M7" s="6"/>
      <c r="N7" s="6"/>
      <c r="O7" s="25"/>
      <c r="P7" s="9"/>
    </row>
    <row r="8">
      <c r="A8" s="8">
        <v>8.0</v>
      </c>
      <c r="B8" s="8" t="s">
        <v>162</v>
      </c>
      <c r="C8" s="8" t="s">
        <v>8</v>
      </c>
      <c r="D8" s="8" t="str">
        <f>IFERROR(__xludf.DUMMYFUNCTION("filter('Imported Challenges'!B:D,'Imported Challenges'!A:A=A8)"),"We sometimes want to teach everything and we don't have infinite time[...] to fit the knowledge of DevOps, which is very broad knowledge and involves at least two distinct areas[...]
Making it fit was more difficult because sometimes the content is too l"&amp;"ong and time is limited.
The challenge in this aspect refers to [..] the issue of laboratories [...], but you always end up as a matter of time versus class development.
When I taught the DevOps course in my master's, it was DevOps from beginning to end"&amp;", right? So I had to decide everything that was going to go into the content. There is a lot that was left out.
This area of ​​DevOps is gigantic too. So training is limited there. It is a forty-hour training, right?
My biggest challenge is that my cour"&amp;"se should be two semesters because it's just too much stuff to fit in one semester. [...] the challenge there is I had to put together a curriculum that had, um, a little bit about everything. [...] So it's challenging fitting all that stuff into one seme"&amp;"ster.
   There's lots and lots of information, which is why I give them lots of support during the week on slack. Um, but there's lots of information to cover. And because it's so challenging, I don't get to cover a lot of once you deploy it, how do you "&amp;"monitor it? Uh, right. And, and, and how do you, how do you, you know, go through the logs? And I mean, we do a little bit of looking at the logs when we deploy it to figure out if it's working, but I don't do a lot of the ops side of DevOps.
And in term"&amp;"s of operation, a lot of the stuff that we tend to do at university tends to be fairly small because there's just realistic time constraints for how much people can get done in a week or two, or even in a term or a semester. ...  that I've found is a litt"&amp;"le bit of misconception or at least prejudice around what devops actually is.
Because in though in the ops part, and this is the stuff I typically don't have as much time for simply because I know most of the students are coming from the software develop"&amp;"ment side of the house.
That's exactly. That's a lot for one semester.
I introduced the concept of them speaking about continuous integration, continuous, and delivery and continuous deployment. But, uh, in, in practice doing the remaining stage in the "&amp;"lab is very challenging because we don't have enough time because it's three months.")</f>
        <v>We sometimes want to teach everything and we don't have infinite time[...] to fit the knowledge of DevOps, which is very broad knowledge and involves at least two distinct areas[...]
Making it fit was more difficult because sometimes the content is too long and time is limited.
The challenge in this aspect refers to [..] the issue of laboratories [...], but you always end up as a matter of time versus class development.
When I taught the DevOps course in my master's, it was DevOps from beginning to end, right? So I had to decide everything that was going to go into the content. There is a lot that was left out.
This area of ​​DevOps is gigantic too. So training is limited there. It is a forty-hour training, right?
My biggest challenge is that my course should be two semesters because it's just too much stuff to fit in one semester. [...] the challenge there is I had to put together a curriculum that had, um, a little bit about everything. [...] So it's challenging fitting all that stuff into one semester.
   There's lots and lots of information, which is why I give them lots of support during the week on slack. Um, but there's lots of information to cover. And because it's so challenging, I don't get to cover a lot of once you deploy it, how do you monitor it? Uh, right. And, and, and how do you, how do you, you know, go through the logs? And I mean, we do a little bit of looking at the logs when we deploy it to figure out if it's working, but I don't do a lot of the ops side of DevOps.
And in terms of operation, a lot of the stuff that we tend to do at university tends to be fairly small because there's just realistic time constraints for how much people can get done in a week or two, or even in a term or a semester. ...  that I've found is a little bit of misconception or at least prejudice around what devops actually is.
Because in though in the ops part, and this is the stuff I typically don't have as much time for simply because I know most of the students are coming from the software development side of the house.
That's exactly. That's a lot for one semester.
I introduced the concept of them speaking about continuous integration, continuous, and delivery and continuous deployment. But, uh, in, in practice doing the remaining stage in the lab is very challenging because we don't have enough time because it's three months.</v>
      </c>
      <c r="E8" s="8" t="str">
        <f>IFERROR(__xludf.DUMMYFUNCTION("""COMPUTED_VALUE"""),"Insufficient time to address extensive DevOps knowledge in a limited-hour curriculum.
Insufficient time to address extensive DevOps knowledge in a limited-hour curriculum.
Limitation of the development of laboratory practices in class due to the short t"&amp;"ime.
There is a limited amount of time to teach the devops content.
Lots of DevOps content to teach with little time available (40 hours).
DevOps has too much contents and it's hard to fit it in a semester.
No time to teach operations side.
Realistic"&amp;" time constraints prejudice around what devops actually is.
In devops course with dev and ops together, ops part are not touched because dev parts take a lot of time.
One semester is insufficient time to teach DevOps.
Labs of continuous integration and"&amp;" continous delivery are challeging because there is not enough time in three months.")</f>
        <v>Insufficient time to address extensive DevOps knowledge in a limited-hour curriculum.
Insufficient time to address extensive DevOps knowledge in a limited-hour curriculum.
Limitation of the development of laboratory practices in class due to the short time.
There is a limited amount of time to teach the devops content.
Lots of DevOps content to teach with little time available (40 hours).
DevOps has too much contents and it's hard to fit it in a semester.
No time to teach operations side.
Realistic time constraints prejudice around what devops actually is.
In devops course with dev and ops together, ops part are not touched because dev parts take a lot of time.
One semester is insufficient time to teach DevOps.
Labs of continuous integration and continous delivery are challeging because there is not enough time in three months.</v>
      </c>
      <c r="F8" s="8" t="str">
        <f>IFERROR(__xludf.DUMMYFUNCTION("""COMPUTED_VALUE"""),"Insufficient time in the course to teach DevOps.")</f>
        <v>Insufficient time in the course to teach DevOps.</v>
      </c>
      <c r="G8" s="25" t="s">
        <v>19</v>
      </c>
      <c r="H8" s="9" t="s">
        <v>10</v>
      </c>
      <c r="I8" s="9"/>
      <c r="J8" s="33" t="s">
        <v>19</v>
      </c>
      <c r="K8" s="31" t="s">
        <v>10</v>
      </c>
      <c r="L8" s="31"/>
      <c r="M8" s="6"/>
      <c r="N8" s="6"/>
      <c r="O8" s="25"/>
      <c r="P8" s="6"/>
    </row>
    <row r="9">
      <c r="A9" s="8">
        <v>9.0</v>
      </c>
      <c r="B9" s="8" t="s">
        <v>162</v>
      </c>
      <c r="C9" s="8" t="s">
        <v>8</v>
      </c>
      <c r="D9" s="8" t="str">
        <f>IFERROR(__xludf.DUMMYFUNCTION("filter('Imported Challenges'!B:D,'Imported Challenges'!A:A=A9)"),"[...] I couldn't set up a DevOps environment due to restrictions even with administrative authorization.
 That simply wasn't a possibility and computer labs are not equipped for that sort of a thing because of necessity. Universities have to lock down th"&amp;"eir software and hardware to keep really bad things from happening.
You have the machines where you deploy to. Um, and quite often the students are in the same classroom on the wifi of the universities or the under the sub network, but the ports are not "&amp;"open [...] you need a lot of machines interconnected, um, with visibility on each other that they can get to. And that's hard in a, in a, in a classroom environment this year I had 78 students.
All of those challenges are basically how do you rebuild an "&amp;"enterprise environment into a university environment that is much more restrictive and doesn't have enough machines for them. Usually that's a real challenge.
")</f>
        <v>[...] I couldn't set up a DevOps environment due to restrictions even with administrative authorization.
 That simply wasn't a possibility and computer labs are not equipped for that sort of a thing because of necessity. Universities have to lock down their software and hardware to keep really bad things from happening.
You have the machines where you deploy to. Um, and quite often the students are in the same classroom on the wifi of the universities or the under the sub network, but the ports are not open [...] you need a lot of machines interconnected, um, with visibility on each other that they can get to. And that's hard in a, in a, in a classroom environment this year I had 78 students.
All of those challenges are basically how do you rebuild an enterprise environment into a university environment that is much more restrictive and doesn't have enough machines for them. Usually that's a real challenge.
</v>
      </c>
      <c r="E9" s="8" t="str">
        <f>IFERROR(__xludf.DUMMYFUNCTION("""COMPUTED_VALUE"""),"Difficulty in getting authorization and lab resources from the institution to install tools in order to setup a DevOps environment.
University labs have restrictions on installing tools.
The academy has network limitations to create near-real infrastruc"&amp;"ture.
It is difficult to build an enterprise environment into a university environment that is much more restrictive and doesn't have enough machines for them.")</f>
        <v>Difficulty in getting authorization and lab resources from the institution to install tools in order to setup a DevOps environment.
University labs have restrictions on installing tools.
The academy has network limitations to create near-real infrastructure.
It is difficult to build an enterprise environment into a university environment that is much more restrictive and doesn't have enough machines for them.</v>
      </c>
      <c r="F9" s="8" t="str">
        <f>IFERROR(__xludf.DUMMYFUNCTION("""COMPUTED_VALUE"""),"Institutions' resources have limits.")</f>
        <v>Institutions' resources have limits.</v>
      </c>
      <c r="G9" s="25" t="s">
        <v>20</v>
      </c>
      <c r="H9" s="9" t="s">
        <v>12</v>
      </c>
      <c r="I9" s="9"/>
      <c r="J9" s="33" t="s">
        <v>20</v>
      </c>
      <c r="K9" s="31" t="s">
        <v>12</v>
      </c>
      <c r="L9" s="31"/>
      <c r="M9" s="6"/>
      <c r="N9" s="6"/>
      <c r="O9" s="25"/>
      <c r="P9" s="9"/>
    </row>
    <row r="10" ht="134.25" customHeight="1">
      <c r="A10" s="7">
        <v>10.0</v>
      </c>
      <c r="B10" s="8" t="s">
        <v>162</v>
      </c>
      <c r="C10" s="8" t="s">
        <v>8</v>
      </c>
      <c r="D10" s="8" t="str">
        <f>IFERROR(__xludf.DUMMYFUNCTION("filter('Imported Challenges'!B:D,'Imported Challenges'!A:A=A10)"),"
There wasn't a tool to configure the environment [...] or to automate these environments then [..] since it became manual.")</f>
        <v>
There wasn't a tool to configure the environment [...] or to automate these environments then [..] since it became manual.</v>
      </c>
      <c r="E10" s="8" t="str">
        <f>IFERROR(__xludf.DUMMYFUNCTION("""COMPUTED_VALUE"""),"There was no automated environment setup tool to support the student.")</f>
        <v>There was no automated environment setup tool to support the student.</v>
      </c>
      <c r="F10" s="7"/>
      <c r="G10" s="25" t="s">
        <v>21</v>
      </c>
      <c r="H10" s="9" t="s">
        <v>12</v>
      </c>
      <c r="I10" s="9"/>
      <c r="J10" s="33" t="s">
        <v>21</v>
      </c>
      <c r="K10" s="31" t="s">
        <v>12</v>
      </c>
      <c r="L10" s="31"/>
      <c r="M10" s="6"/>
      <c r="N10" s="6"/>
      <c r="O10" s="25"/>
      <c r="P10" s="9"/>
    </row>
    <row r="11">
      <c r="A11" s="8">
        <v>11.0</v>
      </c>
      <c r="B11" s="8" t="s">
        <v>162</v>
      </c>
      <c r="C11" s="8" t="s">
        <v>8</v>
      </c>
      <c r="D11" s="8" t="str">
        <f>IFERROR(__xludf.DUMMYFUNCTION("filter('Imported Challenges'!B:D,'Imported Challenges'!A:A=A11)"),"There wasn't a set of [...] scripts that the student should configure this environment himself, install the tool himself [...] whatever the servers he needed.")</f>
        <v>There wasn't a set of [...] scripts that the student should configure this environment himself, install the tool himself [...] whatever the servers he needed.</v>
      </c>
      <c r="E11" s="8" t="str">
        <f>IFERROR(__xludf.DUMMYFUNCTION("""COMPUTED_VALUE"""),"There was no script for the student on how to install the tools used during the course.")</f>
        <v>There was no script for the student on how to install the tools used during the course.</v>
      </c>
      <c r="F11" s="8"/>
      <c r="G11" s="25" t="s">
        <v>22</v>
      </c>
      <c r="H11" s="9" t="s">
        <v>12</v>
      </c>
      <c r="I11" s="9"/>
      <c r="J11" s="33" t="s">
        <v>22</v>
      </c>
      <c r="K11" s="31" t="s">
        <v>12</v>
      </c>
      <c r="L11" s="31"/>
      <c r="M11" s="6"/>
      <c r="N11" s="6"/>
      <c r="O11" s="25"/>
      <c r="P11" s="9"/>
    </row>
    <row r="12">
      <c r="A12" s="8">
        <v>12.0</v>
      </c>
      <c r="B12" s="8" t="s">
        <v>162</v>
      </c>
      <c r="C12" s="8" t="s">
        <v>8</v>
      </c>
      <c r="D12" s="8" t="str">
        <f>IFERROR(__xludf.DUMMYFUNCTION("filter('Imported Challenges'!B:D,'Imported Challenges'!A:A=A12)"),"There is no such literature in the area of ​​enterprise systems.
A partner editor, including the board, who brought a catalog of books for us to take a look at, and I went after it, including a book on the subject, right? From corporate systems, right, f"&amp;"rom this part of DevOps, and simply, I didn't find it in the catalog.
The even greater difficulty, which I can point out, is precisely the structuring, really, perhaps of the sequence of classes, because we do not have this material that guides.
It is a"&amp;" discipline with no definition, so there is no introductory textbook. There is not something totally agreed upon between the community of what it is, when it is applied, and such.
The course preparation is very difficult [...] there will not be that much"&amp;" paper, article because it is very new.
 And then the books are more industry oriented. Like, uh, we don't look at the, uh, uh, more with teaching parts, like, um, so there is no textbook, actually it is more industry document, eh, discussion about DevOp"&amp;"s.
 what we sit and do, but, uh, so from the lab perspective, that's interesting, but on the teaching side, as I said, like, uh, having limited material, make the teaching a little bit more difficult.
your books are written mostly with the different pro"&amp;"jects in mind. Like they are thinking about people working in the company, but not thinking about students who are learning. And this makes it very difficult to design a DevOps curriculum where you cover a hundred percent DevOps in one course.")</f>
        <v>There is no such literature in the area of ​​enterprise systems.
A partner editor, including the board, who brought a catalog of books for us to take a look at, and I went after it, including a book on the subject, right? From corporate systems, right, from this part of DevOps, and simply, I didn't find it in the catalog.
The even greater difficulty, which I can point out, is precisely the structuring, really, perhaps of the sequence of classes, because we do not have this material that guides.
It is a discipline with no definition, so there is no introductory textbook. There is not something totally agreed upon between the community of what it is, when it is applied, and such.
The course preparation is very difficult [...] there will not be that much paper, article because it is very new.
 And then the books are more industry oriented. Like, uh, we don't look at the, uh, uh, more with teaching parts, like, um, so there is no textbook, actually it is more industry document, eh, discussion about DevOps.
 what we sit and do, but, uh, so from the lab perspective, that's interesting, but on the teaching side, as I said, like, uh, having limited material, make the teaching a little bit more difficult.
your books are written mostly with the different projects in mind. Like they are thinking about people working in the company, but not thinking about students who are learning. And this makes it very difficult to design a DevOps curriculum where you cover a hundred percent DevOps in one course.</v>
      </c>
      <c r="E12" s="8" t="str">
        <f>IFERROR(__xludf.DUMMYFUNCTION("""COMPUTED_VALUE"""),"Difficulty finding book on corporate systems related to DevOps.
Literature in the area of ​​enterprise systems related to DevOps is insufficient.
Difficulty in structuring classes due to lack of reference material.
There is no fully agreed community ba"&amp;"se text.
There are not so many scientific articles on which to base course preparation.
The books are more industry oriented. There is no textbook about with discussion about DevOps concepts.
There's limited material to teach.
Books are designed to co"&amp;"mpany professionals and not about to students who are learning.")</f>
        <v>Difficulty finding book on corporate systems related to DevOps.
Literature in the area of ​​enterprise systems related to DevOps is insufficient.
Difficulty in structuring classes due to lack of reference material.
There is no fully agreed community base text.
There are not so many scientific articles on which to base course preparation.
The books are more industry oriented. There is no textbook about with discussion about DevOps concepts.
There's limited material to teach.
Books are designed to company professionals and not about to students who are learning.</v>
      </c>
      <c r="F12" s="8" t="str">
        <f>IFERROR(__xludf.DUMMYFUNCTION("""COMPUTED_VALUE"""),"Insufficient literature related to teach DevOps.")</f>
        <v>Insufficient literature related to teach DevOps.</v>
      </c>
      <c r="G12" s="25" t="s">
        <v>23</v>
      </c>
      <c r="H12" s="9" t="s">
        <v>24</v>
      </c>
      <c r="I12" s="9"/>
      <c r="J12" s="33" t="s">
        <v>23</v>
      </c>
      <c r="K12" s="31" t="s">
        <v>24</v>
      </c>
      <c r="L12" s="31"/>
      <c r="M12" s="6"/>
      <c r="N12" s="6"/>
      <c r="O12" s="25"/>
      <c r="P12" s="9"/>
    </row>
    <row r="13">
      <c r="A13" s="7">
        <v>13.0</v>
      </c>
      <c r="B13" s="8" t="s">
        <v>162</v>
      </c>
      <c r="C13" s="8" t="s">
        <v>8</v>
      </c>
      <c r="D13" s="8" t="str">
        <f>IFERROR(__xludf.DUMMYFUNCTION("filter('Imported Challenges'!B:D,'Imported Challenges'!A:A=A13)"),"Once it's deployed, how do you manage to monitor and give and maybe get feedback from the customer, maybe things to improve, the monitoring of the system itself, this part is a challenge, really, to be able to show it to the student and maybe , make him f"&amp;"ace it from a more professional perspective, because already imagining that he is going to the market and will come across these many situations there.
When they arrive, many use another environment[...] they put the system there and they don't have to w"&amp;"orry too much about other details[...] We really ask them to make this migration for them to have this other view, this aspect of setting up the environment. Putting it into production and keeping this system working.[...] I think this can be seen as a ch"&amp;"allenge, which is to convince students to give importance to this, the importance of them knowing these aspects too, not leaving it so transparent to them too.")</f>
        <v>Once it's deployed, how do you manage to monitor and give and maybe get feedback from the customer, maybe things to improve, the monitoring of the system itself, this part is a challenge, really, to be able to show it to the student and maybe , make him face it from a more professional perspective, because already imagining that he is going to the market and will come across these many situations there.
When they arrive, many use another environment[...] they put the system there and they don't have to worry too much about other details[...] We really ask them to make this migration for them to have this other view, this aspect of setting up the environment. Putting it into production and keeping this system working.[...] I think this can be seen as a challenge, which is to convince students to give importance to this, the importance of them knowing these aspects too, not leaving it so transparent to them too.</v>
      </c>
      <c r="E13" s="8" t="str">
        <f>IFERROR(__xludf.DUMMYFUNCTION("""COMPUTED_VALUE"""),"It is difficult to make the student face teaching scenarios with a more professional perspective, with production-level monitoring.
Difficulty in making clear to students the importance of having a more realistic perspective of production, using other en"&amp;"vironments and leaving aside the comfort zone in which they may be inserted.")</f>
        <v>It is difficult to make the student face teaching scenarios with a more professional perspective, with production-level monitoring.
Difficulty in making clear to students the importance of having a more realistic perspective of production, using other environments and leaving aside the comfort zone in which they may be inserted.</v>
      </c>
      <c r="F13" s="8" t="str">
        <f>IFERROR(__xludf.DUMMYFUNCTION("""COMPUTED_VALUE"""),"Difficulty in making clear to students the importance of having a more realistic perspective of production.")</f>
        <v>Difficulty in making clear to students the importance of having a more realistic perspective of production.</v>
      </c>
      <c r="G13" s="25" t="s">
        <v>25</v>
      </c>
      <c r="H13" s="9" t="s">
        <v>73</v>
      </c>
      <c r="I13" s="9"/>
      <c r="J13" s="33" t="s">
        <v>25</v>
      </c>
      <c r="K13" s="31" t="s">
        <v>73</v>
      </c>
      <c r="L13" s="31"/>
      <c r="M13" s="6" t="s">
        <v>163</v>
      </c>
      <c r="N13" s="6" t="s">
        <v>163</v>
      </c>
      <c r="O13" s="25"/>
      <c r="P13" s="9"/>
    </row>
    <row r="14">
      <c r="A14" s="7">
        <v>14.0</v>
      </c>
      <c r="B14" s="8" t="s">
        <v>162</v>
      </c>
      <c r="C14" s="8" t="s">
        <v>8</v>
      </c>
      <c r="D14" s="8" t="str">
        <f>IFERROR(__xludf.DUMMYFUNCTION("filter('Imported Challenges'!B:D,'Imported Challenges'!A:A=A14)"),"The challenge of making students see this approach to operationalization, putting the system on the air, maintaining this system, adding new features and not breaking the system.
The concept of continuous delivery [...] The difficult thing is to put it i"&amp;"nto practice [...] when they, as a team, need to release a certain functionality and ensure that it doesn't break the system.")</f>
        <v>The challenge of making students see this approach to operationalization, putting the system on the air, maintaining this system, adding new features and not breaking the system.
The concept of continuous delivery [...] The difficult thing is to put it into practice [...] when they, as a team, need to release a certain functionality and ensure that it doesn't break the system.</v>
      </c>
      <c r="E14" s="8" t="str">
        <f>IFERROR(__xludf.DUMMYFUNCTION("""COMPUTED_VALUE"""),"Difficulty in teaching the student how to operate the system, allowing the addition of new features without breaking the system.
Difficulty for students to practice the concept of Continuous Delivery when it is necessary to add new features to the system"&amp;" without the build breaking.")</f>
        <v>Difficulty in teaching the student how to operate the system, allowing the addition of new features without breaking the system.
Difficulty for students to practice the concept of Continuous Delivery when it is necessary to add new features to the system without the build breaking.</v>
      </c>
      <c r="F14" s="8" t="str">
        <f>IFERROR(__xludf.DUMMYFUNCTION("""COMPUTED_VALUE"""),"Difficulty in teaching the student how to operate the system, allowing the addition of new features without breaking the system.")</f>
        <v>Difficulty in teaching the student how to operate the system, allowing the addition of new features without breaking the system.</v>
      </c>
      <c r="G14" s="25" t="s">
        <v>26</v>
      </c>
      <c r="H14" s="9" t="s">
        <v>16</v>
      </c>
      <c r="I14" s="9"/>
      <c r="J14" s="33" t="s">
        <v>26</v>
      </c>
      <c r="K14" s="31" t="s">
        <v>16</v>
      </c>
      <c r="L14" s="31"/>
      <c r="M14" s="32" t="s">
        <v>163</v>
      </c>
      <c r="N14" s="32" t="s">
        <v>163</v>
      </c>
      <c r="O14" s="25"/>
      <c r="P14" s="9"/>
    </row>
    <row r="15">
      <c r="A15" s="7">
        <v>15.0</v>
      </c>
      <c r="B15" s="8" t="s">
        <v>162</v>
      </c>
      <c r="C15" s="8" t="s">
        <v>8</v>
      </c>
      <c r="D15" s="8" t="str">
        <f>IFERROR(__xludf.DUMMYFUNCTION("filter('Imported Challenges'!B:D,'Imported Challenges'!A:A=A15)"),"How can we see if the student is aware of the concept of continuous delivery, which is one of the concepts we address?")</f>
        <v>How can we see if the student is aware of the concept of continuous delivery, which is one of the concepts we address?</v>
      </c>
      <c r="E15" s="8" t="str">
        <f>IFERROR(__xludf.DUMMYFUNCTION("""COMPUTED_VALUE"""),"Difficulty in assessing students' understanding of Continuous Delivery.")</f>
        <v>Difficulty in assessing students' understanding of Continuous Delivery.</v>
      </c>
      <c r="F15" s="7"/>
      <c r="G15" s="25" t="s">
        <v>28</v>
      </c>
      <c r="H15" s="9" t="s">
        <v>29</v>
      </c>
      <c r="I15" s="9"/>
      <c r="J15" s="33" t="s">
        <v>28</v>
      </c>
      <c r="K15" s="31" t="s">
        <v>29</v>
      </c>
      <c r="L15" s="31"/>
      <c r="M15" s="32" t="s">
        <v>163</v>
      </c>
      <c r="N15" s="32" t="s">
        <v>163</v>
      </c>
      <c r="O15" s="25"/>
      <c r="P15" s="9"/>
    </row>
    <row r="16">
      <c r="A16" s="8">
        <v>16.0</v>
      </c>
      <c r="B16" s="26" t="s">
        <v>164</v>
      </c>
      <c r="C16" s="8" t="s">
        <v>8</v>
      </c>
      <c r="D16" s="8" t="str">
        <f>IFERROR(__xludf.DUMMYFUNCTION("filter('Imported Challenges'!B:D,'Imported Challenges'!A:A=A16)"),"It's more this initial contact that seems to scare them a little more, it makes them go to others, when they arrive.
The part of actually putting an initial part has this shock of this reality there for the students in which they have to leave a tool tha"&amp;"t they are already there with the system running and bring it to our tool.")</f>
        <v>It's more this initial contact that seems to scare them a little more, it makes them go to others, when they arrive.
The part of actually putting an initial part has this shock of this reality there for the students in which they have to leave a tool that they are already there with the system running and bring it to our tool.</v>
      </c>
      <c r="E16" s="8" t="str">
        <f>IFERROR(__xludf.DUMMYFUNCTION("""COMPUTED_VALUE"""),"The environment adopted by instructors can frighten students by making them migrate to other tools.
Students' initial difficult at having to switch from tools in which their applications were already working to the one adopted by the instructor.")</f>
        <v>The environment adopted by instructors can frighten students by making them migrate to other tools.
Students' initial difficult at having to switch from tools in which their applications were already working to the one adopted by the instructor.</v>
      </c>
      <c r="F16" s="8" t="str">
        <f>IFERROR(__xludf.DUMMYFUNCTION("""COMPUTED_VALUE"""),"The process of making students migrate to other tools it's hard.")</f>
        <v>The process of making students migrate to other tools it's hard.</v>
      </c>
      <c r="G16" s="25" t="s">
        <v>30</v>
      </c>
      <c r="H16" s="9" t="s">
        <v>12</v>
      </c>
      <c r="I16" s="9"/>
      <c r="J16" s="33" t="s">
        <v>83</v>
      </c>
      <c r="K16" s="31" t="s">
        <v>12</v>
      </c>
      <c r="L16" s="31"/>
      <c r="M16" s="6"/>
      <c r="N16" s="6"/>
      <c r="O16" s="25"/>
      <c r="P16" s="9"/>
    </row>
    <row r="17">
      <c r="A17" s="7">
        <v>17.0</v>
      </c>
      <c r="B17" s="8" t="s">
        <v>162</v>
      </c>
      <c r="C17" s="8" t="s">
        <v>8</v>
      </c>
      <c r="D17" s="8" t="str">
        <f>IFERROR(__xludf.DUMMYFUNCTION("filter('Imported Challenges'!B:D,'Imported Challenges'!A:A=A17)"),"the docker, [...] to use, they usually have a greater difficulty in this theme, in the beginning.")</f>
        <v>the docker, [...] to use, they usually have a greater difficulty in this theme, in the beginning.</v>
      </c>
      <c r="E17" s="8" t="str">
        <f>IFERROR(__xludf.DUMMYFUNCTION("""COMPUTED_VALUE"""),"Initial difficulty using the Docker container tool.")</f>
        <v>Initial difficulty using the Docker container tool.</v>
      </c>
      <c r="F17" s="7"/>
      <c r="G17" s="25" t="s">
        <v>31</v>
      </c>
      <c r="H17" s="9" t="s">
        <v>18</v>
      </c>
      <c r="I17" s="9"/>
      <c r="J17" s="33" t="s">
        <v>130</v>
      </c>
      <c r="K17" s="31" t="s">
        <v>18</v>
      </c>
      <c r="L17" s="31"/>
      <c r="M17" s="6"/>
      <c r="N17" s="6"/>
      <c r="O17" s="25"/>
      <c r="P17" s="9"/>
    </row>
    <row r="18">
      <c r="A18" s="7">
        <v>19.0</v>
      </c>
      <c r="B18" s="8" t="s">
        <v>165</v>
      </c>
      <c r="C18" s="8" t="s">
        <v>8</v>
      </c>
      <c r="D18" s="8" t="str">
        <f>IFERROR(__xludf.DUMMYFUNCTION("filter('Imported Challenges'!B:D,'Imported Challenges'!A:A=A18)"),"A challenge that is to convince students to give importance to this... they have this other view, this aspect of the configuration of the environment.")</f>
        <v>A challenge that is to convince students to give importance to this... they have this other view, this aspect of the configuration of the environment.</v>
      </c>
      <c r="E18" s="8" t="str">
        <f>IFERROR(__xludf.DUMMYFUNCTION("""COMPUTED_VALUE"""),"The student has difficulty realizing the importance of setting the environment.")</f>
        <v>The student has difficulty realizing the importance of setting the environment.</v>
      </c>
      <c r="F18" s="7"/>
      <c r="G18" s="25" t="s">
        <v>32</v>
      </c>
      <c r="H18" s="9" t="s">
        <v>12</v>
      </c>
      <c r="I18" s="9"/>
      <c r="J18" s="33" t="s">
        <v>84</v>
      </c>
      <c r="K18" s="31" t="s">
        <v>12</v>
      </c>
      <c r="L18" s="31"/>
      <c r="M18" s="6"/>
      <c r="N18" s="6"/>
      <c r="O18" s="25"/>
      <c r="P18" s="9"/>
    </row>
    <row r="19">
      <c r="A19" s="7">
        <v>22.0</v>
      </c>
      <c r="B19" s="8" t="s">
        <v>165</v>
      </c>
      <c r="C19" s="8" t="s">
        <v>8</v>
      </c>
      <c r="D19" s="8" t="str">
        <f>IFERROR(__xludf.DUMMYFUNCTION("filter('Imported Challenges'!B:D,'Imported Challenges'!A:A=A19)"),"The challenges I can mention is precisely this part of you being able to demonstrate, right, to demonstrate to them all this tooling of ours.
The main challenge is that, in general, DevOps related tools are cloud-based systems.
In general, you have a wi"&amp;"de range of solutions. You have a very large ecosystem of possibilities on how to test or demonstrate a concept.
A difficulty of technologies is about recognizing what is relevant to be addressed in the classroom, is not it? So, for example, there is muc"&amp;"h technology on the market.
Because the DevOps universe has millions of tools, technologies, and [...] It has an infinity of tools, they all meet the objectives. They are good and such.
This is a problem because of what happens: there are several tools,"&amp;" and we always have to close on some for the didactic nature of experimentation.
The other big challenge is: technology. People come with Macs, people come with windows, people come with Linux. [...] So that's the other challenge is people coming in with"&amp;" different technology and then how do you teach them the same thing without saying: ""oh, the command in windows is this and the command on a Mac is that.""
It can be also challenging for the, if you have the lab instructor with handling all tools.")</f>
        <v>The challenges I can mention is precisely this part of you being able to demonstrate, right, to demonstrate to them all this tooling of ours.
The main challenge is that, in general, DevOps related tools are cloud-based systems.
In general, you have a wide range of solutions. You have a very large ecosystem of possibilities on how to test or demonstrate a concept.
A difficulty of technologies is about recognizing what is relevant to be addressed in the classroom, is not it? So, for example, there is much technology on the market.
Because the DevOps universe has millions of tools, technologies, and [...] It has an infinity of tools, they all meet the objectives. They are good and such.
This is a problem because of what happens: there are several tools, and we always have to close on some for the didactic nature of experimentation.
The other big challenge is: technology. People come with Macs, people come with windows, people come with Linux. [...] So that's the other challenge is people coming in with different technology and then how do you teach them the same thing without saying: "oh, the command in windows is this and the command on a Mac is that."
It can be also challenging for the, if you have the lab instructor with handling all tools.</v>
      </c>
      <c r="E19" s="8" t="str">
        <f>IFERROR(__xludf.DUMMYFUNCTION("""COMPUTED_VALUE"""),"There are a large number of DevOps tools available.
Many DevOps tools are cloud based.
Many DevOps tools and usability available.
Difficulty in deciding which technologies to teach, given the wide variety available on the market.
There are many DevOps"&amp;" tools.
There are many DevOps tools to choose from.
It's hard to deal with many options of tools.
The lab instructor should handle many tools.")</f>
        <v>There are a large number of DevOps tools available.
Many DevOps tools are cloud based.
Many DevOps tools and usability available.
Difficulty in deciding which technologies to teach, given the wide variety available on the market.
There are many DevOps tools.
There are many DevOps tools to choose from.
It's hard to deal with many options of tools.
The lab instructor should handle many tools.</v>
      </c>
      <c r="F19" s="8" t="str">
        <f>IFERROR(__xludf.DUMMYFUNCTION("""COMPUTED_VALUE"""),"There is a large number of DevOps tools.")</f>
        <v>There is a large number of DevOps tools.</v>
      </c>
      <c r="G19" s="25" t="s">
        <v>33</v>
      </c>
      <c r="H19" s="9" t="s">
        <v>18</v>
      </c>
      <c r="I19" s="9"/>
      <c r="J19" s="33" t="s">
        <v>85</v>
      </c>
      <c r="K19" s="31" t="s">
        <v>18</v>
      </c>
      <c r="L19" s="31"/>
      <c r="M19" s="6"/>
      <c r="N19" s="6"/>
      <c r="O19" s="25"/>
      <c r="P19" s="9"/>
    </row>
    <row r="20">
      <c r="A20" s="8">
        <v>25.0</v>
      </c>
      <c r="B20" s="8" t="s">
        <v>162</v>
      </c>
      <c r="C20" s="8" t="s">
        <v>8</v>
      </c>
      <c r="D20" s="8" t="str">
        <f>IFERROR(__xludf.DUMMYFUNCTION("filter('Imported Challenges'!B:D,'Imported Challenges'!A:A=A20)"),"The main challenge is to correctly convey to students the idea that DevOps is about a culture.
It is the cultural challenge of I am not going to deliver a ready-made recipe.
How to apply these things from Devops in companies [...] there is a great diffi"&amp;"culty that is cultural. Companies have always organized themselves in this way, separating movement from infrastructure, not having collaboration, not having communication, and this ends up generating friction, especially when problems arise [...] go on c"&amp;"hanging a little the company's culture, the process, the way people organize themselves, meet, and such, trying to remove the barriers there until it is natural and both teams work together [...] with a single goal, which is to develop, deliver software t"&amp;"hat works and solve problems as quickly as possible.
Trying to contextualize this too is very difficult.
Culture is difficult to teach.")</f>
        <v>The main challenge is to correctly convey to students the idea that DevOps is about a culture.
It is the cultural challenge of I am not going to deliver a ready-made recipe.
How to apply these things from Devops in companies [...] there is a great difficulty that is cultural. Companies have always organized themselves in this way, separating movement from infrastructure, not having collaboration, not having communication, and this ends up generating friction, especially when problems arise [...] go on changing a little the company's culture, the process, the way people organize themselves, meet, and such, trying to remove the barriers there until it is natural and both teams work together [...] with a single goal, which is to develop, deliver software that works and solve problems as quickly as possible.
Trying to contextualize this too is very difficult.
Culture is difficult to teach.</v>
      </c>
      <c r="E20" s="8" t="str">
        <f>IFERROR(__xludf.DUMMYFUNCTION("""COMPUTED_VALUE"""),"Difficulty to teach the DevOps culture.
There is no ready-made recipe to teach the DevOps mindset (culture).
Difficulty breaking through resistance to the DevOps culture and its principles.
Difficulty contextualizing the DevOps culture.
Culture is dif"&amp;"ficult to teach.")</f>
        <v>Difficulty to teach the DevOps culture.
There is no ready-made recipe to teach the DevOps mindset (culture).
Difficulty breaking through resistance to the DevOps culture and its principles.
Difficulty contextualizing the DevOps culture.
Culture is difficult to teach.</v>
      </c>
      <c r="F20" s="8" t="str">
        <f>IFERROR(__xludf.DUMMYFUNCTION("""COMPUTED_VALUE"""),"DevOps culture is hard to teach. ")</f>
        <v>DevOps culture is hard to teach. </v>
      </c>
      <c r="G20" s="25" t="s">
        <v>35</v>
      </c>
      <c r="H20" s="9" t="s">
        <v>16</v>
      </c>
      <c r="I20" s="9"/>
      <c r="J20" s="33" t="s">
        <v>131</v>
      </c>
      <c r="K20" s="31" t="s">
        <v>16</v>
      </c>
      <c r="L20" s="31"/>
      <c r="M20" s="6"/>
      <c r="N20" s="6"/>
      <c r="O20" s="25"/>
      <c r="P20" s="34"/>
    </row>
    <row r="21">
      <c r="A21" s="7">
        <v>26.0</v>
      </c>
      <c r="B21" s="8" t="s">
        <v>164</v>
      </c>
      <c r="C21" s="8" t="s">
        <v>8</v>
      </c>
      <c r="D21" s="8" t="str">
        <f>IFERROR(__xludf.DUMMYFUNCTION("filter('Imported Challenges'!B:D,'Imported Challenges'!A:A=A21)"),"The student hopes to [...] learn that killer tool, which will help in the practical context of his life, whether in the process of development, security or operations. [...] wants to know the tools much more than understand the DevOps culture.
The first "&amp;"challenge is to decouple the idea that about DevOps [...] to deliver a formula.
The students arrive with the idea that they have a set of X tools to deliver in their daily lives and tools only a piece and a small piece within the delivery process, which "&amp;"is more cultural and more personal than tooling, huh? Organizational even, I would say.
It is to set expectations when he signs up that the entire course is not tooling and that no, we will not use the best stacks in the market.
Give this view that DevO"&amp;"ps is not just a tool [...] It is very much in line with agile movement.
Trying to show that DevOps is not just tools, trying to make people understand this and trying to change it during the class, so trying as best as possible to make people understand"&amp;", right? That they will end up having to change the culture of the environment, right? The processes, the way they organize themselves.
 People coming through the programs want to play with technology. ... But what that tends to foster is a technology ce"&amp;"ntric attitude about what devops is all about. ... That's half the reason we got into this field in the first place, and it's a really fun thing to be able to do, but it's not sufficient.
There's a big focus on tools.
DevOps doesn't equal CI/CD and DevO"&amp;"ps doesn't equal automate the testing.
Let's say political challenge that you have to convince in a way that DevOps is not purely technical and that it's must be part of an academy curriculum.")</f>
        <v>The student hopes to [...] learn that killer tool, which will help in the practical context of his life, whether in the process of development, security or operations. [...] wants to know the tools much more than understand the DevOps culture.
The first challenge is to decouple the idea that about DevOps [...] to deliver a formula.
The students arrive with the idea that they have a set of X tools to deliver in their daily lives and tools only a piece and a small piece within the delivery process, which is more cultural and more personal than tooling, huh? Organizational even, I would say.
It is to set expectations when he signs up that the entire course is not tooling and that no, we will not use the best stacks in the market.
Give this view that DevOps is not just a tool [...] It is very much in line with agile movement.
Trying to show that DevOps is not just tools, trying to make people understand this and trying to change it during the class, so trying as best as possible to make people understand, right? That they will end up having to change the culture of the environment, right? The processes, the way they organize themselves.
 People coming through the programs want to play with technology. ... But what that tends to foster is a technology centric attitude about what devops is all about. ... That's half the reason we got into this field in the first place, and it's a really fun thing to be able to do, but it's not sufficient.
There's a big focus on tools.
DevOps doesn't equal CI/CD and DevOps doesn't equal automate the testing.
Let's say political challenge that you have to convince in a way that DevOps is not purely technical and that it's must be part of an academy curriculum.</v>
      </c>
      <c r="E21" s="8" t="str">
        <f>IFERROR(__xludf.DUMMYFUNCTION("""COMPUTED_VALUE"""),"Students have a prior concept that DevOps is restricted to the use of tools, not being interested in the cultural part of DevOps.
Difficulty explaining to students that DevOps is not just about tools.
Difficulty in explaining to students that DevOps is "&amp;"not just tooling, it encompasses the cultural part.
Difficulty adjusting students' expectations, as most of them just want to use new tools.
Difficulty in being able to explain to the student that DevOps does not involve only the tooling part.
Difficul"&amp;"ty breaking the student perspective that DevOps is just tools and automation.
Students came to course focused in the tools.
So many people only focus on the tools side from DevOps.
DevOps is not only CI/CD and automation.
Convince people that DevOps i"&amp;"s not purely technical and it must be part of an academy curriculum.")</f>
        <v>Students have a prior concept that DevOps is restricted to the use of tools, not being interested in the cultural part of DevOps.
Difficulty explaining to students that DevOps is not just about tools.
Difficulty in explaining to students that DevOps is not just tooling, it encompasses the cultural part.
Difficulty adjusting students' expectations, as most of them just want to use new tools.
Difficulty in being able to explain to the student that DevOps does not involve only the tooling part.
Difficulty breaking the student perspective that DevOps is just tools and automation.
Students came to course focused in the tools.
So many people only focus on the tools side from DevOps.
DevOps is not only CI/CD and automation.
Convince people that DevOps is not purely technical and it must be part of an academy curriculum.</v>
      </c>
      <c r="F21" s="8" t="str">
        <f>IFERROR(__xludf.DUMMYFUNCTION("""COMPUTED_VALUE"""),"It's hard to show to students that DevOps is not all about tooling.")</f>
        <v>It's hard to show to students that DevOps is not all about tooling.</v>
      </c>
      <c r="G21" s="25" t="s">
        <v>166</v>
      </c>
      <c r="H21" s="9" t="s">
        <v>16</v>
      </c>
      <c r="I21" s="9"/>
      <c r="J21" s="33" t="s">
        <v>86</v>
      </c>
      <c r="K21" s="31" t="s">
        <v>16</v>
      </c>
      <c r="L21" s="31"/>
      <c r="M21" s="6"/>
      <c r="N21" s="6"/>
      <c r="O21" s="25"/>
      <c r="P21" s="34"/>
    </row>
    <row r="22">
      <c r="A22" s="8">
        <v>28.0</v>
      </c>
      <c r="B22" s="8" t="s">
        <v>162</v>
      </c>
      <c r="C22" s="8" t="s">
        <v>8</v>
      </c>
      <c r="D22" s="8" t="str">
        <f>IFERROR(__xludf.DUMMYFUNCTION("filter('Imported Challenges'!B:D,'Imported Challenges'!A:A=A22)"),"[...] in many cases the assessment is still based on the traditional test model or on some fixed assessment process, with an X list of questions or something similar.")</f>
        <v>[...] in many cases the assessment is still based on the traditional test model or on some fixed assessment process, with an X list of questions or something similar.</v>
      </c>
      <c r="E22" s="8" t="str">
        <f>IFERROR(__xludf.DUMMYFUNCTION("""COMPUTED_VALUE"""),"Difficulty dealing with assessments based on a traditional test model.")</f>
        <v>Difficulty dealing with assessments based on a traditional test model.</v>
      </c>
      <c r="F22" s="7"/>
      <c r="G22" s="25" t="s">
        <v>37</v>
      </c>
      <c r="H22" s="9" t="s">
        <v>29</v>
      </c>
      <c r="I22" s="9"/>
      <c r="J22" s="33" t="s">
        <v>132</v>
      </c>
      <c r="K22" s="31" t="s">
        <v>29</v>
      </c>
      <c r="L22" s="31"/>
      <c r="M22" s="6"/>
      <c r="N22" s="6"/>
      <c r="O22" s="25"/>
      <c r="P22" s="34"/>
    </row>
    <row r="23">
      <c r="A23" s="7">
        <v>29.0</v>
      </c>
      <c r="B23" s="8" t="s">
        <v>164</v>
      </c>
      <c r="C23" s="8" t="s">
        <v>8</v>
      </c>
      <c r="D23" s="8" t="str">
        <f>IFERROR(__xludf.DUMMYFUNCTION("filter('Imported Challenges'!B:D,'Imported Challenges'!A:A=A23)"),"The DevOps concept, it's very open, right, it encompasses different areas between development, security and operations.
You cannot teach DevOps without experiencing DevOps, right? You cannot read in a book and want to teach DevOps because DevOps is a ver"&amp;"y practical discipline. There is a lot that happens in practice. So, there is a lot of doubt, from concepts, about Kubernetes configuration error, for example. So, these are things that we have to deal with [...] So, venturing out to teach DevOps, parachu"&amp;"ting, that is a big challenge because the level of knowledge you will have to collect for this is quite diverse and multidisciplinary.")</f>
        <v>The DevOps concept, it's very open, right, it encompasses different areas between development, security and operations.
You cannot teach DevOps without experiencing DevOps, right? You cannot read in a book and want to teach DevOps because DevOps is a very practical discipline. There is a lot that happens in practice. So, there is a lot of doubt, from concepts, about Kubernetes configuration error, for example. So, these are things that we have to deal with [...] So, venturing out to teach DevOps, parachuting, that is a big challenge because the level of knowledge you will have to collect for this is quite diverse and multidisciplinary.</v>
      </c>
      <c r="E23" s="8" t="str">
        <f>IFERROR(__xludf.DUMMYFUNCTION("""COMPUTED_VALUE"""),"The teaching of devops is multidisciplinary, covering different areas such as development, safety and operation.
There is a very diverse and multidisciplinary knowledge in teaching DevOps.")</f>
        <v>The teaching of devops is multidisciplinary, covering different areas such as development, safety and operation.
There is a very diverse and multidisciplinary knowledge in teaching DevOps.</v>
      </c>
      <c r="F23" s="8" t="str">
        <f>IFERROR(__xludf.DUMMYFUNCTION("""COMPUTED_VALUE"""),"The multidiscuplinary of DevOps is hard to deal with.")</f>
        <v>The multidiscuplinary of DevOps is hard to deal with.</v>
      </c>
      <c r="G23" s="25" t="s">
        <v>167</v>
      </c>
      <c r="H23" s="9" t="s">
        <v>10</v>
      </c>
      <c r="I23" s="9"/>
      <c r="J23" s="33" t="s">
        <v>88</v>
      </c>
      <c r="K23" s="31" t="s">
        <v>10</v>
      </c>
      <c r="L23" s="31"/>
      <c r="M23" s="6"/>
      <c r="N23" s="6"/>
      <c r="O23" s="25"/>
      <c r="P23" s="34"/>
    </row>
    <row r="24">
      <c r="A24" s="8">
        <v>30.0</v>
      </c>
      <c r="B24" s="8" t="s">
        <v>165</v>
      </c>
      <c r="C24" s="8" t="s">
        <v>8</v>
      </c>
      <c r="D24" s="8" t="str">
        <f>IFERROR(__xludf.DUMMYFUNCTION("filter('Imported Challenges'!B:D,'Imported Challenges'!A:A=A24)"),"If the student is in a context where he has always been in the academic area or he has never had practical contact with any of these features of software development, it is likely that it will be much more challenging for him.
If the student is in a cont"&amp;"ext where he has always been in the academic area, or he has never had practical contact with any of these features of software development, [...] for the teacher, it becomes much more challenging to teach the DevOps concept this student profile.
The mai"&amp;"n challenge remain the able to, to, to teach the fundamentals. I think that this type, of course almost requires some type of industrial experience, because if you've not been in contact with the industry, there are so many things that are, um, more diffi"&amp;"cult to, to, to eally understand.
Teaching this course, it's possible to teach it with students with no experience, but it makes the thing like this. I've been trying to have interactions with the students about, I know certain topics become quite diffic"&amp;"ult because they cannot relate it to anything concrete.
It didn't work for some specific tools that they wanted to present using this a katacoda, uh, website.
I mean, there are students, so they are, they are not in the industry yet. And so that's, that"&amp;" would be the main part to make the student understand that it's, it's not about configuring Jenkins or having Docker running on their computer.
When you're talking to freshmen and they have no idea what's happening. Like they have a superficial idea of "&amp;"what's happening. Then it's like finding a way to explain them why the mindset is important.")</f>
        <v>If the student is in a context where he has always been in the academic area or he has never had practical contact with any of these features of software development, it is likely that it will be much more challenging for him.
If the student is in a context where he has always been in the academic area, or he has never had practical contact with any of these features of software development, [...] for the teacher, it becomes much more challenging to teach the DevOps concept this student profile.
The main challenge remain the able to, to, to teach the fundamentals. I think that this type, of course almost requires some type of industrial experience, because if you've not been in contact with the industry, there are so many things that are, um, more difficult to, to, to eally understand.
Teaching this course, it's possible to teach it with students with no experience, but it makes the thing like this. I've been trying to have interactions with the students about, I know certain topics become quite difficult because they cannot relate it to anything concrete.
It didn't work for some specific tools that they wanted to present using this a katacoda, uh, website.
I mean, there are students, so they are, they are not in the industry yet. And so that's, that would be the main part to make the student understand that it's, it's not about configuring Jenkins or having Docker running on their computer.
When you're talking to freshmen and they have no idea what's happening. Like they have a superficial idea of what's happening. Then it's like finding a way to explain them why the mindset is important.</v>
      </c>
      <c r="E24" s="8" t="str">
        <f>IFERROR(__xludf.DUMMYFUNCTION("""COMPUTED_VALUE"""),"There is a greater difficulty in understanding devops by students whose background is more academic, who have no experience in software development or direct operation.
It is difficult to teach students with more academic training that have no experience"&amp;" in software development or operation directly.
It is difficult to teach DevOps concepts without industry experience.
It is difficult to teach students with no industrial experience.
The students don't have the proper background to listen the lecture o"&amp;"f people from the industry.
The students without industry experience can have difficulty to understand that DevOps is much more than using tools.
It is difficult to explain the importance of DevOps mindset to students that have a superficial idea of wha"&amp;"t is happening to industry.")</f>
        <v>There is a greater difficulty in understanding devops by students whose background is more academic, who have no experience in software development or direct operation.
It is difficult to teach students with more academic training that have no experience in software development or operation directly.
It is difficult to teach DevOps concepts without industry experience.
It is difficult to teach students with no industrial experience.
The students don't have the proper background to listen the lecture of people from the industry.
The students without industry experience can have difficulty to understand that DevOps is much more than using tools.
It is difficult to explain the importance of DevOps mindset to students that have a superficial idea of what is happening to industry.</v>
      </c>
      <c r="F24" s="8" t="str">
        <f>IFERROR(__xludf.DUMMYFUNCTION("""COMPUTED_VALUE"""),"Teach DevOps concepts to students no industrial experience is hard.")</f>
        <v>Teach DevOps concepts to students no industrial experience is hard.</v>
      </c>
      <c r="G24" s="25" t="s">
        <v>38</v>
      </c>
      <c r="H24" s="9" t="s">
        <v>16</v>
      </c>
      <c r="I24" s="25"/>
      <c r="J24" s="33" t="s">
        <v>89</v>
      </c>
      <c r="K24" s="31" t="s">
        <v>16</v>
      </c>
      <c r="L24" s="31"/>
      <c r="M24" s="6"/>
      <c r="N24" s="6"/>
      <c r="O24" s="25"/>
      <c r="P24" s="34"/>
    </row>
    <row r="25">
      <c r="A25" s="8">
        <v>31.0</v>
      </c>
      <c r="B25" s="8" t="s">
        <v>162</v>
      </c>
      <c r="C25" s="8" t="s">
        <v>8</v>
      </c>
      <c r="D25" s="8" t="str">
        <f>IFERROR(__xludf.DUMMYFUNCTION("filter('Imported Challenges'!B:D,'Imported Challenges'!A:A=A25)"),"DevSecOps [...] is the type of discipline that requires strong knowledge in two areas, both distinct, in the security area, but at the same time in the development area to be able to find the link between the two and then yes, get to what the student.
Th"&amp;"e second point that the second challenge would be [...] skills.  I'm working on software engineering and I'm working on how to build software since the gate.")</f>
        <v>DevSecOps [...] is the type of discipline that requires strong knowledge in two areas, both distinct, in the security area, but at the same time in the development area to be able to find the link between the two and then yes, get to what the student.
The second point that the second challenge would be [...] skills.  I'm working on software engineering and I'm working on how to build software since the gate.</v>
      </c>
      <c r="E25" s="8" t="str">
        <f>IFERROR(__xludf.DUMMYFUNCTION("""COMPUTED_VALUE"""),"The teacher needs good technical knowledge in the areas of security (especially vulnerability management) and systems development to teach DevSecOps.
Skills to teach DevOps are challeging.")</f>
        <v>The teacher needs good technical knowledge in the areas of security (especially vulnerability management) and systems development to teach DevSecOps.
Skills to teach DevOps are challeging.</v>
      </c>
      <c r="F25" s="8" t="str">
        <f>IFERROR(__xludf.DUMMYFUNCTION("""COMPUTED_VALUE"""),"Skills to teach DevOps are challeging.")</f>
        <v>Skills to teach DevOps are challeging.</v>
      </c>
      <c r="G25" s="25" t="s">
        <v>39</v>
      </c>
      <c r="H25" s="9" t="s">
        <v>24</v>
      </c>
      <c r="I25" s="9"/>
      <c r="J25" s="33" t="s">
        <v>133</v>
      </c>
      <c r="K25" s="31" t="s">
        <v>24</v>
      </c>
      <c r="L25" s="31"/>
      <c r="M25" s="6"/>
      <c r="N25" s="6"/>
      <c r="O25" s="25"/>
      <c r="P25" s="34"/>
    </row>
    <row r="26">
      <c r="A26" s="7">
        <v>32.0</v>
      </c>
      <c r="B26" s="8" t="s">
        <v>164</v>
      </c>
      <c r="C26" s="8" t="s">
        <v>8</v>
      </c>
      <c r="D26" s="8" t="str">
        <f>IFERROR(__xludf.DUMMYFUNCTION("filter('Imported Challenges'!B:D,'Imported Challenges'!A:A=A26)"),"The second challenge is people with different experiences [...] you have mixed classes, so at a point in the course where you talk about a specific programming language to give an example. Some are more familiar than others. [...] So, knowing how to deal "&amp;"with these differences to make the course pleasant for everyone and comfortable for everyone, this is a great challenge.
We have a standard agreement, not an agreement. It is a convention that we have which is the following, people are different, see? [."&amp;"..] they have different backgrounds, they have different life stories, experiences that marked them in different ways.
In both classes that I taught [...], there was a challenge of class heterogeneity. You have very proficient people in the development a"&amp;"nd have no idea about the server, Linux and environment configuration, tools, the other spectrum. People who came from operational, System admin itself is not so proficient in the programming part, in code.
Each student in the class brings a different ex"&amp;"perience, different challenges, and trying to generalize this is more complicated.
One of the challenges is how do you teach people from these different backgrounds [...]  there is so much technology that comes together in DevOps, that the challenge is h"&amp;"ow do you get everyone up to speed on an even right? So that we can all move forward together and learn together. So, so that's a big challenge.
Some of them do have a lot of programming and are fairly mature, but because when we recruit, they be coming "&amp;"from different schools.")</f>
        <v>The second challenge is people with different experiences [...] you have mixed classes, so at a point in the course where you talk about a specific programming language to give an example. Some are more familiar than others. [...] So, knowing how to deal with these differences to make the course pleasant for everyone and comfortable for everyone, this is a great challenge.
We have a standard agreement, not an agreement. It is a convention that we have which is the following, people are different, see? [...] they have different backgrounds, they have different life stories, experiences that marked them in different ways.
In both classes that I taught [...], there was a challenge of class heterogeneity. You have very proficient people in the development and have no idea about the server, Linux and environment configuration, tools, the other spectrum. People who came from operational, System admin itself is not so proficient in the programming part, in code.
Each student in the class brings a different experience, different challenges, and trying to generalize this is more complicated.
One of the challenges is how do you teach people from these different backgrounds [...]  there is so much technology that comes together in DevOps, that the challenge is how do you get everyone up to speed on an even right? So that we can all move forward together and learn together. So, so that's a big challenge.
Some of them do have a lot of programming and are fairly mature, but because when we recruit, they be coming from different schools.</v>
      </c>
      <c r="E26" s="8" t="str">
        <f>IFERROR(__xludf.DUMMYFUNCTION("""COMPUTED_VALUE"""),"Difficulty in knowing how to deal with groups of students who have very different experiences.
Students in a class have different backgrounds, life stories and experiences.
Difficulty in preparing classes with students at different levels of proficiency"&amp;" in development and operation.
Dealing with the different experiences and perspectives of each student.
It's hard to teach people with different backgrounds.
Students have different backgrouds.")</f>
        <v>Difficulty in knowing how to deal with groups of students who have very different experiences.
Students in a class have different backgrounds, life stories and experiences.
Difficulty in preparing classes with students at different levels of proficiency in development and operation.
Dealing with the different experiences and perspectives of each student.
It's hard to teach people with different backgrounds.
Students have different backgrouds.</v>
      </c>
      <c r="F26" s="8" t="str">
        <f>IFERROR(__xludf.DUMMYFUNCTION("""COMPUTED_VALUE"""),"It's challeging to deal with students having different backgrounds.")</f>
        <v>It's challeging to deal with students having different backgrounds.</v>
      </c>
      <c r="G26" s="25" t="s">
        <v>168</v>
      </c>
      <c r="H26" s="9" t="s">
        <v>73</v>
      </c>
      <c r="I26" s="9"/>
      <c r="J26" s="33" t="s">
        <v>90</v>
      </c>
      <c r="K26" s="31" t="s">
        <v>73</v>
      </c>
      <c r="L26" s="31"/>
      <c r="M26" s="6"/>
      <c r="N26" s="6"/>
      <c r="O26" s="25"/>
      <c r="P26" s="34"/>
    </row>
    <row r="27">
      <c r="A27" s="8">
        <v>27.0</v>
      </c>
      <c r="B27" s="8" t="s">
        <v>165</v>
      </c>
      <c r="C27" s="8" t="s">
        <v>8</v>
      </c>
      <c r="D27" s="8" t="str">
        <f>IFERROR(__xludf.DUMMYFUNCTION("filter('Imported Challenges'!B:D,'Imported Challenges'!A:A=A27)"),"As people are remote, basically for training, there are several factors that influence the didactics. The home environment, even, that the person, sometimes, does not live alone, or has sons, daughters. This is not a problem for people, for me, a teacher,"&amp;" as a teacher, but for a person, sometimes, you can't open a camera. You can't do one, so dealing with these differences within the pandemic is important. It's not a problem, but it's a point of e also the differences from the infrastructure that the pers"&amp;"on has to take the course. A machine a little newer, older, pre-configured for work, there are companies that already have the machine ready for day to day and the course uses other configurations which are challenges that we have with the students to tal"&amp;"k, look, I need version X, and the person does not have the installation permission.
")</f>
        <v>As people are remote, basically for training, there are several factors that influence the didactics. The home environment, even, that the person, sometimes, does not live alone, or has sons, daughters. This is not a problem for people, for me, a teacher, as a teacher, but for a person, sometimes, you can't open a camera. You can't do one, so dealing with these differences within the pandemic is important. It's not a problem, but it's a point of e also the differences from the infrastructure that the person has to take the course. A machine a little newer, older, pre-configured for work, there are companies that already have the machine ready for day to day and the course uses other configurations which are challenges that we have with the students to talk, look, I need version X, and the person does not have the installation permission.
</v>
      </c>
      <c r="E27" s="8" t="str">
        <f>IFERROR(__xludf.DUMMYFUNCTION("""COMPUTED_VALUE"""),"Difficulties in remote work with students: privacy, availability, infrastructure differences, environment configuration.")</f>
        <v>Difficulties in remote work with students: privacy, availability, infrastructure differences, environment configuration.</v>
      </c>
      <c r="F27" s="8"/>
      <c r="G27" s="25" t="s">
        <v>36</v>
      </c>
      <c r="H27" s="9"/>
      <c r="I27" s="25"/>
      <c r="J27" s="33" t="s">
        <v>87</v>
      </c>
      <c r="K27" s="31" t="s">
        <v>73</v>
      </c>
      <c r="L27" s="31"/>
      <c r="M27" s="6" t="s">
        <v>163</v>
      </c>
      <c r="N27" s="6"/>
      <c r="O27" s="25" t="s">
        <v>169</v>
      </c>
      <c r="P27" s="35"/>
    </row>
    <row r="28">
      <c r="A28" s="8">
        <v>33.0</v>
      </c>
      <c r="B28" s="8" t="s">
        <v>162</v>
      </c>
      <c r="C28" s="8" t="s">
        <v>170</v>
      </c>
      <c r="D28" s="8" t="str">
        <f>IFERROR(__xludf.DUMMYFUNCTION("filter('Imported Challenges'!B:D,'Imported Challenges'!A:A=A28)"),"Another challenge too, that [...] we changed our model from in-person to online, live. And then, we had this problem, right, that in the course there is a project, with certain technologies, but, in our case, we already have a laboratory that has everythi"&amp;"ng installed and configured. So, in this case, man, now, it's the student who's going to do his homework, right, how is he going to configure the infrastructure with that specific project and without having a headache, it won't interfere in class.")</f>
        <v>Another challenge too, that [...] we changed our model from in-person to online, live. And then, we had this problem, right, that in the course there is a project, with certain technologies, but, in our case, we already have a laboratory that has everything installed and configured. So, in this case, man, now, it's the student who's going to do his homework, right, how is he going to configure the infrastructure with that specific project and without having a headache, it won't interfere in class.</v>
      </c>
      <c r="E28" s="8" t="str">
        <f>IFERROR(__xludf.DUMMYFUNCTION("""COMPUTED_VALUE"""),"Students find it difficult to configure the tools on their own machines in remote teaching mode.")</f>
        <v>Students find it difficult to configure the tools on their own machines in remote teaching mode.</v>
      </c>
      <c r="F28" s="8"/>
      <c r="G28" s="9" t="s">
        <v>40</v>
      </c>
      <c r="H28" s="9" t="s">
        <v>18</v>
      </c>
      <c r="I28" s="9"/>
      <c r="J28" s="31" t="s">
        <v>40</v>
      </c>
      <c r="K28" s="31" t="s">
        <v>18</v>
      </c>
      <c r="L28" s="31"/>
      <c r="M28" s="6"/>
      <c r="N28" s="6"/>
      <c r="O28" s="25"/>
      <c r="P28" s="35"/>
    </row>
    <row r="29">
      <c r="A29" s="7">
        <v>35.0</v>
      </c>
      <c r="B29" s="8" t="s">
        <v>164</v>
      </c>
      <c r="C29" s="8" t="s">
        <v>8</v>
      </c>
      <c r="D29" s="8" t="str">
        <f>IFERROR(__xludf.DUMMYFUNCTION("filter('Imported Challenges'!B:D,'Imported Challenges'!A:A=A29)"),"The DevOps concept, it's very open, right, it encompasses different areas between development, security and operations.
The expectation of students to deliver something, by hand, because they are technical people, is to be able to balance what is concept"&amp;" and what is practical and show the importance, the value of what you are explaining.
This part of culture and such, which is, let us say, more boring, right? That people go there wanting to see tools, right? So, how to balance, right? Talk a little non-"&amp;"technical things with technical things.
The challenge is this: having the non-technical part with the technical part, pondering both, and addressing these main topics, right?
The point is how do we adapt DevOps in concept in a way where we, we are still"&amp;" take keeping in mind the theoretical foundation, but where make it making it interesting from an industry or practical perspective.
The challenge is, in my opinion, is, is to, to strike this balance between, between, um, concreteness, like work with tec"&amp;"hnologies, because essentially, uh, DevOps is yes, a philosophy. 
To strike a balance. The students are of course, very keen about the products and telemetry about the product and, and, and, and building Docker containers. And, but what I want them to re"&amp;"flect, I mean, the whole goal of DevOps is to make the process effective, very, very efficient.
There's a gap between what we can experiment during the course, what can be presented during the invited lecture from the industry, for example, those kinds o"&amp;"f things and how, how whole, the things are connected together.")</f>
        <v>The DevOps concept, it's very open, right, it encompasses different areas between development, security and operations.
The expectation of students to deliver something, by hand, because they are technical people, is to be able to balance what is concept and what is practical and show the importance, the value of what you are explaining.
This part of culture and such, which is, let us say, more boring, right? That people go there wanting to see tools, right? So, how to balance, right? Talk a little non-technical things with technical things.
The challenge is this: having the non-technical part with the technical part, pondering both, and addressing these main topics, right?
The point is how do we adapt DevOps in concept in a way where we, we are still take keeping in mind the theoretical foundation, but where make it making it interesting from an industry or practical perspective.
The challenge is, in my opinion, is, is to, to strike this balance between, between, um, concreteness, like work with technologies, because essentially, uh, DevOps is yes, a philosophy. 
To strike a balance. The students are of course, very keen about the products and telemetry about the product and, and, and, and building Docker containers. And, but what I want them to reflect, I mean, the whole goal of DevOps is to make the process effective, very, very efficient.
There's a gap between what we can experiment during the course, what can be presented during the invited lecture from the industry, for example, those kinds of things and how, how whole, the things are connected together.</v>
      </c>
      <c r="E29" s="8" t="str">
        <f>IFERROR(__xludf.DUMMYFUNCTION("""COMPUTED_VALUE"""),"Difficulty in making the association between theory and practice.
Difficulty balancing theory foundations and make them interesting in the practice.
Difficulty in balancing the teaching of theory (culture) and practice (tools).
Challenge to balance the"&amp;"ory and practice.
It's challenging to teach DevOps concepts that have theoretical foundations and make them interesting from the industry perspective.
It is difficult to balance the concreteness (technologies) and the philosophy (concepts) of DevOps.
I"&amp;"t is difficult to balance the usage of tools and making the DevOps process effective and efficient.
There is a gap about how to connect the lectures with the labs.")</f>
        <v>Difficulty in making the association between theory and practice.
Difficulty balancing theory foundations and make them interesting in the practice.
Difficulty in balancing the teaching of theory (culture) and practice (tools).
Challenge to balance theory and practice.
It's challenging to teach DevOps concepts that have theoretical foundations and make them interesting from the industry perspective.
It is difficult to balance the concreteness (technologies) and the philosophy (concepts) of DevOps.
It is difficult to balance the usage of tools and making the DevOps process effective and efficient.
There is a gap about how to connect the lectures with the labs.</v>
      </c>
      <c r="F29" s="8" t="str">
        <f>IFERROR(__xludf.DUMMYFUNCTION("""COMPUTED_VALUE"""),"It's challeging to balance DevOps theory and practice.")</f>
        <v>It's challeging to balance DevOps theory and practice.</v>
      </c>
      <c r="G29" s="9" t="s">
        <v>171</v>
      </c>
      <c r="H29" s="9" t="s">
        <v>16</v>
      </c>
      <c r="I29" s="9"/>
      <c r="J29" s="33" t="s">
        <v>91</v>
      </c>
      <c r="K29" s="31" t="s">
        <v>16</v>
      </c>
      <c r="L29" s="31"/>
      <c r="M29" s="6"/>
      <c r="N29" s="6"/>
      <c r="O29" s="25"/>
      <c r="P29" s="34"/>
    </row>
    <row r="30">
      <c r="A30" s="8">
        <v>36.0</v>
      </c>
      <c r="B30" s="8" t="s">
        <v>165</v>
      </c>
      <c r="C30" s="8" t="s">
        <v>8</v>
      </c>
      <c r="D30" s="36" t="str">
        <f>IFERROR(__xludf.DUMMYFUNCTION("filter('Imported Challenges'!B:D,'Imported Challenges'!A:A=A30)"),"For you to be able to look at all the students is very difficult, I understand why some cannot open the camera. It does not have the capacity or technology or structure to open, talk to you. Communication is broken, no matter how much we open it all the t"&amp;"ime, even if Zoom allows it. It is different from everyday life in the classroom because you cannot look at the student and see how he is reacting to that content. Not that you only adapt to one student, but you do not have the personal perception of doub"&amp;"t. Sometimes you can look at the student and say, oh, I think that was not clear to him. It is a challenge.
Because of the remote learning [...] I've been teaching my classes on zoom. And so, uh, that makes it very hard to do hands-on because I can't see"&amp;" the students right. While I'm doing the hands-on. So I can't see the puzzled look on their face and say, okay, I just lost them.
To make the lecture attractive students have to willing to interact. Right. Which is very difficult to do. And of course, uh"&amp;", zoom teaching, uh, makes it a challenge.")</f>
        <v>For you to be able to look at all the students is very difficult, I understand why some cannot open the camera. It does not have the capacity or technology or structure to open, talk to you. Communication is broken, no matter how much we open it all the time, even if Zoom allows it. It is different from everyday life in the classroom because you cannot look at the student and see how he is reacting to that content. Not that you only adapt to one student, but you do not have the personal perception of doubt. Sometimes you can look at the student and say, oh, I think that was not clear to him. It is a challenge.
Because of the remote learning [...] I've been teaching my classes on zoom. And so, uh, that makes it very hard to do hands-on because I can't see the students right. While I'm doing the hands-on. So I can't see the puzzled look on their face and say, okay, I just lost them.
To make the lecture attractive students have to willing to interact. Right. Which is very difficult to do. And of course, uh, zoom teaching, uh, makes it a challenge.</v>
      </c>
      <c r="E30" s="36" t="str">
        <f>IFERROR(__xludf.DUMMYFUNCTION("""COMPUTED_VALUE"""),"Difficulty in monitoring and keeping in touch with all students effectively during remote learning classes.
It's hard to do hands-on on remote learning because the teacher can't see the students face.
It is very difficult to interact with students in le"&amp;"cture remote teaching.")</f>
        <v>Difficulty in monitoring and keeping in touch with all students effectively during remote learning classes.
It's hard to do hands-on on remote learning because the teacher can't see the students face.
It is very difficult to interact with students in lecture remote teaching.</v>
      </c>
      <c r="F30" s="36" t="str">
        <f>IFERROR(__xludf.DUMMYFUNCTION("""COMPUTED_VALUE"""),"Comunications with students is hard when classes are remote.")</f>
        <v>Comunications with students is hard when classes are remote.</v>
      </c>
      <c r="G30" s="25" t="s">
        <v>42</v>
      </c>
      <c r="H30" s="9" t="s">
        <v>73</v>
      </c>
      <c r="I30" s="9"/>
      <c r="J30" s="33" t="s">
        <v>93</v>
      </c>
      <c r="K30" s="31" t="s">
        <v>73</v>
      </c>
      <c r="L30" s="31"/>
      <c r="M30" s="6" t="s">
        <v>163</v>
      </c>
      <c r="N30" s="6" t="s">
        <v>163</v>
      </c>
      <c r="O30" s="25"/>
      <c r="P30" s="34"/>
    </row>
    <row r="31">
      <c r="A31" s="8">
        <v>37.0</v>
      </c>
      <c r="B31" s="8" t="s">
        <v>162</v>
      </c>
      <c r="C31" s="8" t="s">
        <v>8</v>
      </c>
      <c r="D31" s="36" t="str">
        <f>IFERROR(__xludf.DUMMYFUNCTION("filter('Imported Challenges'!B:D,'Imported Challenges'!A:A=A31)"),"There's still this challenge of understanding these tools, environment, network, configuration, you know? So, I think one challenge brings the other, right? I would say this is a challenge, too.
")</f>
        <v>There's still this challenge of understanding these tools, environment, network, configuration, you know? So, I think one challenge brings the other, right? I would say this is a challenge, too.
</v>
      </c>
      <c r="E31" s="8" t="str">
        <f>IFERROR(__xludf.DUMMYFUNCTION("""COMPUTED_VALUE"""),"Difficulty in understanding environment, tools and network configuration.")</f>
        <v>Difficulty in understanding environment, tools and network configuration.</v>
      </c>
      <c r="F31" s="7"/>
      <c r="G31" s="25" t="s">
        <v>44</v>
      </c>
      <c r="H31" s="9" t="s">
        <v>12</v>
      </c>
      <c r="I31" s="9"/>
      <c r="J31" s="33" t="s">
        <v>134</v>
      </c>
      <c r="K31" s="31" t="s">
        <v>12</v>
      </c>
      <c r="L31" s="31"/>
      <c r="M31" s="6"/>
      <c r="N31" s="6"/>
      <c r="O31" s="25"/>
      <c r="P31" s="34"/>
    </row>
    <row r="32">
      <c r="A32" s="7">
        <v>38.0</v>
      </c>
      <c r="B32" s="8" t="s">
        <v>164</v>
      </c>
      <c r="C32" s="8" t="s">
        <v>8</v>
      </c>
      <c r="D32" s="36" t="str">
        <f>IFERROR(__xludf.DUMMYFUNCTION("filter('Imported Challenges'!B:D,'Imported Challenges'!A:A=A32)"),"When you go to configure the tools and such, as you were the one who developed the system, it becomes easier, I believe you understand all the automations and such, but at the same time I see that the guys have a lot of difficulty in doing it.")</f>
        <v>When you go to configure the tools and such, as you were the one who developed the system, it becomes easier, I believe you understand all the automations and such, but at the same time I see that the guys have a lot of difficulty in doing it.</v>
      </c>
      <c r="E32" s="8" t="str">
        <f>IFERROR(__xludf.DUMMYFUNCTION("""COMPUTED_VALUE"""),"There is difficulty for students to carry out the automation of the construction of systems used during the course.")</f>
        <v>There is difficulty for students to carry out the automation of the construction of systems used during the course.</v>
      </c>
      <c r="F32" s="7"/>
      <c r="G32" s="25" t="s">
        <v>172</v>
      </c>
      <c r="H32" s="9" t="s">
        <v>18</v>
      </c>
      <c r="I32" s="9"/>
      <c r="J32" s="33" t="s">
        <v>94</v>
      </c>
      <c r="K32" s="31" t="s">
        <v>18</v>
      </c>
      <c r="L32" s="31"/>
      <c r="M32" s="6" t="s">
        <v>163</v>
      </c>
      <c r="N32" s="6" t="s">
        <v>163</v>
      </c>
      <c r="O32" s="25"/>
      <c r="P32" s="9"/>
    </row>
    <row r="33">
      <c r="A33" s="8">
        <v>39.0</v>
      </c>
      <c r="B33" s="8" t="s">
        <v>165</v>
      </c>
      <c r="C33" s="8" t="s">
        <v>8</v>
      </c>
      <c r="D33" s="8" t="str">
        <f>IFERROR(__xludf.DUMMYFUNCTION("filter('Imported Challenges'!B:D,'Imported Challenges'!A:A=A33)"),"This part of the system, which I ask them to do to monitor the discipline, [...] ok, I'll give you a system, will it be an open source system? Me too, you know? Since I can give you a system, let's use a real system that isn't a joke. So, like, I think of"&amp;" a great open souce system there, that has testing, has a shitload of stuff, has continuous integration and has I don't know what, and you can select the test battery that will be used in each corner, You know?
You have to make a business case. It's a lo"&amp;"t harder to do.
The challenge sometimes is finding a good open source application, which is not too big also because you don't want the project to be too big. You don't want it to be too small, but you don't want too big. So, so finding something in betw"&amp;"een, which can be used. And, and, uh, so.
The challenge for us is getting an application, which is interesting [...] you know, like they can use.
The fact that DevOps is not just purely technical, it would be related to the fact that it's really complic"&amp;"ated teach on a given semester because you have, let's say 13 to 15 weeks, three hours a week, and then you have to go through you can't address like large, large project because it doesn't fit in the semester.")</f>
        <v>This part of the system, which I ask them to do to monitor the discipline, [...] ok, I'll give you a system, will it be an open source system? Me too, you know? Since I can give you a system, let's use a real system that isn't a joke. So, like, I think of a great open souce system there, that has testing, has a shitload of stuff, has continuous integration and has I don't know what, and you can select the test battery that will be used in each corner, You know?
You have to make a business case. It's a lot harder to do.
The challenge sometimes is finding a good open source application, which is not too big also because you don't want the project to be too big. You don't want it to be too small, but you don't want too big. So, so finding something in between, which can be used. And, and, uh, so.
The challenge for us is getting an application, which is interesting [...] you know, like they can use.
The fact that DevOps is not just purely technical, it would be related to the fact that it's really complicated teach on a given semester because you have, let's say 13 to 15 weeks, three hours a week, and then you have to go through you can't address like large, large project because it doesn't fit in the semester.</v>
      </c>
      <c r="E33" s="13" t="str">
        <f>IFERROR(__xludf.DUMMYFUNCTION("""COMPUTED_VALUE"""),"Difficulty selecting an example system realistic enough for students to use during the course.
It is hard to do a business case to demonstrate the importance of running devops.
It is difficult to find the right sized open source project to use. It is sh"&amp;"ould be not too small and not too bit.
It is difficult to find an interesting sample application that students use.
Students can't work on large projects in 13 to 15 weeks three hours a week course.")</f>
        <v>Difficulty selecting an example system realistic enough for students to use during the course.
It is hard to do a business case to demonstrate the importance of running devops.
It is difficult to find the right sized open source project to use. It is should be not too small and not too bit.
It is difficult to find an interesting sample application that students use.
Students can't work on large projects in 13 to 15 weeks three hours a week course.</v>
      </c>
      <c r="F33" s="8" t="str">
        <f>IFERROR(__xludf.DUMMYFUNCTION("""COMPUTED_VALUE"""),"It's challeging to find the right sized examples to teach DevOps.")</f>
        <v>It's challeging to find the right sized examples to teach DevOps.</v>
      </c>
      <c r="G33" s="25" t="s">
        <v>45</v>
      </c>
      <c r="H33" s="9" t="s">
        <v>18</v>
      </c>
      <c r="I33" s="9"/>
      <c r="J33" s="33" t="s">
        <v>95</v>
      </c>
      <c r="K33" s="31" t="s">
        <v>18</v>
      </c>
      <c r="L33" s="31"/>
      <c r="M33" s="6" t="s">
        <v>163</v>
      </c>
      <c r="N33" s="6" t="s">
        <v>163</v>
      </c>
      <c r="O33" s="25"/>
      <c r="P33" s="34"/>
    </row>
    <row r="34">
      <c r="A34" s="37">
        <v>34.0</v>
      </c>
      <c r="B34" s="38" t="s">
        <v>162</v>
      </c>
      <c r="C34" s="8" t="s">
        <v>8</v>
      </c>
      <c r="D34" s="8" t="str">
        <f>IFERROR(__xludf.DUMMYFUNCTION("filter('Imported Challenges'!B:D,'Imported Challenges'!A:A=A34)"),"Doing infrastructure as code or forms of configuration management or containerization, or even the simpler things like treating build scripts as first-class citizens alongside your code, start to not be meaningful until you have code at some minimum scale"&amp;" where there's a certain minimum complexity, both in terms of construction.
If you give artificial example or small toy example, then it's just going about configuring small things. So naturally naturally what DevOps is, uh, it's really complicated to ma"&amp;"ke the students experience a cultural change and those kinds of things, because there's, well, there's no culture of, uh, industrial project in a school because it's academic project or it's teaching how to behave in a industrial project.
So it was lectu"&amp;"res and labs and like a small project, but it was wasn't really satisfactory.")</f>
        <v>Doing infrastructure as code or forms of configuration management or containerization, or even the simpler things like treating build scripts as first-class citizens alongside your code, start to not be meaningful until you have code at some minimum scale where there's a certain minimum complexity, both in terms of construction.
If you give artificial example or small toy example, then it's just going about configuring small things. So naturally naturally what DevOps is, uh, it's really complicated to make the students experience a cultural change and those kinds of things, because there's, well, there's no culture of, uh, industrial project in a school because it's academic project or it's teaching how to behave in a industrial project.
So it was lectures and labs and like a small project, but it was wasn't really satisfactory.</v>
      </c>
      <c r="E34" s="13" t="str">
        <f>IFERROR(__xludf.DUMMYFUNCTION("""COMPUTED_VALUE"""),"Devops concepts like configuration management and contaizerization need examples with mininum scale and complexity.
The students can have difficulty understanding the DevOps culture working on a small example.
Small project wasn't really satisfactory.")</f>
        <v>Devops concepts like configuration management and contaizerization need examples with mininum scale and complexity.
The students can have difficulty understanding the DevOps culture working on a small example.
Small project wasn't really satisfactory.</v>
      </c>
      <c r="F34" s="13" t="str">
        <f>IFERROR(__xludf.DUMMYFUNCTION("""COMPUTED_VALUE"""),"Small examples weren't really satisfactory.")</f>
        <v>Small examples weren't really satisfactory.</v>
      </c>
      <c r="G34" s="9" t="s">
        <v>41</v>
      </c>
      <c r="H34" s="9" t="s">
        <v>18</v>
      </c>
      <c r="I34" s="9"/>
      <c r="J34" s="31" t="s">
        <v>41</v>
      </c>
      <c r="K34" s="31" t="s">
        <v>18</v>
      </c>
      <c r="L34" s="31"/>
      <c r="M34" s="6"/>
      <c r="N34" s="6"/>
      <c r="O34" s="25"/>
      <c r="P34" s="34"/>
    </row>
    <row r="35">
      <c r="A35" s="8">
        <v>40.0</v>
      </c>
      <c r="B35" s="8" t="s">
        <v>162</v>
      </c>
      <c r="C35" s="8" t="s">
        <v>8</v>
      </c>
      <c r="D35" s="8" t="str">
        <f>IFERROR(__xludf.DUMMYFUNCTION("filter('Imported Challenges'!B:D,'Imported Challenges'!A:A=A35)"),"So, because then, if I make this system, I can pass it on to people in a much simpler way, right? How do they do things and such, but then we also know that there are challenges, right? Wow, this is not that simple, will I have time to do it, right?
Ther"&amp;"e is no time for, for example, structuring complex environments [...] I know it is not the reality in the market, very few companies I had contact that set up their environment from scratch on the nail, in a set of internal servers.")</f>
        <v>So, because then, if I make this system, I can pass it on to people in a much simpler way, right? How do they do things and such, but then we also know that there are challenges, right? Wow, this is not that simple, will I have time to do it, right?
There is no time for, for example, structuring complex environments [...] I know it is not the reality in the market, very few companies I had contact that set up their environment from scratch on the nail, in a set of internal servers.</v>
      </c>
      <c r="E35" s="8" t="str">
        <f>IFERROR(__xludf.DUMMYFUNCTION("""COMPUTED_VALUE"""),"Lack of time for teachers to develop a ready-made and well-crafted example system.
Lack of time to structure more complex environments with students.")</f>
        <v>Lack of time for teachers to develop a ready-made and well-crafted example system.
Lack of time to structure more complex environments with students.</v>
      </c>
      <c r="F35" s="8" t="str">
        <f>IFERROR(__xludf.DUMMYFUNCTION("""COMPUTED_VALUE"""),"Lack of time to prepare classes to teach DevOps.")</f>
        <v>Lack of time to prepare classes to teach DevOps.</v>
      </c>
      <c r="G35" s="25" t="s">
        <v>46</v>
      </c>
      <c r="H35" s="9" t="s">
        <v>24</v>
      </c>
      <c r="I35" s="9"/>
      <c r="J35" s="33" t="s">
        <v>135</v>
      </c>
      <c r="K35" s="31" t="s">
        <v>24</v>
      </c>
      <c r="L35" s="31"/>
      <c r="M35" s="6"/>
      <c r="N35" s="6"/>
      <c r="O35" s="25"/>
      <c r="P35" s="34"/>
    </row>
    <row r="36">
      <c r="A36" s="7">
        <v>41.0</v>
      </c>
      <c r="B36" s="8" t="s">
        <v>164</v>
      </c>
      <c r="C36" s="8" t="s">
        <v>8</v>
      </c>
      <c r="D36" s="8" t="str">
        <f>IFERROR(__xludf.DUMMYFUNCTION("filter('Imported Challenges'!B:D,'Imported Challenges'!A:A=A36)"),"If I make this system [...] We, professors, sometimes are not the most proficient programmers there are, so maybe what we write is not in accordance with what is happening in the market today.
So it is in line with what is happening in the community as a"&amp;" whole, right? Always trying to bring it, because this area, specifically, it runs very fast. So, every semester I run this discipline once a year, there are very strong updates on what is happening.
You have to change the tools almost every semester or "&amp;"every two years. You've got to look at what are the popular tools right now.
So the challenge for me is that the cloud is constantly evolving. And so every semester what I try to do in my class, in my labs, I have snapshots of screenshots and circles and"&amp;" arrows and, you know, click on this and move there. Um, and that changes constantly.
So there's a lot of preparation in making sure that the tools still work the way they should, that the cloud still works the way they should, um, that the code doesn't "&amp;"have vulnerabilities in it. And that you've got all the right versions of stuff. So that's a lot of, uh, preparation then of course, as I said, you know, new technologies, like when Kubernetes came around, you know, you have to add Kubernetes to the class"&amp;", constantly adding new technologies to the class move.
The big challenge for me right, is, uh, is keeping up with the technology [...] so it's just challenging to keep up with all the new technology that's out there in DevOps.
And so every so often I'l"&amp;"l get folks who have taken one class and then they start using the wrong version of the tool for the second class, because they have an upgraded or something along those lines. 
We move through some technology on the application side, we'll move through "&amp;"a little bit of technology on the operation side. What does change is trying to keep up to speed and keep the class adjusted for, uh, what the current state of the art and the current understanding of best practices.
There's always double checking the te"&amp;"chnology, making sure that if you've got any automation in your class, it still works after all of the API changes may have gone into effect on say your cloud provider or, or whatever, making sure you're on the latest and greatest versions of whatever too"&amp;"ling that you're going to use and make sure that the hat that hasn't broken things and always missing something and suddenly be scrambling before class going, oh no, no, no. They've changed something. I need to figure this out.
Um, we got bit by that qui"&amp;"te a few times where we built the stack plus G unit plus, uh, we use, um, uh, some additional libraries for front-end, uh, some scripts for building Docker images, some version of Maven, and you need an Artifactory, et cetera. You can get everything set u"&amp;"p, everything works fine up to June. Then you go on summer break and then the next session comes up in September and you use what you've built well, too bad. In the middle of the summer, Jay, you need to release a new version that requires where some acts"&amp;" of Maven that requires this version of the stack of the student install from scratch on their machine.
The main, uh, challenge that we had was that DevOps is, there are many too many tools and, uh, many of these tools are not solid and are not commonly "&amp;"used yet.
 I mean devops is always evolving and we are not what we consider DevOps here is different for, from what was considered DevOps, let's say five years ago.
The lab session, they have to be like really precise. You have to, it would work one day"&amp;". And then the second day it doesn't work because there's an upgrade in the Docker API that makes things totally different. Or you you're, you're using it in the Dockerfile, you're using keywords. And then suddenly the new version of Docker decide that th"&amp;"ose keywords are deprecated and that you should not, uh, declared the authors this way.
So keeping things up to date and making things work like really working in, in, in being able to run the labs, not in panic mode, that everything was fragile and ever"&amp;"ything was able to collapse at any point was really stressful. And of course, a lot of things, I think it costs me like twice or three times the cost of preparing a regular course.")</f>
        <v>If I make this system [...] We, professors, sometimes are not the most proficient programmers there are, so maybe what we write is not in accordance with what is happening in the market today.
So it is in line with what is happening in the community as a whole, right? Always trying to bring it, because this area, specifically, it runs very fast. So, every semester I run this discipline once a year, there are very strong updates on what is happening.
You have to change the tools almost every semester or every two years. You've got to look at what are the popular tools right now.
So the challenge for me is that the cloud is constantly evolving. And so every semester what I try to do in my class, in my labs, I have snapshots of screenshots and circles and arrows and, you know, click on this and move there. Um, and that changes constantly.
So there's a lot of preparation in making sure that the tools still work the way they should, that the cloud still works the way they should, um, that the code doesn't have vulnerabilities in it. And that you've got all the right versions of stuff. So that's a lot of, uh, preparation then of course, as I said, you know, new technologies, like when Kubernetes came around, you know, you have to add Kubernetes to the class, constantly adding new technologies to the class move.
The big challenge for me right, is, uh, is keeping up with the technology [...] so it's just challenging to keep up with all the new technology that's out there in DevOps.
And so every so often I'll get folks who have taken one class and then they start using the wrong version of the tool for the second class, because they have an upgraded or something along those lines. 
We move through some technology on the application side, we'll move through a little bit of technology on the operation side. What does change is trying to keep up to speed and keep the class adjusted for, uh, what the current state of the art and the current understanding of best practices.
There's always double checking the technology, making sure that if you've got any automation in your class, it still works after all of the API changes may have gone into effect on say your cloud provider or, or whatever, making sure you're on the latest and greatest versions of whatever tooling that you're going to use and make sure that the hat that hasn't broken things and always missing something and suddenly be scrambling before class going, oh no, no, no. They've changed something. I need to figure this out.
Um, we got bit by that quite a few times where we built the stack plus G unit plus, uh, we use, um, uh, some additional libraries for front-end, uh, some scripts for building Docker images, some version of Maven, and you need an Artifactory, et cetera. You can get everything set up, everything works fine up to June. Then you go on summer break and then the next session comes up in September and you use what you've built well, too bad. In the middle of the summer, Jay, you need to release a new version that requires where some acts of Maven that requires this version of the stack of the student install from scratch on their machine.
The main, uh, challenge that we had was that DevOps is, there are many too many tools and, uh, many of these tools are not solid and are not commonly used yet.
 I mean devops is always evolving and we are not what we consider DevOps here is different for, from what was considered DevOps, let's say five years ago.
The lab session, they have to be like really precise. You have to, it would work one day. And then the second day it doesn't work because there's an upgrade in the Docker API that makes things totally different. Or you you're, you're using it in the Dockerfile, you're using keywords. And then suddenly the new version of Docker decide that those keywords are deprecated and that you should not, uh, declared the authors this way.
So keeping things up to date and making things work like really working in, in, in being able to run the labs, not in panic mode, that everything was fragile and everything was able to collapse at any point was really stressful. And of course, a lot of things, I think it costs me like twice or three times the cost of preparing a regular course.</v>
      </c>
      <c r="E36" s="8" t="str">
        <f>IFERROR(__xludf.DUMMYFUNCTION("""COMPUTED_VALUE"""),"Difficulty for teachers to keep up with the state of the art in the industry.
It is important to be up-to-date on industry tools every six months.
Every semester is necessary to update tools used on course.
The cloud are constantly evolving and it brea"&amp;"ks labs every semester.
Lots of preparation to keep tools and environment working, secure and updated.
Keep up with new technologies is challenging.
Tool versions upgrades require updating the labs during the classes.
It is difficult to keep up the cu"&amp;"rrent state of art of devops industry practices.
Devops tools and APIs change fast and it may break your labs.
Exercises can be outdated in few months.
Many tools and some are not mature and not commonly used yet.
DevOps is always evolving fast in the"&amp;" last five years.
Lab session works one day and then doesn't work because there are changes like update in Docker API.
Keeping things up to date and making things working the labs is really stressful and time costing.")</f>
        <v>Difficulty for teachers to keep up with the state of the art in the industry.
It is important to be up-to-date on industry tools every six months.
Every semester is necessary to update tools used on course.
The cloud are constantly evolving and it breaks labs every semester.
Lots of preparation to keep tools and environment working, secure and updated.
Keep up with new technologies is challenging.
Tool versions upgrades require updating the labs during the classes.
It is difficult to keep up the current state of art of devops industry practices.
Devops tools and APIs change fast and it may break your labs.
Exercises can be outdated in few months.
Many tools and some are not mature and not commonly used yet.
DevOps is always evolving fast in the last five years.
Lab session works one day and then doesn't work because there are changes like update in Docker API.
Keeping things up to date and making things working the labs is really stressful and time costing.</v>
      </c>
      <c r="F36" s="8" t="str">
        <f>IFERROR(__xludf.DUMMYFUNCTION("""COMPUTED_VALUE"""),"It's challeging to be up-to-date with industrial DevOps tools.")</f>
        <v>It's challeging to be up-to-date with industrial DevOps tools.</v>
      </c>
      <c r="G36" s="25" t="s">
        <v>173</v>
      </c>
      <c r="H36" s="9" t="s">
        <v>24</v>
      </c>
      <c r="I36" s="9"/>
      <c r="J36" s="33" t="s">
        <v>96</v>
      </c>
      <c r="K36" s="31" t="s">
        <v>24</v>
      </c>
      <c r="L36" s="31"/>
      <c r="M36" s="6"/>
      <c r="N36" s="6"/>
      <c r="O36" s="25"/>
      <c r="P36" s="34"/>
    </row>
    <row r="37">
      <c r="A37" s="8">
        <v>42.0</v>
      </c>
      <c r="B37" s="8" t="s">
        <v>165</v>
      </c>
      <c r="C37" s="8" t="s">
        <v>8</v>
      </c>
      <c r="D37" s="8" t="str">
        <f>IFERROR(__xludf.DUMMYFUNCTION("filter('Imported Challenges'!B:D,'Imported Challenges'!A:A=A37)"),"[...] it turned out that a lot of people did it in [...] different environments [...] for us, teacher, often we are not proficient in all of these.
Yeah, so challenges, um, differences in people's environments, their hardware, for example, every term, yo"&amp;"u know, if I want people to do something locally with, let's say, setting up virtual machines or containers or, or whatever, there's always some buddy who has some strange hardware configuration that causes problems.
We have some students on Mac, some on"&amp;" Linux, some on windows, some have, um, computers that are led by the university. They came up to class with computers, with family version of windows that cannot run Docker because there is no hypervisor in it.
")</f>
        <v>[...] it turned out that a lot of people did it in [...] different environments [...] for us, teacher, often we are not proficient in all of these.
Yeah, so challenges, um, differences in people's environments, their hardware, for example, every term, you know, if I want people to do something locally with, let's say, setting up virtual machines or containers or, or whatever, there's always some buddy who has some strange hardware configuration that causes problems.
We have some students on Mac, some on Linux, some on windows, some have, um, computers that are led by the university. They came up to class with computers, with family version of windows that cannot run Docker because there is no hypervisor in it.
</v>
      </c>
      <c r="E37" s="8" t="str">
        <f>IFERROR(__xludf.DUMMYFUNCTION("""COMPUTED_VALUE"""),"Difficulty supporting the use of several different tools and environments at the same time.
Differences in people's environments and their hardware configuration cause problems.
Different types of OSs can difficult the flow of environment setup.")</f>
        <v>Difficulty supporting the use of several different tools and environments at the same time.
Differences in people's environments and their hardware configuration cause problems.
Different types of OSs can difficult the flow of environment setup.</v>
      </c>
      <c r="F37" s="8" t="str">
        <f>IFERROR(__xludf.DUMMYFUNCTION("""COMPUTED_VALUE"""),"It's difficult to deal with different hardware and software.")</f>
        <v>It's difficult to deal with different hardware and software.</v>
      </c>
      <c r="G37" s="25" t="s">
        <v>47</v>
      </c>
      <c r="H37" s="9" t="s">
        <v>18</v>
      </c>
      <c r="I37" s="9"/>
      <c r="J37" s="33" t="s">
        <v>47</v>
      </c>
      <c r="K37" s="31" t="s">
        <v>18</v>
      </c>
      <c r="L37" s="31"/>
      <c r="M37" s="6" t="s">
        <v>163</v>
      </c>
      <c r="N37" s="6" t="s">
        <v>163</v>
      </c>
      <c r="O37" s="25"/>
      <c r="P37" s="34"/>
    </row>
    <row r="38">
      <c r="A38" s="8">
        <v>43.0</v>
      </c>
      <c r="B38" s="8" t="s">
        <v>162</v>
      </c>
      <c r="C38" s="8" t="s">
        <v>8</v>
      </c>
      <c r="D38" s="36" t="str">
        <f>IFERROR(__xludf.DUMMYFUNCTION("filter('Imported Challenges'!B:D,'Imported Challenges'!A:A=A38)"),"Then the boy will go in a week, he will only have his entire environment set up, right? But, this creates challenges too, right? That it will be difficult to do this and such.
We had to work to do on the labs. ...  the assistant I had two for the labs wa"&amp;"s too busy with too many things.
That's really complicated as, um, like as a teacher, uh, then we decided to move for on premises, uh, version with our own, uh, systems for deployment building and everything, uh, another disaster, because then it require"&amp;"s a lot of maintenance and a lot of them, of course, or the students are going to work like in the two days before the room, the, um, the delivery of the project.")</f>
        <v>Then the boy will go in a week, he will only have his entire environment set up, right? But, this creates challenges too, right? That it will be difficult to do this and such.
We had to work to do on the labs. ...  the assistant I had two for the labs was too busy with too many things.
That's really complicated as, um, like as a teacher, uh, then we decided to move for on premises, uh, version with our own, uh, systems for deployment building and everything, uh, another disaster, because then it requires a lot of maintenance and a lot of them, of course, or the students are going to work like in the two days before the room, the, um, the delivery of the project.</v>
      </c>
      <c r="E38" s="36" t="str">
        <f>IFERROR(__xludf.DUMMYFUNCTION("""COMPUTED_VALUE"""),"A lot of time preparing the initial environment setup of students.
Lots of work to setup the labs even if you have teacher assistants.
On premises systems for deployment everything is complicated because it requires a lot of maintenance and time.")</f>
        <v>A lot of time preparing the initial environment setup of students.
Lots of work to setup the labs even if you have teacher assistants.
On premises systems for deployment everything is complicated because it requires a lot of maintenance and time.</v>
      </c>
      <c r="F38" s="36" t="str">
        <f>IFERROR(__xludf.DUMMYFUNCTION("""COMPUTED_VALUE"""),"Prepare the labs environment requires a lot of time.")</f>
        <v>Prepare the labs environment requires a lot of time.</v>
      </c>
      <c r="G38" s="25" t="s">
        <v>48</v>
      </c>
      <c r="H38" s="9" t="s">
        <v>12</v>
      </c>
      <c r="I38" s="9"/>
      <c r="J38" s="33" t="s">
        <v>136</v>
      </c>
      <c r="K38" s="31" t="s">
        <v>12</v>
      </c>
      <c r="L38" s="31"/>
      <c r="M38" s="6" t="s">
        <v>163</v>
      </c>
      <c r="N38" s="6" t="s">
        <v>163</v>
      </c>
      <c r="O38" s="25"/>
      <c r="P38" s="34"/>
    </row>
    <row r="39">
      <c r="A39" s="7">
        <v>44.0</v>
      </c>
      <c r="B39" s="8" t="s">
        <v>164</v>
      </c>
      <c r="C39" s="8" t="s">
        <v>8</v>
      </c>
      <c r="D39" s="8" t="str">
        <f>IFERROR(__xludf.DUMMYFUNCTION("filter('Imported Challenges'!B:D,'Imported Challenges'!A:A=A39)"),"Material heterogeneity is the biggest challenge. You have to set up a class sewing the fonts, right?
When I started preparing, there was not a buy the book, a ""kit"" a suggestion for a course, there for you to start, it is a good start, right?")</f>
        <v>Material heterogeneity is the biggest challenge. You have to set up a class sewing the fonts, right?
When I started preparing, there was not a buy the book, a "kit" a suggestion for a course, there for you to start, it is a good start, right?</v>
      </c>
      <c r="E39" s="8" t="str">
        <f>IFERROR(__xludf.DUMMYFUNCTION("""COMPUTED_VALUE"""),"There is no unified material for teaching DevOps.
There is no complete material to teach DevOps.")</f>
        <v>There is no unified material for teaching DevOps.
There is no complete material to teach DevOps.</v>
      </c>
      <c r="F39" s="8" t="str">
        <f>IFERROR(__xludf.DUMMYFUNCTION("""COMPUTED_VALUE"""),"Unknown unified material for teaching DevOps.")</f>
        <v>Unknown unified material for teaching DevOps.</v>
      </c>
      <c r="G39" s="25" t="s">
        <v>174</v>
      </c>
      <c r="H39" s="9" t="s">
        <v>24</v>
      </c>
      <c r="I39" s="9"/>
      <c r="J39" s="33" t="s">
        <v>97</v>
      </c>
      <c r="K39" s="31" t="s">
        <v>24</v>
      </c>
      <c r="L39" s="31"/>
      <c r="M39" s="6" t="s">
        <v>163</v>
      </c>
      <c r="N39" s="6" t="s">
        <v>163</v>
      </c>
      <c r="O39" s="25"/>
      <c r="P39" s="34"/>
    </row>
    <row r="40">
      <c r="A40" s="8">
        <v>45.0</v>
      </c>
      <c r="B40" s="8" t="s">
        <v>165</v>
      </c>
      <c r="C40" s="8" t="s">
        <v>8</v>
      </c>
      <c r="D40" s="8" t="str">
        <f>IFERROR(__xludf.DUMMYFUNCTION("filter('Imported Challenges'!B:D,'Imported Challenges'!A:A=A40)"),"Because you take so many different things that I feel a bit sorry, in quotes, to pass everything on to the students. ... So, I think it's a difficulty, from the point of view, like, the pedagogical type of setting up the classes and such. It would be that"&amp;", the condensation of everything, let's say, the centralization of the material in what you produced, right?
I use a couple of books, um, and, uh, as I said, to to be able to own, um, they cover many different topics. And so I tried to use one over, two "&amp;"picks in it. [...] I still think that, uh, the idea scenario would have been able, will have been, to be able to do a situation where I can take several topics in the book and then cover them from the beginning to them. But, uh, I haven't been able to fin"&amp;"d that possible yet.")</f>
        <v>Because you take so many different things that I feel a bit sorry, in quotes, to pass everything on to the students. ... So, I think it's a difficulty, from the point of view, like, the pedagogical type of setting up the classes and such. It would be that, the condensation of everything, let's say, the centralization of the material in what you produced, right?
I use a couple of books, um, and, uh, as I said, to to be able to own, um, they cover many different topics. And so I tried to use one over, two picks in it. [...] I still think that, uh, the idea scenario would have been able, will have been, to be able to do a situation where I can take several topics in the book and then cover them from the beginning to them. But, uh, I haven't been able to find that possible yet.</v>
      </c>
      <c r="E40" s="8" t="str">
        <f>IFERROR(__xludf.DUMMYFUNCTION("""COMPUTED_VALUE"""),"Difficulty in resuming sufficient and suitable material for class lessons.
It is necessary to use multiple books because they do not cover all concepts.")</f>
        <v>Difficulty in resuming sufficient and suitable material for class lessons.
It is necessary to use multiple books because they do not cover all concepts.</v>
      </c>
      <c r="F40" s="8" t="str">
        <f>IFERROR(__xludf.DUMMYFUNCTION("""COMPUTED_VALUE"""),"Difficulty in using multiple materials to create the classes.")</f>
        <v>Difficulty in using multiple materials to create the classes.</v>
      </c>
      <c r="G40" s="25" t="s">
        <v>49</v>
      </c>
      <c r="H40" s="9" t="s">
        <v>24</v>
      </c>
      <c r="I40" s="9"/>
      <c r="J40" s="33" t="s">
        <v>98</v>
      </c>
      <c r="K40" s="31" t="s">
        <v>24</v>
      </c>
      <c r="L40" s="31"/>
      <c r="M40" s="6"/>
      <c r="N40" s="6"/>
      <c r="O40" s="25"/>
      <c r="P40" s="34"/>
    </row>
    <row r="41">
      <c r="A41" s="8">
        <v>46.0</v>
      </c>
      <c r="B41" s="8" t="s">
        <v>162</v>
      </c>
      <c r="C41" s="8" t="s">
        <v>8</v>
      </c>
      <c r="D41" s="8" t="str">
        <f>IFERROR(__xludf.DUMMYFUNCTION("filter('Imported Challenges'!B:D,'Imported Challenges'!A:A=A41)"),"And sometimes you took a little bit of such a thing, right? Not all that text was relevant, you know? So, your material ends up becoming the only source, let's put it that way. For students, I've already figured that out, like, you know? People studied an"&amp;"d such, they went a lot for the material I prepared. When the material I was preparing was, let's say, it was a set of slides, right? Which doesn't serve that much, from the point of view, right, from having a more in-depth reading and such. So, I think i"&amp;"t's a difficulty, from the point of view, like, the pedagogical type of setting up the classes and such.
There are concepts of collaboration, communication, organization that are a little subjective, right? So, it's a little harder for you to evaluate.
S"&amp;"o, all this traceability of what was done to what they are going to do, was the very difficult part [...] So, you can't think about doing a theoretical thing, you have to have practice, you can't just to be just practical exercises, it has to have a whole"&amp;" journey, a well-established train of thought. It was quite tricky to get to that topic.
 So part one is the three ways, just give you an overview of the, each of the three way. And then you have one part essentially for each of the three ways. And I thi"&amp;"nk that the first two parts of the book you can find online, but, but not, not as a, someone who puts it in PDF, but from the publisher, from, from revolution, publisher and official version. So you can read it from the way.")</f>
        <v>And sometimes you took a little bit of such a thing, right? Not all that text was relevant, you know? So, your material ends up becoming the only source, let's put it that way. For students, I've already figured that out, like, you know? People studied and such, they went a lot for the material I prepared. When the material I was preparing was, let's say, it was a set of slides, right? Which doesn't serve that much, from the point of view, right, from having a more in-depth reading and such. So, I think it's a difficulty, from the point of view, like, the pedagogical type of setting up the classes and such.
There are concepts of collaboration, communication, organization that are a little subjective, right? So, it's a little harder for you to evaluate.
So, all this traceability of what was done to what they are going to do, was the very difficult part [...] So, you can't think about doing a theoretical thing, you have to have practice, you can't just to be just practical exercises, it has to have a whole journey, a well-established train of thought. It was quite tricky to get to that topic.
 So part one is the three ways, just give you an overview of the, each of the three way. And then you have one part essentially for each of the three ways. And I think that the first two parts of the book you can find online, but, but not, not as a, someone who puts it in PDF, but from the publisher, from, from revolution, publisher and official version. So you can read it from the way.</v>
      </c>
      <c r="E41" s="8" t="str">
        <f>IFERROR(__xludf.DUMMYFUNCTION("""COMPUTED_VALUE"""),"Students rely heavily on the teacher's slide material, which is often limited.
The students don't read the suggested book even if you strongly encourage them.
Students tend to get short free versions and not full versions of books.")</f>
        <v>Students rely heavily on the teacher's slide material, which is often limited.
The students don't read the suggested book even if you strongly encourage them.
Students tend to get short free versions and not full versions of books.</v>
      </c>
      <c r="F41" s="8" t="str">
        <f>IFERROR(__xludf.DUMMYFUNCTION("""COMPUTED_VALUE"""),"Students rely on limited material instead of reading books.")</f>
        <v>Students rely on limited material instead of reading books.</v>
      </c>
      <c r="G41" s="25" t="s">
        <v>50</v>
      </c>
      <c r="H41" s="9" t="s">
        <v>73</v>
      </c>
      <c r="I41" s="25"/>
      <c r="J41" s="33" t="s">
        <v>137</v>
      </c>
      <c r="K41" s="31" t="s">
        <v>73</v>
      </c>
      <c r="L41" s="31" t="s">
        <v>163</v>
      </c>
      <c r="M41" s="6"/>
      <c r="N41" s="6"/>
      <c r="O41" s="25"/>
      <c r="P41" s="34"/>
    </row>
    <row r="42">
      <c r="A42" s="7">
        <v>47.0</v>
      </c>
      <c r="B42" s="8" t="s">
        <v>164</v>
      </c>
      <c r="C42" s="8" t="s">
        <v>8</v>
      </c>
      <c r="D42" s="8" t="str">
        <f>IFERROR(__xludf.DUMMYFUNCTION("filter('Imported Challenges'!B:D,'Imported Challenges'!A:A=A42)"),"There are concepts of collaboration, communication, organization that are a little subjective, right? So, it's a little harder for you to evaluate.")</f>
        <v>There are concepts of collaboration, communication, organization that are a little subjective, right? So, it's a little harder for you to evaluate.</v>
      </c>
      <c r="E42" s="8" t="str">
        <f>IFERROR(__xludf.DUMMYFUNCTION("""COMPUTED_VALUE"""),"The DevOps concepts collaboration, communication and organization are difficult to assess due to the high degree of subjectivity.")</f>
        <v>The DevOps concepts collaboration, communication and organization are difficult to assess due to the high degree of subjectivity.</v>
      </c>
      <c r="F42" s="7"/>
      <c r="G42" s="25" t="s">
        <v>175</v>
      </c>
      <c r="H42" s="9" t="s">
        <v>29</v>
      </c>
      <c r="I42" s="9"/>
      <c r="J42" s="33" t="s">
        <v>99</v>
      </c>
      <c r="K42" s="31" t="s">
        <v>29</v>
      </c>
      <c r="L42" s="31"/>
      <c r="M42" s="6"/>
      <c r="N42" s="6"/>
      <c r="O42" s="25"/>
      <c r="P42" s="6"/>
    </row>
    <row r="43">
      <c r="A43" s="8">
        <v>48.0</v>
      </c>
      <c r="B43" s="8" t="s">
        <v>165</v>
      </c>
      <c r="C43" s="8" t="s">
        <v>8</v>
      </c>
      <c r="D43" s="8" t="str">
        <f>IFERROR(__xludf.DUMMYFUNCTION("filter('Imported Challenges'!B:D,'Imported Challenges'!A:A=A43)"),"There are concepts of collaboration, communication, organization that are a little subjective, right? So, it's a little harder for you to evaluate.
The teaching plan, where I am going to start, where I am going to go, what is next. So, structuring this s"&amp;"equence of subjects to be covered, of how you are going to connect the subjects, which is the hardest part.")</f>
        <v>There are concepts of collaboration, communication, organization that are a little subjective, right? So, it's a little harder for you to evaluate.
The teaching plan, where I am going to start, where I am going to go, what is next. So, structuring this sequence of subjects to be covered, of how you are going to connect the subjects, which is the hardest part.</v>
      </c>
      <c r="E43" s="8" t="str">
        <f>IFERROR(__xludf.DUMMYFUNCTION("""COMPUTED_VALUE"""),"Difficulty in structuring the learning journey.
Difficulty to create a teaching plan, especially connecting the covered subjects.")</f>
        <v>Difficulty in structuring the learning journey.
Difficulty to create a teaching plan, especially connecting the covered subjects.</v>
      </c>
      <c r="F43" s="8" t="str">
        <f>IFERROR(__xludf.DUMMYFUNCTION("""COMPUTED_VALUE"""),"Difficulty in structuring the learning journey.")</f>
        <v>Difficulty in structuring the learning journey.</v>
      </c>
      <c r="G43" s="25" t="s">
        <v>51</v>
      </c>
      <c r="H43" s="9" t="s">
        <v>24</v>
      </c>
      <c r="I43" s="9"/>
      <c r="J43" s="33" t="s">
        <v>100</v>
      </c>
      <c r="K43" s="31" t="s">
        <v>24</v>
      </c>
      <c r="L43" s="31"/>
      <c r="M43" s="6"/>
      <c r="N43" s="6"/>
      <c r="O43" s="25"/>
      <c r="P43" s="34"/>
    </row>
    <row r="44">
      <c r="A44" s="8">
        <v>49.0</v>
      </c>
      <c r="B44" s="8" t="s">
        <v>162</v>
      </c>
      <c r="C44" s="8" t="s">
        <v>8</v>
      </c>
      <c r="D44" s="8" t="str">
        <f>IFERROR(__xludf.DUMMYFUNCTION("filter('Imported Challenges'!B:D,'Imported Challenges'!A:A=A44)"),"team of monitors [...] If you don't have it, it gets heavier, it's more difficult, you alone evaluate. Take a class with forty students, even if you divide it into teams, it's a lot for you to evaluate.")</f>
        <v>team of monitors [...] If you don't have it, it gets heavier, it's more difficult, you alone evaluate. Take a class with forty students, even if you divide it into teams, it's a lot for you to evaluate.</v>
      </c>
      <c r="E44" s="8" t="str">
        <f>IFERROR(__xludf.DUMMYFUNCTION("""COMPUTED_VALUE"""),"Large class assessment requires great effort.")</f>
        <v>Large class assessment requires great effort.</v>
      </c>
      <c r="F44" s="7"/>
      <c r="G44" s="25" t="s">
        <v>52</v>
      </c>
      <c r="H44" s="9" t="s">
        <v>29</v>
      </c>
      <c r="I44" s="9"/>
      <c r="J44" s="33" t="s">
        <v>138</v>
      </c>
      <c r="K44" s="31" t="s">
        <v>29</v>
      </c>
      <c r="L44" s="31"/>
      <c r="M44" s="6"/>
      <c r="N44" s="6"/>
      <c r="O44" s="25"/>
      <c r="P44" s="34"/>
    </row>
    <row r="45">
      <c r="A45" s="7">
        <v>50.0</v>
      </c>
      <c r="B45" s="8" t="s">
        <v>164</v>
      </c>
      <c r="C45" s="8" t="s">
        <v>8</v>
      </c>
      <c r="D45" s="8" t="str">
        <f>IFERROR(__xludf.DUMMYFUNCTION("filter('Imported Challenges'!B:D,'Imported Challenges'!A:A=A45)"),"the real challenge was when I started doing it, which I didn't have any. Then, building from scratch is more difficult, there is no baseline. [...] [...] these types of challenges, they are more related to the nature of the subject, not the object, that i"&amp;"s: what type of content, how will you conduct this course, how will you want to conduct the discipline.
I didn't find any course, really I was looking for courses in devops, like yes, there were courses that talk about kubernetes that these, yes. There a"&amp;"re courses that talk about, uh, integrated testing. Yes. There are courses. We talk about AWS and cloud, but I didn't find any course on devops that I can two years ago that I'm almost like three years ago now when I started to work on it, um, use as a ba"&amp;"sis. Right. So the first semester was a nightmare. 
In 2018, 2019, and yet no universities have a program in DevOps, no universities, essentially very few universities have a course in DevOps.
If you want to teach devops, it's really difficult to find, "&amp;"uh, supports, like finding a way to understand how it's towards elsewhere. It's really complicated because there's not a lot, of course that grant themselves as DevOps, basically because it's often hidden because it's something technical you're not suppos"&amp;"ed to teach.")</f>
        <v>the real challenge was when I started doing it, which I didn't have any. Then, building from scratch is more difficult, there is no baseline. [...] [...] these types of challenges, they are more related to the nature of the subject, not the object, that is: what type of content, how will you conduct this course, how will you want to conduct the discipline.
I didn't find any course, really I was looking for courses in devops, like yes, there were courses that talk about kubernetes that these, yes. There are courses that talk about, uh, integrated testing. Yes. There are courses. We talk about AWS and cloud, but I didn't find any course on devops that I can two years ago that I'm almost like three years ago now when I started to work on it, um, use as a basis. Right. So the first semester was a nightmare. 
In 2018, 2019, and yet no universities have a program in DevOps, no universities, essentially very few universities have a course in DevOps.
If you want to teach devops, it's really difficult to find, uh, supports, like finding a way to understand how it's towards elsewhere. It's really complicated because there's not a lot, of course that grant themselves as DevOps, basically because it's often hidden because it's something technical you're not supposed to teach.</v>
      </c>
      <c r="E45" s="8" t="str">
        <f>IFERROR(__xludf.DUMMYFUNCTION("""COMPUTED_VALUE"""),"Difficulty in setting up classes without a prior reference ones.
It isn't easy to create a DevOps course without having another course as a reference.
Few universities have a DevOps course.
It's really difficult to find supports if you want to teach De"&amp;"vOps.")</f>
        <v>Difficulty in setting up classes without a prior reference ones.
It isn't easy to create a DevOps course without having another course as a reference.
Few universities have a DevOps course.
It's really difficult to find supports if you want to teach DevOps.</v>
      </c>
      <c r="F45" s="8" t="str">
        <f>IFERROR(__xludf.DUMMYFUNCTION("""COMPUTED_VALUE"""),"It is difficult to create a DevOps course without a previous reference ones.")</f>
        <v>It is difficult to create a DevOps course without a previous reference ones.</v>
      </c>
      <c r="G45" s="25" t="s">
        <v>176</v>
      </c>
      <c r="H45" s="9" t="s">
        <v>24</v>
      </c>
      <c r="I45" s="9"/>
      <c r="J45" s="33" t="s">
        <v>101</v>
      </c>
      <c r="K45" s="31" t="s">
        <v>24</v>
      </c>
      <c r="L45" s="31"/>
      <c r="M45" s="6" t="s">
        <v>163</v>
      </c>
      <c r="N45" s="6" t="s">
        <v>163</v>
      </c>
      <c r="O45" s="25"/>
      <c r="P45" s="34"/>
    </row>
    <row r="46">
      <c r="A46" s="8">
        <v>51.0</v>
      </c>
      <c r="B46" s="8" t="s">
        <v>165</v>
      </c>
      <c r="C46" s="8" t="s">
        <v>8</v>
      </c>
      <c r="D46" s="36" t="str">
        <f>IFERROR(__xludf.DUMMYFUNCTION("filter('Imported Challenges'!B:D,'Imported Challenges'!A:A=A46)"),"This teaching plan is not and should not be completed, right? He doesn't have it, he's never ready. ... Things change too fast, the focus changes too fast.")</f>
        <v>This teaching plan is not and should not be completed, right? He doesn't have it, he's never ready. ... Things change too fast, the focus changes too fast.</v>
      </c>
      <c r="E46" s="36" t="str">
        <f>IFERROR(__xludf.DUMMYFUNCTION("""COMPUTED_VALUE"""),"Rapid and constant changes in DevOps make it difficult to create a teaching plan.")</f>
        <v>Rapid and constant changes in DevOps make it difficult to create a teaching plan.</v>
      </c>
      <c r="F46" s="15"/>
      <c r="G46" s="25" t="s">
        <v>53</v>
      </c>
      <c r="H46" s="9" t="s">
        <v>10</v>
      </c>
      <c r="I46" s="9"/>
      <c r="J46" s="33" t="s">
        <v>102</v>
      </c>
      <c r="K46" s="31" t="s">
        <v>10</v>
      </c>
      <c r="L46" s="31"/>
      <c r="M46" s="6"/>
      <c r="N46" s="6"/>
      <c r="O46" s="25"/>
      <c r="P46" s="34"/>
    </row>
    <row r="47">
      <c r="A47" s="8">
        <v>52.0</v>
      </c>
      <c r="B47" s="8" t="s">
        <v>162</v>
      </c>
      <c r="C47" s="8" t="s">
        <v>8</v>
      </c>
      <c r="D47" s="36" t="str">
        <f>IFERROR(__xludf.DUMMYFUNCTION("filter('Imported Challenges'!B:D,'Imported Challenges'!A:A=A47)"),"""DevOps ends up forcing you to tap into a lot of other universes, right? Especially if you go into project as an evaluation method. So, that's another big challenge, you keep an eye out for what's going on, which can be correlated and which you can bring"&amp;" as an open scope to be worked also in the discipline, with this type of direction. Which in my case, comes AI student, Bank student, Software Engineering student, pay for the post, and that then you can't just stay in the context of developing software, "&amp;"delivering software on DevOps, right? There's a whole other context of things related, for example, to operation, infrastructure analysis, learning, prediction, and so on.")</f>
        <v>"DevOps ends up forcing you to tap into a lot of other universes, right? Especially if you go into project as an evaluation method. So, that's another big challenge, you keep an eye out for what's going on, which can be correlated and which you can bring as an open scope to be worked also in the discipline, with this type of direction. Which in my case, comes AI student, Bank student, Software Engineering student, pay for the post, and that then you can't just stay in the context of developing software, delivering software on DevOps, right? There's a whole other context of things related, for example, to operation, infrastructure analysis, learning, prediction, and so on.</v>
      </c>
      <c r="E47" s="36" t="str">
        <f>IFERROR(__xludf.DUMMYFUNCTION("""COMPUTED_VALUE"""),"Difficulty in linking DevOps classes with other subjects of interest to students.")</f>
        <v>Difficulty in linking DevOps classes with other subjects of interest to students.</v>
      </c>
      <c r="F47" s="15"/>
      <c r="G47" s="25" t="s">
        <v>54</v>
      </c>
      <c r="H47" s="9" t="s">
        <v>16</v>
      </c>
      <c r="I47" s="9"/>
      <c r="J47" s="33" t="s">
        <v>139</v>
      </c>
      <c r="K47" s="31" t="s">
        <v>16</v>
      </c>
      <c r="L47" s="31"/>
      <c r="M47" s="6"/>
      <c r="N47" s="6"/>
      <c r="O47" s="25"/>
      <c r="P47" s="34"/>
    </row>
    <row r="48">
      <c r="A48" s="7">
        <v>53.0</v>
      </c>
      <c r="B48" s="8" t="s">
        <v>165</v>
      </c>
      <c r="C48" s="39" t="s">
        <v>8</v>
      </c>
      <c r="D48" s="36" t="str">
        <f>IFERROR(__xludf.DUMMYFUNCTION("filter('Imported Challenges'!B:D,'Imported Challenges'!A:A=A48)"),"There are several environments in the cloud, but they all cost money.")</f>
        <v>There are several environments in the cloud, but they all cost money.</v>
      </c>
      <c r="E48" s="36" t="str">
        <f>IFERROR(__xludf.DUMMYFUNCTION("""COMPUTED_VALUE"""),"Environment set up in a cloud service cost money.")</f>
        <v>Environment set up in a cloud service cost money.</v>
      </c>
      <c r="F48" s="36"/>
      <c r="G48" s="9" t="s">
        <v>55</v>
      </c>
      <c r="H48" s="9" t="s">
        <v>12</v>
      </c>
      <c r="I48" s="9"/>
      <c r="J48" s="31" t="s">
        <v>103</v>
      </c>
      <c r="K48" s="31" t="s">
        <v>12</v>
      </c>
      <c r="L48" s="31"/>
      <c r="M48" s="6"/>
      <c r="N48" s="6"/>
      <c r="O48" s="25"/>
      <c r="P48" s="34"/>
    </row>
    <row r="49">
      <c r="A49" s="7">
        <v>54.0</v>
      </c>
      <c r="B49" s="8" t="s">
        <v>162</v>
      </c>
      <c r="C49" s="39" t="s">
        <v>8</v>
      </c>
      <c r="D49" s="36" t="str">
        <f>IFERROR(__xludf.DUMMYFUNCTION("filter('Imported Challenges'!B:D,'Imported Challenges'!A:A=A49)")," However, last semester eight of my students showed up with apple, M one Silicon Macs and they don't run VirtualBox because VirtualBox only runs on Intel. It's not an emulator. It is a virtualizing layer, right? It needs an Intel CPU in order to virtualiz"&amp;"e. Um, and so I had to change the class for them to use Docker and VirtualBox. ")</f>
        <v> However, last semester eight of my students showed up with apple, M one Silicon Macs and they don't run VirtualBox because VirtualBox only runs on Intel. It's not an emulator. It is a virtualizing layer, right? It needs an Intel CPU in order to virtualize. Um, and so I had to change the class for them to use Docker and VirtualBox. </v>
      </c>
      <c r="E49" s="36" t="str">
        <f>IFERROR(__xludf.DUMMYFUNCTION("""COMPUTED_VALUE"""),"VirtualBox has limitation in MacOS.")</f>
        <v>VirtualBox has limitation in MacOS.</v>
      </c>
      <c r="F49" s="36"/>
      <c r="G49" s="9" t="s">
        <v>56</v>
      </c>
      <c r="H49" s="9" t="s">
        <v>18</v>
      </c>
      <c r="I49" s="9"/>
      <c r="J49" s="31" t="s">
        <v>140</v>
      </c>
      <c r="K49" s="31" t="s">
        <v>18</v>
      </c>
      <c r="L49" s="31"/>
      <c r="M49" s="6"/>
      <c r="N49" s="6"/>
      <c r="O49" s="25"/>
      <c r="P49" s="34"/>
    </row>
    <row r="50">
      <c r="A50" s="7">
        <v>55.0</v>
      </c>
      <c r="B50" s="8" t="s">
        <v>164</v>
      </c>
      <c r="C50" s="39" t="s">
        <v>8</v>
      </c>
      <c r="D50" s="36" t="str">
        <f>IFERROR(__xludf.DUMMYFUNCTION("filter('Imported Challenges'!B:D,'Imported Challenges'!A:A=A50)"),"You have to find a set of tools that work together.
 For many people, getting them all to work together can be particularly challenging.")</f>
        <v>You have to find a set of tools that work together.
 For many people, getting them all to work together can be particularly challenging.</v>
      </c>
      <c r="E50" s="36" t="str">
        <f>IFERROR(__xludf.DUMMYFUNCTION("""COMPUTED_VALUE"""),"You have to find a set of tools that work together.
For many people, getting all technologies to work together can be particularly challenging.")</f>
        <v>You have to find a set of tools that work together.
For many people, getting all technologies to work together can be particularly challenging.</v>
      </c>
      <c r="F50" s="36" t="str">
        <f>IFERROR(__xludf.DUMMYFUNCTION("""COMPUTED_VALUE"""),"Getting all DevOps tools to work together is challenging.")</f>
        <v>Getting all DevOps tools to work together is challenging.</v>
      </c>
      <c r="G50" s="25" t="s">
        <v>177</v>
      </c>
      <c r="H50" s="9" t="s">
        <v>18</v>
      </c>
      <c r="I50" s="9"/>
      <c r="J50" s="33" t="s">
        <v>104</v>
      </c>
      <c r="K50" s="31" t="s">
        <v>18</v>
      </c>
      <c r="L50" s="31"/>
      <c r="M50" s="6"/>
      <c r="N50" s="6"/>
      <c r="O50" s="25"/>
      <c r="P50" s="34"/>
    </row>
    <row r="51">
      <c r="A51" s="7">
        <v>56.0</v>
      </c>
      <c r="B51" s="8" t="s">
        <v>165</v>
      </c>
      <c r="C51" s="39" t="s">
        <v>8</v>
      </c>
      <c r="D51" s="36" t="str">
        <f>IFERROR(__xludf.DUMMYFUNCTION("filter('Imported Challenges'!B:D,'Imported Challenges'!A:A=A51)"),"A big challenge is students learning to be, um, to be agile working as a team pair programming. 
Lot of those concepts are hard to teach in a classroom setting.
That's kind of challenging getting them to be agile, getting them to think agile, get into t"&amp;"hink minimum viable product, right.
How do you work in sprints? ")</f>
        <v>A big challenge is students learning to be, um, to be agile working as a team pair programming. 
Lot of those concepts are hard to teach in a classroom setting.
That's kind of challenging getting them to be agile, getting them to think agile, get into think minimum viable product, right.
How do you work in sprints? </v>
      </c>
      <c r="E51" s="36" t="str">
        <f>IFERROR(__xludf.DUMMYFUNCTION("""COMPUTED_VALUE"""),"It is difficult to students learning agile techniques like pair programming.
A lot of agile concepts are hard to teach in a classroom setting.
It's challenging the students to be and to think agile into mininum viable product.
It is difficult how to or"&amp;"ganize each sprint.")</f>
        <v>It is difficult to students learning agile techniques like pair programming.
A lot of agile concepts are hard to teach in a classroom setting.
It's challenging the students to be and to think agile into mininum viable product.
It is difficult how to organize each sprint.</v>
      </c>
      <c r="F51" s="36" t="str">
        <f>IFERROR(__xludf.DUMMYFUNCTION("""COMPUTED_VALUE"""),"It is difficult to teach agile techniques.")</f>
        <v>It is difficult to teach agile techniques.</v>
      </c>
      <c r="G51" s="9" t="s">
        <v>57</v>
      </c>
      <c r="H51" s="9" t="s">
        <v>16</v>
      </c>
      <c r="I51" s="9"/>
      <c r="J51" s="33" t="s">
        <v>106</v>
      </c>
      <c r="K51" s="31" t="s">
        <v>16</v>
      </c>
      <c r="L51" s="31"/>
      <c r="M51" s="6" t="s">
        <v>163</v>
      </c>
      <c r="N51" s="6" t="s">
        <v>163</v>
      </c>
      <c r="O51" s="25"/>
      <c r="P51" s="34"/>
    </row>
    <row r="52">
      <c r="A52" s="7">
        <v>57.0</v>
      </c>
      <c r="B52" s="8" t="s">
        <v>162</v>
      </c>
      <c r="C52" s="8" t="s">
        <v>8</v>
      </c>
      <c r="D52" s="36" t="str">
        <f>IFERROR(__xludf.DUMMYFUNCTION("filter('Imported Challenges'!B:D,'Imported Challenges'!A:A=A52)"),"Are they following the process? Not, did they get the work done in the end? That's not the important part is did they learn the process and follow it? And did they learn from it? So that's, it's kind of challenging.")</f>
        <v>Are they following the process? Not, did they get the work done in the end? That's not the important part is did they learn the process and follow it? And did they learn from it? So that's, it's kind of challenging.</v>
      </c>
      <c r="E52" s="15" t="str">
        <f>IFERROR(__xludf.DUMMYFUNCTION("""COMPUTED_VALUE"""),"It is challeging to verify if the students learn the devops process of working.")</f>
        <v>It is challeging to verify if the students learn the devops process of working.</v>
      </c>
      <c r="F52" s="40"/>
      <c r="G52" s="9" t="s">
        <v>58</v>
      </c>
      <c r="H52" s="9" t="s">
        <v>29</v>
      </c>
      <c r="I52" s="25"/>
      <c r="J52" s="41" t="s">
        <v>141</v>
      </c>
      <c r="K52" s="31" t="s">
        <v>29</v>
      </c>
      <c r="L52" s="31"/>
      <c r="M52" s="6"/>
      <c r="N52" s="6"/>
      <c r="O52" s="25"/>
      <c r="P52" s="34"/>
    </row>
    <row r="53">
      <c r="A53" s="7">
        <v>58.0</v>
      </c>
      <c r="B53" s="8" t="s">
        <v>164</v>
      </c>
      <c r="C53" s="8" t="s">
        <v>8</v>
      </c>
      <c r="D53" s="36" t="str">
        <f>IFERROR(__xludf.DUMMYFUNCTION("filter('Imported Challenges'!B:D,'Imported Challenges'!A:A=A53)"),"Doing a hands-on class with that many (45) students is just physically challenging.")</f>
        <v>Doing a hands-on class with that many (45) students is just physically challenging.</v>
      </c>
      <c r="E53" s="15" t="str">
        <f>IFERROR(__xludf.DUMMYFUNCTION("""COMPUTED_VALUE"""),"Doing a hands-on class with that many (45) students is just physically challenging.")</f>
        <v>Doing a hands-on class with that many (45) students is just physically challenging.</v>
      </c>
      <c r="F53" s="40"/>
      <c r="G53" s="25" t="s">
        <v>178</v>
      </c>
      <c r="H53" s="9" t="s">
        <v>73</v>
      </c>
      <c r="I53" s="9"/>
      <c r="J53" s="31" t="s">
        <v>107</v>
      </c>
      <c r="K53" s="31" t="s">
        <v>73</v>
      </c>
      <c r="L53" s="31"/>
      <c r="M53" s="6"/>
      <c r="N53" s="6"/>
      <c r="O53" s="25"/>
      <c r="P53" s="34"/>
    </row>
    <row r="54">
      <c r="A54" s="7">
        <v>59.0</v>
      </c>
      <c r="B54" s="8" t="s">
        <v>165</v>
      </c>
      <c r="C54" s="8" t="s">
        <v>8</v>
      </c>
      <c r="D54" s="36" t="str">
        <f>IFERROR(__xludf.DUMMYFUNCTION("filter('Imported Challenges'!B:D,'Imported Challenges'!A:A=A54)"),"You have a clean compile, you've tested your code and it meets the functional requirements. And that's the end of the story. But as we know, you know, even from software development,[...] it doesn't end once the software is built and once it's passed test"&amp;"ing, then it goes into this entire operational stage. We tend to ignore it. And I don't think we ignore it deliberately. We ignore it because it's hard")</f>
        <v>You have a clean compile, you've tested your code and it meets the functional requirements. And that's the end of the story. But as we know, you know, even from software development,[...] it doesn't end once the software is built and once it's passed testing, then it goes into this entire operational stage. We tend to ignore it. And I don't think we ignore it deliberately. We ignore it because it's hard</v>
      </c>
      <c r="E54" s="15" t="str">
        <f>IFERROR(__xludf.DUMMYFUNCTION("""COMPUTED_VALUE"""),"Teach operational activities is ignored because it is hard.")</f>
        <v>Teach operational activities is ignored because it is hard.</v>
      </c>
      <c r="F54" s="40"/>
      <c r="G54" s="9" t="s">
        <v>59</v>
      </c>
      <c r="H54" s="9" t="s">
        <v>12</v>
      </c>
      <c r="I54" s="9"/>
      <c r="J54" s="31" t="s">
        <v>108</v>
      </c>
      <c r="K54" s="31" t="s">
        <v>24</v>
      </c>
      <c r="L54" s="31"/>
      <c r="M54" s="6" t="s">
        <v>163</v>
      </c>
      <c r="N54" s="6"/>
      <c r="O54" s="25" t="s">
        <v>179</v>
      </c>
      <c r="P54" s="42" t="s">
        <v>180</v>
      </c>
    </row>
    <row r="55">
      <c r="A55" s="7">
        <v>60.0</v>
      </c>
      <c r="B55" s="8" t="s">
        <v>162</v>
      </c>
      <c r="C55" s="8" t="s">
        <v>8</v>
      </c>
      <c r="D55" s="36" t="str">
        <f>IFERROR(__xludf.DUMMYFUNCTION("filter('Imported Challenges'!B:D,'Imported Challenges'!A:A=A55)"),"That is a lot of the devops principles that come into play. ")</f>
        <v>That is a lot of the devops principles that come into play. </v>
      </c>
      <c r="E55" s="15" t="str">
        <f>IFERROR(__xludf.DUMMYFUNCTION("""COMPUTED_VALUE"""),"Many devops concepts need to be taught.")</f>
        <v>Many devops concepts need to be taught.</v>
      </c>
      <c r="F55" s="15"/>
      <c r="G55" s="9" t="s">
        <v>60</v>
      </c>
      <c r="H55" s="9" t="s">
        <v>16</v>
      </c>
      <c r="I55" s="9"/>
      <c r="J55" s="31" t="s">
        <v>60</v>
      </c>
      <c r="K55" s="31" t="s">
        <v>16</v>
      </c>
      <c r="L55" s="31"/>
      <c r="M55" s="6"/>
      <c r="N55" s="6"/>
      <c r="O55" s="25"/>
      <c r="P55" s="34"/>
    </row>
    <row r="56">
      <c r="A56" s="7">
        <v>61.0</v>
      </c>
      <c r="B56" s="8" t="s">
        <v>164</v>
      </c>
      <c r="C56" s="8" t="s">
        <v>8</v>
      </c>
      <c r="D56" s="36" t="str">
        <f>IFERROR(__xludf.DUMMYFUNCTION("filter('Imported Challenges'!B:D,'Imported Challenges'!A:A=A56)"),"It is very dangerous to teach too many tools because it's simply conveys that it is a very technology centric approach.")</f>
        <v>It is very dangerous to teach too many tools because it's simply conveys that it is a very technology centric approach.</v>
      </c>
      <c r="E56" s="15" t="str">
        <f>IFERROR(__xludf.DUMMYFUNCTION("""COMPUTED_VALUE"""),"It is very dangerous to teach too many tools because it conveys that DevOps is a very technology centric approach.")</f>
        <v>It is very dangerous to teach too many tools because it conveys that DevOps is a very technology centric approach.</v>
      </c>
      <c r="F56" s="40"/>
      <c r="G56" s="25" t="s">
        <v>181</v>
      </c>
      <c r="H56" s="9" t="s">
        <v>18</v>
      </c>
      <c r="I56" s="9"/>
      <c r="J56" s="31" t="s">
        <v>109</v>
      </c>
      <c r="K56" s="31" t="s">
        <v>18</v>
      </c>
      <c r="L56" s="31"/>
      <c r="M56" s="6"/>
      <c r="N56" s="6"/>
      <c r="O56" s="25"/>
      <c r="P56" s="34"/>
    </row>
    <row r="57">
      <c r="A57" s="7">
        <v>62.0</v>
      </c>
      <c r="B57" s="8" t="s">
        <v>165</v>
      </c>
      <c r="C57" s="8" t="s">
        <v>8</v>
      </c>
      <c r="D57" s="36" t="str">
        <f>IFERROR(__xludf.DUMMYFUNCTION("filter('Imported Challenges'!B:D,'Imported Challenges'!A:A=A57)"),"A lot of the folks who are attending the course are not at a level in the organization where they can actually affect culture [...] they are usually technologists and so they can very easily understand how they can affect things like technology decisions "&amp;"and the application of technology. But many of them are not, let's say at manager or director or senior director VP levels or things like that will, they can actually affect more senior levels of challenge there.")</f>
        <v>A lot of the folks who are attending the course are not at a level in the organization where they can actually affect culture [...] they are usually technologists and so they can very easily understand how they can affect things like technology decisions and the application of technology. But many of them are not, let's say at manager or director or senior director VP levels or things like that will, they can actually affect more senior levels of challenge there.</v>
      </c>
      <c r="E57" s="15" t="str">
        <f>IFERROR(__xludf.DUMMYFUNCTION("""COMPUTED_VALUE"""),"Students are not at a level in the their companies where they can introduce DevOps mindset.")</f>
        <v>Students are not at a level in the their companies where they can introduce DevOps mindset.</v>
      </c>
      <c r="F57" s="40"/>
      <c r="G57" s="9" t="s">
        <v>61</v>
      </c>
      <c r="H57" s="9" t="s">
        <v>16</v>
      </c>
      <c r="I57" s="9"/>
      <c r="J57" s="33" t="s">
        <v>110</v>
      </c>
      <c r="K57" s="31" t="s">
        <v>16</v>
      </c>
      <c r="L57" s="31"/>
      <c r="M57" s="6"/>
      <c r="N57" s="6"/>
      <c r="O57" s="25"/>
      <c r="P57" s="34"/>
    </row>
    <row r="58">
      <c r="A58" s="7">
        <v>63.0</v>
      </c>
      <c r="B58" s="8" t="s">
        <v>162</v>
      </c>
      <c r="C58" s="8" t="s">
        <v>8</v>
      </c>
      <c r="D58" s="36" t="str">
        <f>IFERROR(__xludf.DUMMYFUNCTION("filter('Imported Challenges'!B:D,'Imported Challenges'!A:A=A58)"),"It can be a little harder garner garnering some of that same thing from, from industry, you know, unless you happen to find reasonably wit reasonably written, uh, white papers or, or things along those lines.")</f>
        <v>It can be a little harder garner garnering some of that same thing from, from industry, you know, unless you happen to find reasonably wit reasonably written, uh, white papers or, or things along those lines.</v>
      </c>
      <c r="E58" s="15" t="str">
        <f>IFERROR(__xludf.DUMMYFUNCTION("""COMPUTED_VALUE"""),"It is hard to find strategies from industry unless if it written in a paper.")</f>
        <v>It is hard to find strategies from industry unless if it written in a paper.</v>
      </c>
      <c r="F58" s="40"/>
      <c r="G58" s="9" t="s">
        <v>63</v>
      </c>
      <c r="H58" s="9" t="s">
        <v>24</v>
      </c>
      <c r="I58" s="9"/>
      <c r="J58" s="31" t="s">
        <v>63</v>
      </c>
      <c r="K58" s="31" t="s">
        <v>24</v>
      </c>
      <c r="L58" s="31"/>
      <c r="M58" s="6" t="s">
        <v>163</v>
      </c>
      <c r="N58" s="6" t="s">
        <v>163</v>
      </c>
      <c r="O58" s="25"/>
      <c r="P58" s="34"/>
    </row>
    <row r="59">
      <c r="A59" s="7">
        <v>64.0</v>
      </c>
      <c r="B59" s="8" t="s">
        <v>164</v>
      </c>
      <c r="C59" s="8" t="s">
        <v>8</v>
      </c>
      <c r="D59" s="36" t="str">
        <f>IFERROR(__xludf.DUMMYFUNCTION("filter('Imported Challenges'!B:D,'Imported Challenges'!A:A=A59)"),"I have tended to get much more forgiving on how I, for example, grade this particular course, I used to be one of those folks. You know, you, you do the assignment and then you get a grade for the assignment. And at the end of the day, and this is not jus"&amp;"t devops it's it's for other courses as well. At the end of the day, I'm way more concerned. They're able to get stuff working and that you understand why we're doing it.")</f>
        <v>I have tended to get much more forgiving on how I, for example, grade this particular course, I used to be one of those folks. You know, you, you do the assignment and then you get a grade for the assignment. And at the end of the day, and this is not just devops it's it's for other courses as well. At the end of the day, I'm way more concerned. They're able to get stuff working and that you understand why we're doing it.</v>
      </c>
      <c r="E59" s="15" t="str">
        <f>IFERROR(__xludf.DUMMYFUNCTION("""COMPUTED_VALUE"""),"Task done by students do not means that students learned correctly.")</f>
        <v>Task done by students do not means that students learned correctly.</v>
      </c>
      <c r="F59" s="40"/>
      <c r="G59" s="25" t="s">
        <v>182</v>
      </c>
      <c r="H59" s="9" t="s">
        <v>29</v>
      </c>
      <c r="I59" s="9"/>
      <c r="J59" s="33" t="s">
        <v>111</v>
      </c>
      <c r="K59" s="31" t="s">
        <v>29</v>
      </c>
      <c r="L59" s="31"/>
      <c r="M59" s="6" t="s">
        <v>163</v>
      </c>
      <c r="N59" s="6" t="s">
        <v>163</v>
      </c>
      <c r="O59" s="25"/>
      <c r="P59" s="34"/>
    </row>
    <row r="60">
      <c r="A60" s="7">
        <v>65.0</v>
      </c>
      <c r="B60" s="8" t="s">
        <v>165</v>
      </c>
      <c r="C60" s="8" t="s">
        <v>8</v>
      </c>
      <c r="D60" s="36" t="str">
        <f>IFERROR(__xludf.DUMMYFUNCTION("filter('Imported Challenges'!B:D,'Imported Challenges'!A:A=A60)"),"The challenge of course, is newer students obviously have more than enough to worry about just getting code wrong and compile. Uh, but that's, that's the reality, unfortunately, is the code just doesn't run a compile on a laptop, right? It runs out in pro"&amp;"duction and it's serving real people. And in this day and age, there is, there is stuff that goes with that. And the more folks understand, at least some of the sooner, the better I hope the software will be.")</f>
        <v>The challenge of course, is newer students obviously have more than enough to worry about just getting code wrong and compile. Uh, but that's, that's the reality, unfortunately, is the code just doesn't run a compile on a laptop, right? It runs out in production and it's serving real people. And in this day and age, there is, there is stuff that goes with that. And the more folks understand, at least some of the sooner, the better I hope the software will be.</v>
      </c>
      <c r="E60" s="24" t="str">
        <f>IFERROR(__xludf.DUMMYFUNCTION("""COMPUTED_VALUE"""),"It is difficult for students to understand the importance the software running in production, not just compiling.")</f>
        <v>It is difficult for students to understand the importance the software running in production, not just compiling.</v>
      </c>
      <c r="F60" s="40"/>
      <c r="G60" s="9" t="s">
        <v>64</v>
      </c>
      <c r="H60" s="9" t="s">
        <v>16</v>
      </c>
      <c r="I60" s="9"/>
      <c r="J60" s="31" t="s">
        <v>112</v>
      </c>
      <c r="K60" s="31" t="s">
        <v>18</v>
      </c>
      <c r="L60" s="31"/>
      <c r="M60" s="6"/>
      <c r="N60" s="6"/>
      <c r="O60" s="25"/>
      <c r="P60" s="34"/>
    </row>
    <row r="61">
      <c r="A61" s="7">
        <v>66.0</v>
      </c>
      <c r="B61" s="8" t="s">
        <v>162</v>
      </c>
      <c r="C61" s="39" t="s">
        <v>8</v>
      </c>
      <c r="D61" s="36" t="str">
        <f>IFERROR(__xludf.DUMMYFUNCTION("filter('Imported Challenges'!B:D,'Imported Challenges'!A:A=A61)"),"Human challenges are when you start teaching DevOps, it doesn't look serious.
So one of the challenges regarding the culture, if you want, is that when you tell them that initially they don't believe it. And only when they start doing it, they do believe"&amp;" it. 
Whatever they found it valuable usually, um, after the class is done at the end of the year, they don't always see the value. It's the kind of class where you want them to know this stuff, because once they will be in the industry, they'll need it "&amp;"every day. Um, but they don't know they need it every day. 
An undergrad program, it's also something complicated because it's teaching at the undergrad program might make sense, but then it's other kinds of challenges like younger students who might not"&amp;" be interested in this.")</f>
        <v>Human challenges are when you start teaching DevOps, it doesn't look serious.
So one of the challenges regarding the culture, if you want, is that when you tell them that initially they don't believe it. And only when they start doing it, they do believe it. 
Whatever they found it valuable usually, um, after the class is done at the end of the year, they don't always see the value. It's the kind of class where you want them to know this stuff, because once they will be in the industry, they'll need it every day. Um, but they don't know they need it every day. 
An undergrad program, it's also something complicated because it's teaching at the undergrad program might make sense, but then it's other kinds of challenges like younger students who might not be interested in this.</v>
      </c>
      <c r="E61" s="36" t="str">
        <f>IFERROR(__xludf.DUMMYFUNCTION("""COMPUTED_VALUE"""),"When you start teaching DevOps, it doesn't look relevant.
Students only believe the importance of DevOps mindset when they experiment in the practice.
Students do not know that they will need DevOps concepts at industry every day.
Young undergraduate s"&amp;"tudents can have no interest in DevOps course.")</f>
        <v>When you start teaching DevOps, it doesn't look relevant.
Students only believe the importance of DevOps mindset when they experiment in the practice.
Students do not know that they will need DevOps concepts at industry every day.
Young undergraduate students can have no interest in DevOps course.</v>
      </c>
      <c r="F61" s="36" t="str">
        <f>IFERROR(__xludf.DUMMYFUNCTION("""COMPUTED_VALUE"""),"DevOps course doesn't look relevant for undergratuate students when you start teaching.")</f>
        <v>DevOps course doesn't look relevant for undergratuate students when you start teaching.</v>
      </c>
      <c r="G61" s="9" t="s">
        <v>65</v>
      </c>
      <c r="H61" s="9" t="s">
        <v>73</v>
      </c>
      <c r="I61" s="9"/>
      <c r="J61" s="31" t="s">
        <v>142</v>
      </c>
      <c r="K61" s="31" t="s">
        <v>73</v>
      </c>
      <c r="L61" s="31"/>
      <c r="M61" s="6" t="s">
        <v>163</v>
      </c>
      <c r="N61" s="6" t="s">
        <v>163</v>
      </c>
      <c r="O61" s="25"/>
      <c r="P61" s="34"/>
    </row>
    <row r="62">
      <c r="A62" s="7">
        <v>67.0</v>
      </c>
      <c r="B62" s="8" t="s">
        <v>164</v>
      </c>
      <c r="C62" s="8" t="s">
        <v>8</v>
      </c>
      <c r="D62" s="36" t="str">
        <f>IFERROR(__xludf.DUMMYFUNCTION("filter('Imported Challenges'!B:D,'Imported Challenges'!A:A=A62)"),"When you do continuous integration, you need to have a logical base. You need to have a lot of people committing in the code changes often. Um, you need to have a lot of machines. You have the machines where people are coding. You have the machines that a"&amp;"re building, you have the machines that are the way you run your database. You have the machines where you deploy to. ... you need a lot of machines interconnected, um, with visibility on each other that they can get to.")</f>
        <v>When you do continuous integration, you need to have a logical base. You need to have a lot of people committing in the code changes often. Um, you need to have a lot of machines. You have the machines where people are coding. You have the machines that are building, you have the machines that are the way you run your database. You have the machines where you deploy to. ... you need a lot of machines interconnected, um, with visibility on each other that they can get to.</v>
      </c>
      <c r="E62" s="15" t="str">
        <f>IFERROR(__xludf.DUMMYFUNCTION("""COMPUTED_VALUE"""),"You need a lot of interconnected machines running different services with visibility on each other to do continous deployment.")</f>
        <v>You need a lot of interconnected machines running different services with visibility on each other to do continous deployment.</v>
      </c>
      <c r="F62" s="40"/>
      <c r="G62" s="9" t="s">
        <v>183</v>
      </c>
      <c r="H62" s="9" t="s">
        <v>12</v>
      </c>
      <c r="I62" s="9"/>
      <c r="J62" s="31" t="s">
        <v>113</v>
      </c>
      <c r="K62" s="31" t="s">
        <v>12</v>
      </c>
      <c r="L62" s="31"/>
      <c r="M62" s="6"/>
      <c r="N62" s="6"/>
      <c r="O62" s="25"/>
      <c r="P62" s="34"/>
    </row>
    <row r="63">
      <c r="A63" s="7">
        <v>68.0</v>
      </c>
      <c r="B63" s="8" t="s">
        <v>165</v>
      </c>
      <c r="C63" s="8" t="s">
        <v>8</v>
      </c>
      <c r="D63" s="36" t="str">
        <f>IFERROR(__xludf.DUMMYFUNCTION("filter('Imported Challenges'!B:D,'Imported Challenges'!A:A=A63)"),"Uh, so that's a practical challenge that when you want to put it in place, and as a teacher, you want to be able to log into all of those machines to see what they're doing.")</f>
        <v>Uh, so that's a practical challenge that when you want to put it in place, and as a teacher, you want to be able to log into all of those machines to see what they're doing.</v>
      </c>
      <c r="E63" s="15" t="str">
        <f>IFERROR(__xludf.DUMMYFUNCTION("""COMPUTED_VALUE"""),"It's hard to supervise students' work when you use a lot of virtual machines.")</f>
        <v>It's hard to supervise students' work when you use a lot of virtual machines.</v>
      </c>
      <c r="F63" s="40"/>
      <c r="G63" s="9" t="s">
        <v>67</v>
      </c>
      <c r="H63" s="9" t="s">
        <v>73</v>
      </c>
      <c r="I63" s="9"/>
      <c r="J63" s="31" t="s">
        <v>115</v>
      </c>
      <c r="K63" s="31" t="s">
        <v>73</v>
      </c>
      <c r="L63" s="31"/>
      <c r="M63" s="6" t="s">
        <v>163</v>
      </c>
      <c r="N63" s="6" t="s">
        <v>163</v>
      </c>
      <c r="O63" s="25"/>
      <c r="P63" s="34"/>
    </row>
    <row r="64">
      <c r="A64" s="7">
        <v>69.0</v>
      </c>
      <c r="B64" s="8" t="s">
        <v>162</v>
      </c>
      <c r="C64" s="8" t="s">
        <v>8</v>
      </c>
      <c r="D64" s="36" t="str">
        <f>IFERROR(__xludf.DUMMYFUNCTION("filter('Imported Challenges'!B:D,'Imported Challenges'!A:A=A64)"),"It's hard for them to see all the values, layers of source side, real shoes, deployment side. They have a tendency because the students write code clicky works done, right? And it's hard to teach them that no wanting code somewhere.")</f>
        <v>It's hard for them to see all the values, layers of source side, real shoes, deployment side. They have a tendency because the students write code clicky works done, right? And it's hard to teach them that no wanting code somewhere.</v>
      </c>
      <c r="E64" s="15" t="str">
        <f>IFERROR(__xludf.DUMMYFUNCTION("""COMPUTED_VALUE"""),"It's hard for students to see the values of deployment side and they don't want to do operational activities.")</f>
        <v>It's hard for students to see the values of deployment side and they don't want to do operational activities.</v>
      </c>
      <c r="F64" s="40"/>
      <c r="G64" s="9" t="s">
        <v>68</v>
      </c>
      <c r="H64" s="9" t="s">
        <v>16</v>
      </c>
      <c r="I64" s="9"/>
      <c r="J64" s="31" t="s">
        <v>143</v>
      </c>
      <c r="K64" s="31" t="s">
        <v>16</v>
      </c>
      <c r="L64" s="31"/>
      <c r="M64" s="6" t="s">
        <v>163</v>
      </c>
      <c r="N64" s="6" t="s">
        <v>163</v>
      </c>
      <c r="O64" s="25"/>
      <c r="P64" s="34"/>
    </row>
    <row r="65">
      <c r="A65" s="7">
        <v>70.0</v>
      </c>
      <c r="B65" s="8" t="s">
        <v>164</v>
      </c>
      <c r="C65" s="8" t="s">
        <v>8</v>
      </c>
      <c r="D65" s="36" t="str">
        <f>IFERROR(__xludf.DUMMYFUNCTION("filter('Imported Challenges'!B:D,'Imported Challenges'!A:A=A65)"),"What is hard is to be prepared with, um, a technology stack that is robust and simple or very simple so that you know exactly what you look when you help them debug.")</f>
        <v>What is hard is to be prepared with, um, a technology stack that is robust and simple or very simple so that you know exactly what you look when you help them debug.</v>
      </c>
      <c r="E65" s="15" t="str">
        <f>IFERROR(__xludf.DUMMYFUNCTION("""COMPUTED_VALUE"""),"It is hard to prepare a robust and simple technology stack.")</f>
        <v>It is hard to prepare a robust and simple technology stack.</v>
      </c>
      <c r="F65" s="40"/>
      <c r="G65" s="25" t="s">
        <v>184</v>
      </c>
      <c r="H65" s="9" t="s">
        <v>18</v>
      </c>
      <c r="I65" s="9"/>
      <c r="J65" s="31" t="s">
        <v>116</v>
      </c>
      <c r="K65" s="31" t="s">
        <v>18</v>
      </c>
      <c r="L65" s="31"/>
      <c r="M65" s="6"/>
      <c r="N65" s="6"/>
      <c r="O65" s="25"/>
      <c r="P65" s="34"/>
    </row>
    <row r="66">
      <c r="A66" s="7">
        <v>71.0</v>
      </c>
      <c r="B66" s="8" t="s">
        <v>165</v>
      </c>
      <c r="C66" s="39" t="s">
        <v>8</v>
      </c>
      <c r="D66" s="36" t="str">
        <f>IFERROR(__xludf.DUMMYFUNCTION("filter('Imported Challenges'!B:D,'Imported Challenges'!A:A=A66)"),"It's mostly the preparation of the exercise that is demanding.
That's one of the challenge that I find in preparing proper courses, finding and implementing an application, creating some issues in it, some bugs in it.")</f>
        <v>It's mostly the preparation of the exercise that is demanding.
That's one of the challenge that I find in preparing proper courses, finding and implementing an application, creating some issues in it, some bugs in it.</v>
      </c>
      <c r="E66" s="36" t="str">
        <f>IFERROR(__xludf.DUMMYFUNCTION("""COMPUTED_VALUE"""),"The preparation of the exercise is demanding.
It is laborious to prepare the exercise that the students will work.")</f>
        <v>The preparation of the exercise is demanding.
It is laborious to prepare the exercise that the students will work.</v>
      </c>
      <c r="F66" s="36" t="str">
        <f>IFERROR(__xludf.DUMMYFUNCTION("""COMPUTED_VALUE"""),"The preparation of the exercise is demanding.")</f>
        <v>The preparation of the exercise is demanding.</v>
      </c>
      <c r="G66" s="9" t="s">
        <v>69</v>
      </c>
      <c r="H66" s="9" t="s">
        <v>24</v>
      </c>
      <c r="I66" s="9"/>
      <c r="J66" s="33" t="s">
        <v>117</v>
      </c>
      <c r="K66" s="31" t="s">
        <v>24</v>
      </c>
      <c r="L66" s="31"/>
      <c r="M66" s="6"/>
      <c r="N66" s="6"/>
      <c r="O66" s="25"/>
      <c r="P66" s="34"/>
    </row>
    <row r="67">
      <c r="A67" s="7">
        <v>72.0</v>
      </c>
      <c r="B67" s="8" t="s">
        <v>162</v>
      </c>
      <c r="C67" s="39" t="s">
        <v>8</v>
      </c>
      <c r="D67" s="36" t="str">
        <f>IFERROR(__xludf.DUMMYFUNCTION("filter('Imported Challenges'!B:D,'Imported Challenges'!A:A=A67)"),"Um, but then the preparation for the class itself was a concept class. That's, I've done that. Um, and then adjust, but it's no more difficult than any other class. It depends what you know, and what you do as a job. Right? And that's part of my job to do"&amp;" it. So I feel comfortable")</f>
        <v>Um, but then the preparation for the class itself was a concept class. That's, I've done that. Um, and then adjust, but it's no more difficult than any other class. It depends what you know, and what you do as a job. Right? And that's part of my job to do it. So I feel comfortable</v>
      </c>
      <c r="E67" s="36" t="str">
        <f>IFERROR(__xludf.DUMMYFUNCTION("""COMPUTED_VALUE"""),"Teach DevOps requires much knowledge from the professor who could not be familiar with it.")</f>
        <v>Teach DevOps requires much knowledge from the professor who could not be familiar with it.</v>
      </c>
      <c r="F67" s="36"/>
      <c r="G67" s="9" t="s">
        <v>70</v>
      </c>
      <c r="H67" s="9" t="s">
        <v>24</v>
      </c>
      <c r="I67" s="9"/>
      <c r="J67" s="31" t="s">
        <v>144</v>
      </c>
      <c r="K67" s="31" t="s">
        <v>24</v>
      </c>
      <c r="L67" s="31"/>
      <c r="M67" s="6"/>
      <c r="N67" s="6"/>
      <c r="O67" s="25"/>
      <c r="P67" s="34"/>
    </row>
    <row r="68">
      <c r="A68" s="7">
        <v>73.0</v>
      </c>
      <c r="B68" s="8" t="s">
        <v>164</v>
      </c>
      <c r="C68" s="39" t="s">
        <v>8</v>
      </c>
      <c r="D68" s="36" t="str">
        <f>IFERROR(__xludf.DUMMYFUNCTION("filter('Imported Challenges'!B:D,'Imported Challenges'!A:A=A68)"),"I check out the code of every group. And I look at the commits who has done what I look at. How has it been coded, easy to blatant copy paste of somebody else's code? Is it innovative? I run all the scripts. I ask them to provide me with scripts that are "&amp;"portable, that will run on my computer. Um, and there has to be a bill script or run script, uh, scenario, script, et cetera. And I run them on my computer. It takes four it's very long. Uh, but it's an effective way of checking what they've done.")</f>
        <v>I check out the code of every group. And I look at the commits who has done what I look at. How has it been coded, easy to blatant copy paste of somebody else's code? Is it innovative? I run all the scripts. I ask them to provide me with scripts that are portable, that will run on my computer. Um, and there has to be a bill script or run script, uh, scenario, script, et cetera. And I run them on my computer. It takes four it's very long. Uh, but it's an effective way of checking what they've done.</v>
      </c>
      <c r="E68" s="36" t="str">
        <f>IFERROR(__xludf.DUMMYFUNCTION("""COMPUTED_VALUE"""),"It is arduous to analyse the code and run scripts for each project.")</f>
        <v>It is arduous to analyse the code and run scripts for each project.</v>
      </c>
      <c r="F68" s="36"/>
      <c r="G68" s="25" t="s">
        <v>185</v>
      </c>
      <c r="H68" s="9" t="s">
        <v>29</v>
      </c>
      <c r="I68" s="9"/>
      <c r="J68" s="31" t="s">
        <v>118</v>
      </c>
      <c r="K68" s="31" t="s">
        <v>29</v>
      </c>
      <c r="L68" s="31"/>
      <c r="M68" s="6" t="s">
        <v>163</v>
      </c>
      <c r="N68" s="6" t="s">
        <v>163</v>
      </c>
      <c r="O68" s="25"/>
      <c r="P68" s="34"/>
    </row>
    <row r="69">
      <c r="A69" s="7">
        <v>74.0</v>
      </c>
      <c r="B69" s="8" t="s">
        <v>165</v>
      </c>
      <c r="C69" s="39" t="s">
        <v>8</v>
      </c>
      <c r="D69" s="36" t="str">
        <f>IFERROR(__xludf.DUMMYFUNCTION("filter('Imported Challenges'!B:D,'Imported Challenges'!A:A=A69)"),"We show them Kubernetes, um, but they don't really have time to practice on Kubernetes.")</f>
        <v>We show them Kubernetes, um, but they don't really have time to practice on Kubernetes.</v>
      </c>
      <c r="E69" s="36" t="str">
        <f>IFERROR(__xludf.DUMMYFUNCTION("""COMPUTED_VALUE"""),"They don't have time to practice on Kubernetes because it is lot of work.")</f>
        <v>They don't have time to practice on Kubernetes because it is lot of work.</v>
      </c>
      <c r="F69" s="36"/>
      <c r="G69" s="25" t="s">
        <v>71</v>
      </c>
      <c r="H69" s="9" t="s">
        <v>10</v>
      </c>
      <c r="I69" s="9"/>
      <c r="J69" s="31" t="s">
        <v>119</v>
      </c>
      <c r="K69" s="31" t="s">
        <v>10</v>
      </c>
      <c r="L69" s="31"/>
      <c r="M69" s="6" t="s">
        <v>163</v>
      </c>
      <c r="N69" s="6" t="s">
        <v>163</v>
      </c>
      <c r="O69" s="25"/>
      <c r="P69" s="34"/>
    </row>
    <row r="70">
      <c r="A70" s="7">
        <v>75.0</v>
      </c>
      <c r="B70" s="8" t="s">
        <v>162</v>
      </c>
      <c r="C70" s="39" t="s">
        <v>8</v>
      </c>
      <c r="D70" s="36" t="str">
        <f>IFERROR(__xludf.DUMMYFUNCTION("filter('Imported Challenges'!B:D,'Imported Challenges'!A:A=A70)"),"And as I said, we, students are doing other things. So this means we are limited in what we can ask them.")</f>
        <v>And as I said, we, students are doing other things. So this means we are limited in what we can ask them.</v>
      </c>
      <c r="E70" s="36" t="str">
        <f>IFERROR(__xludf.DUMMYFUNCTION("""COMPUTED_VALUE"""),"There is a limitation of what is appropriate to ask the students because they are doing a lot of other activities.")</f>
        <v>There is a limitation of what is appropriate to ask the students because they are doing a lot of other activities.</v>
      </c>
      <c r="F70" s="36"/>
      <c r="G70" s="9" t="s">
        <v>72</v>
      </c>
      <c r="H70" s="9" t="s">
        <v>73</v>
      </c>
      <c r="I70" s="9"/>
      <c r="J70" s="31" t="s">
        <v>145</v>
      </c>
      <c r="K70" s="31" t="s">
        <v>73</v>
      </c>
      <c r="L70" s="31"/>
      <c r="M70" s="6"/>
      <c r="N70" s="6"/>
      <c r="O70" s="25"/>
      <c r="P70" s="34"/>
    </row>
    <row r="71">
      <c r="A71" s="7">
        <v>76.0</v>
      </c>
      <c r="B71" s="8" t="s">
        <v>164</v>
      </c>
      <c r="C71" s="39" t="s">
        <v>8</v>
      </c>
      <c r="D71" s="36" t="str">
        <f>IFERROR(__xludf.DUMMYFUNCTION("filter('Imported Challenges'!B:D,'Imported Challenges'!A:A=A71)"),"For us as educators, we need to find a way where we can make it interesting.
You can make the lectures more interactive, but to make the lecture attractive students have to willing to interact. Right. Which is very difficult to do.")</f>
        <v>For us as educators, we need to find a way where we can make it interesting.
You can make the lectures more interactive, but to make the lecture attractive students have to willing to interact. Right. Which is very difficult to do.</v>
      </c>
      <c r="E71" s="36" t="str">
        <f>IFERROR(__xludf.DUMMYFUNCTION("""COMPUTED_VALUE"""),"Make a DevOps course attractive to the students is challenging.
Make the lectures attractive is difficult.")</f>
        <v>Make a DevOps course attractive to the students is challenging.
Make the lectures attractive is difficult.</v>
      </c>
      <c r="F71" s="36" t="str">
        <f>IFERROR(__xludf.DUMMYFUNCTION("""COMPUTED_VALUE"""),"Make a DevOps course attractive to the students is challenging.")</f>
        <v>Make a DevOps course attractive to the students is challenging.</v>
      </c>
      <c r="G71" s="25" t="s">
        <v>186</v>
      </c>
      <c r="H71" s="9" t="s">
        <v>24</v>
      </c>
      <c r="I71" s="9"/>
      <c r="J71" s="31" t="s">
        <v>120</v>
      </c>
      <c r="K71" s="31" t="s">
        <v>24</v>
      </c>
      <c r="L71" s="31"/>
      <c r="M71" s="6"/>
      <c r="N71" s="6"/>
      <c r="O71" s="25"/>
      <c r="P71" s="34"/>
    </row>
    <row r="72">
      <c r="A72" s="7">
        <v>77.0</v>
      </c>
      <c r="B72" s="8" t="s">
        <v>165</v>
      </c>
      <c r="C72" s="8" t="s">
        <v>8</v>
      </c>
      <c r="D72" s="36" t="str">
        <f>IFERROR(__xludf.DUMMYFUNCTION("filter('Imported Challenges'!B:D,'Imported Challenges'!A:A=A72)"),"The biggest challenge is this, like, what goes in, you know? People do lots of things in the DevOps Pipeline these days, which doesn't necessarily go into a DevOps course, right?
I would say at the end of the fall, or maybe at the beginning of 2019, we s"&amp;"tarted to plan this course. And for the longest time I was really questioning myself. Like, what do you teach in a DevOps course?
Now we're questioning ourselves. What else did we bring in? We may add some things about a bit of telemetry. So they have a "&amp;"bit of telemetry because they have lives, but we put some emphasis on it.")</f>
        <v>The biggest challenge is this, like, what goes in, you know? People do lots of things in the DevOps Pipeline these days, which doesn't necessarily go into a DevOps course, right?
I would say at the end of the fall, or maybe at the beginning of 2019, we started to plan this course. And for the longest time I was really questioning myself. Like, what do you teach in a DevOps course?
Now we're questioning ourselves. What else did we bring in? We may add some things about a bit of telemetry. So they have a bit of telemetry because they have lives, but we put some emphasis on it.</v>
      </c>
      <c r="E72" s="15" t="str">
        <f>IFERROR(__xludf.DUMMYFUNCTION("""COMPUTED_VALUE"""),"There is no convention as to what are the main DevOps concepts that should be taught.
It's difficult to decide what will be taught in a DevOps course.
Hard to decide whether to teach telemetry or not.")</f>
        <v>There is no convention as to what are the main DevOps concepts that should be taught.
It's difficult to decide what will be taught in a DevOps course.
Hard to decide whether to teach telemetry or not.</v>
      </c>
      <c r="F72" s="15" t="str">
        <f>IFERROR(__xludf.DUMMYFUNCTION("""COMPUTED_VALUE"""),"There is no convention as to what are the main DevOps concepts that should be taught.")</f>
        <v>There is no convention as to what are the main DevOps concepts that should be taught.</v>
      </c>
      <c r="G72" s="9" t="s">
        <v>74</v>
      </c>
      <c r="H72" s="9" t="s">
        <v>16</v>
      </c>
      <c r="I72" s="9"/>
      <c r="J72" s="43" t="s">
        <v>121</v>
      </c>
      <c r="K72" s="31" t="s">
        <v>10</v>
      </c>
      <c r="L72" s="31"/>
      <c r="M72" s="6" t="s">
        <v>163</v>
      </c>
      <c r="N72" s="6"/>
      <c r="O72" s="25" t="s">
        <v>169</v>
      </c>
      <c r="P72" s="42" t="s">
        <v>180</v>
      </c>
    </row>
    <row r="73">
      <c r="A73" s="7">
        <v>78.0</v>
      </c>
      <c r="B73" s="8" t="s">
        <v>162</v>
      </c>
      <c r="C73" s="8" t="s">
        <v>8</v>
      </c>
      <c r="D73" s="36" t="str">
        <f>IFERROR(__xludf.DUMMYFUNCTION("filter('Imported Challenges'!B:D,'Imported Challenges'!A:A=A73)"),"The, the overall context will change the process they use will have to change, to adapt, to become better, to, to stay at the top too, you know, they have to, so they have to recognize first that technologies will change, but the foundation, the fundament"&amp;"als will remain,")</f>
        <v>The, the overall context will change the process they use will have to change, to adapt, to become better, to, to stay at the top too, you know, they have to, so they have to recognize first that technologies will change, but the foundation, the fundamentals will remain,</v>
      </c>
      <c r="E73" s="15" t="str">
        <f>IFERROR(__xludf.DUMMYFUNCTION("""COMPUTED_VALUE"""),"It's hard to make clear to students and make them understand the fact that technologies will change with time, but the fundamentals will remain.")</f>
        <v>It's hard to make clear to students and make them understand the fact that technologies will change with time, but the fundamentals will remain.</v>
      </c>
      <c r="F73" s="40"/>
      <c r="G73" s="9" t="s">
        <v>75</v>
      </c>
      <c r="H73" s="9" t="s">
        <v>16</v>
      </c>
      <c r="I73" s="9"/>
      <c r="J73" s="31" t="s">
        <v>146</v>
      </c>
      <c r="K73" s="31" t="s">
        <v>16</v>
      </c>
      <c r="L73" s="31"/>
      <c r="M73" s="6"/>
      <c r="N73" s="6"/>
      <c r="O73" s="25"/>
      <c r="P73" s="34"/>
    </row>
    <row r="74">
      <c r="A74" s="7">
        <v>79.0</v>
      </c>
      <c r="B74" s="8" t="s">
        <v>164</v>
      </c>
      <c r="C74" s="8" t="s">
        <v>8</v>
      </c>
      <c r="D74" s="36" t="str">
        <f>IFERROR(__xludf.DUMMYFUNCTION("filter('Imported Challenges'!B:D,'Imported Challenges'!A:A=A74)"),"JIRA is quite difficult to use in industry context, um, just because of the license model then. So it's, it's too complex.")</f>
        <v>JIRA is quite difficult to use in industry context, um, just because of the license model then. So it's, it's too complex.</v>
      </c>
      <c r="E74" s="15" t="str">
        <f>IFERROR(__xludf.DUMMYFUNCTION("""COMPUTED_VALUE"""),"It's difficult to use Jira lifecycle management tool because of its licence model.")</f>
        <v>It's difficult to use Jira lifecycle management tool because of its licence model.</v>
      </c>
      <c r="F74" s="40"/>
      <c r="G74" s="25" t="s">
        <v>187</v>
      </c>
      <c r="H74" s="9" t="s">
        <v>18</v>
      </c>
      <c r="I74" s="9"/>
      <c r="J74" s="31" t="s">
        <v>122</v>
      </c>
      <c r="K74" s="31" t="s">
        <v>18</v>
      </c>
      <c r="L74" s="31"/>
      <c r="M74" s="6"/>
      <c r="N74" s="6"/>
      <c r="O74" s="25"/>
      <c r="P74" s="34"/>
    </row>
    <row r="75">
      <c r="A75" s="7">
        <v>80.0</v>
      </c>
      <c r="B75" s="8" t="s">
        <v>165</v>
      </c>
      <c r="C75" s="8" t="s">
        <v>8</v>
      </c>
      <c r="D75" s="36" t="str">
        <f>IFERROR(__xludf.DUMMYFUNCTION("filter('Imported Challenges'!B:D,'Imported Challenges'!A:A=A75)"),"So one of the challenge from an environment point of view is to get something that students can relate to.")</f>
        <v>So one of the challenge from an environment point of view is to get something that students can relate to.</v>
      </c>
      <c r="E75" s="15" t="str">
        <f>IFERROR(__xludf.DUMMYFUNCTION("""COMPUTED_VALUE"""),"It's hard to find something students can relate to, from a environment point of view.")</f>
        <v>It's hard to find something students can relate to, from a environment point of view.</v>
      </c>
      <c r="F75" s="40"/>
      <c r="G75" s="9" t="s">
        <v>76</v>
      </c>
      <c r="H75" s="9" t="s">
        <v>73</v>
      </c>
      <c r="I75" s="9"/>
      <c r="J75" s="33" t="s">
        <v>123</v>
      </c>
      <c r="K75" s="31" t="s">
        <v>73</v>
      </c>
      <c r="L75" s="31"/>
      <c r="M75" s="6" t="s">
        <v>163</v>
      </c>
      <c r="N75" s="6" t="s">
        <v>163</v>
      </c>
      <c r="O75" s="25"/>
      <c r="P75" s="34"/>
    </row>
    <row r="76">
      <c r="A76" s="7">
        <v>81.0</v>
      </c>
      <c r="B76" s="8" t="s">
        <v>162</v>
      </c>
      <c r="C76" s="8" t="s">
        <v>8</v>
      </c>
      <c r="D76" s="36" t="str">
        <f>IFERROR(__xludf.DUMMYFUNCTION("filter('Imported Challenges'!B:D,'Imported Challenges'!A:A=A76)"),"We hear from our industrial partners and from industry in general is there's this HUGE gap right? Between what the industry needs and what university provides.")</f>
        <v>We hear from our industrial partners and from industry in general is there's this HUGE gap right? Between what the industry needs and what university provides.</v>
      </c>
      <c r="E76" s="15" t="str">
        <f>IFERROR(__xludf.DUMMYFUNCTION("""COMPUTED_VALUE"""),"There is a lack between what the industry wants from students about DevOps and what the university teaches.")</f>
        <v>There is a lack between what the industry wants from students about DevOps and what the university teaches.</v>
      </c>
      <c r="F76" s="40"/>
      <c r="G76" s="9" t="s">
        <v>77</v>
      </c>
      <c r="H76" s="9" t="s">
        <v>10</v>
      </c>
      <c r="I76" s="9"/>
      <c r="J76" s="31" t="s">
        <v>147</v>
      </c>
      <c r="K76" s="31" t="s">
        <v>10</v>
      </c>
      <c r="L76" s="31"/>
      <c r="M76" s="6"/>
      <c r="N76" s="6"/>
      <c r="O76" s="25"/>
      <c r="P76" s="34"/>
    </row>
    <row r="77">
      <c r="A77" s="7">
        <v>82.0</v>
      </c>
      <c r="B77" s="8" t="s">
        <v>164</v>
      </c>
      <c r="C77" s="8" t="s">
        <v>8</v>
      </c>
      <c r="D77" s="36" t="str">
        <f>IFERROR(__xludf.DUMMYFUNCTION("filter('Imported Challenges'!B:D,'Imported Challenges'!A:A=A77)"),"It didn't work for some specific tools that they wanted to present using this a katacoda, uh, website.")</f>
        <v>It didn't work for some specific tools that they wanted to present using this a katacoda, uh, website.</v>
      </c>
      <c r="E77" s="15" t="str">
        <f>IFERROR(__xludf.DUMMYFUNCTION("""COMPUTED_VALUE"""),"Katacoda does not work for some specific tools.")</f>
        <v>Katacoda does not work for some specific tools.</v>
      </c>
      <c r="F77" s="40"/>
      <c r="G77" s="9" t="s">
        <v>188</v>
      </c>
      <c r="H77" s="9" t="s">
        <v>18</v>
      </c>
      <c r="I77" s="9"/>
      <c r="J77" s="31" t="s">
        <v>124</v>
      </c>
      <c r="K77" s="31" t="s">
        <v>18</v>
      </c>
      <c r="L77" s="31"/>
      <c r="M77" s="6"/>
      <c r="N77" s="6"/>
      <c r="O77" s="25"/>
      <c r="P77" s="34"/>
    </row>
    <row r="78">
      <c r="A78" s="7">
        <v>83.0</v>
      </c>
      <c r="B78" s="8" t="s">
        <v>165</v>
      </c>
      <c r="C78" s="8" t="s">
        <v>8</v>
      </c>
      <c r="D78" s="36" t="str">
        <f>IFERROR(__xludf.DUMMYFUNCTION("filter('Imported Challenges'!B:D,'Imported Challenges'!A:A=A78)"),"Since the students were free to use any technology and present it ...  it was hard to stay as objective as possible and to have, uh, have the same criteria and metric for, uh, scoring different students, because someone was working on this project, someon"&amp;"e was working on that project.")</f>
        <v>Since the students were free to use any technology and present it ...  it was hard to stay as objective as possible and to have, uh, have the same criteria and metric for, uh, scoring different students, because someone was working on this project, someone was working on that project.</v>
      </c>
      <c r="E78" s="15" t="str">
        <f>IFERROR(__xludf.DUMMYFUNCTION("""COMPUTED_VALUE"""),"It was hard to have the same criteria and metric for scoring different students because they were free to use any technology and present it.")</f>
        <v>It was hard to have the same criteria and metric for scoring different students because they were free to use any technology and present it.</v>
      </c>
      <c r="F78" s="40"/>
      <c r="G78" s="9" t="s">
        <v>78</v>
      </c>
      <c r="H78" s="9" t="s">
        <v>29</v>
      </c>
      <c r="I78" s="9"/>
      <c r="J78" s="31" t="s">
        <v>125</v>
      </c>
      <c r="K78" s="31" t="s">
        <v>29</v>
      </c>
      <c r="L78" s="31"/>
      <c r="M78" s="6"/>
      <c r="N78" s="6"/>
      <c r="O78" s="25"/>
      <c r="P78" s="34"/>
    </row>
    <row r="79">
      <c r="A79" s="7">
        <v>84.0</v>
      </c>
      <c r="B79" s="8" t="s">
        <v>162</v>
      </c>
      <c r="C79" s="8" t="s">
        <v>8</v>
      </c>
      <c r="D79" s="36" t="str">
        <f>IFERROR(__xludf.DUMMYFUNCTION("filter('Imported Challenges'!B:D,'Imported Challenges'!A:A=A79)"),"It was a bit risk because if they had contributed to something that, uh, that the developers didn't merge they wouldn't get, uh, get the score.")</f>
        <v>It was a bit risk because if they had contributed to something that, uh, that the developers didn't merge they wouldn't get, uh, get the score.</v>
      </c>
      <c r="E79" s="15" t="str">
        <f>IFERROR(__xludf.DUMMYFUNCTION("""COMPUTED_VALUE"""),"The students wouldn't get the score if they had contributed to some open source project that the developers didn't merge on github.")</f>
        <v>The students wouldn't get the score if they had contributed to some open source project that the developers didn't merge on github.</v>
      </c>
      <c r="F79" s="40"/>
      <c r="G79" s="9" t="s">
        <v>79</v>
      </c>
      <c r="H79" s="9" t="s">
        <v>29</v>
      </c>
      <c r="I79" s="9"/>
      <c r="J79" s="31" t="s">
        <v>148</v>
      </c>
      <c r="K79" s="31" t="s">
        <v>29</v>
      </c>
      <c r="L79" s="31"/>
      <c r="M79" s="6" t="s">
        <v>163</v>
      </c>
      <c r="N79" s="6" t="s">
        <v>163</v>
      </c>
      <c r="O79" s="25"/>
      <c r="P79" s="34"/>
    </row>
    <row r="80">
      <c r="A80" s="7">
        <v>85.0</v>
      </c>
      <c r="B80" s="8" t="s">
        <v>164</v>
      </c>
      <c r="C80" s="8" t="s">
        <v>8</v>
      </c>
      <c r="D80" s="36" t="str">
        <f>IFERROR(__xludf.DUMMYFUNCTION("filter('Imported Challenges'!B:D,'Imported Challenges'!A:A=A80)"),"How this practitioner really works, because if you're not doing this, then you will stay at a very technical level. Like you deploy a pipeline and you're doing DevOps, which is absolutely not the case. And that's absolutely not the, uh, understanding of w"&amp;"hat DevOps is.")</f>
        <v>How this practitioner really works, because if you're not doing this, then you will stay at a very technical level. Like you deploy a pipeline and you're doing DevOps, which is absolutely not the case. And that's absolutely not the, uh, understanding of what DevOps is.</v>
      </c>
      <c r="E80" s="15" t="str">
        <f>IFERROR(__xludf.DUMMYFUNCTION("""COMPUTED_VALUE"""),"It is difficult to students understand how the pipeline deployment works and not just running it.")</f>
        <v>It is difficult to students understand how the pipeline deployment works and not just running it.</v>
      </c>
      <c r="F80" s="40"/>
      <c r="G80" s="25" t="s">
        <v>189</v>
      </c>
      <c r="H80" s="9" t="s">
        <v>16</v>
      </c>
      <c r="I80" s="9"/>
      <c r="J80" s="31" t="s">
        <v>126</v>
      </c>
      <c r="K80" s="31" t="s">
        <v>16</v>
      </c>
      <c r="L80" s="31"/>
      <c r="M80" s="6"/>
      <c r="N80" s="6"/>
      <c r="O80" s="25"/>
      <c r="P80" s="34"/>
    </row>
    <row r="81">
      <c r="A81" s="7">
        <v>86.0</v>
      </c>
      <c r="B81" s="8" t="s">
        <v>165</v>
      </c>
      <c r="C81" s="39" t="s">
        <v>8</v>
      </c>
      <c r="D81" s="36" t="str">
        <f>IFERROR(__xludf.DUMMYFUNCTION("filter('Imported Challenges'!B:D,'Imported Challenges'!A:A=A81)"),"We try to use, um, like remote services to relieve the burden of setup saying that, okay, you're going to use Jenkins on the cloud. Then you're going to use, we have this partnership with IBM. So we're using to use the bluemix platform from, uh, IBM that "&amp;"was supporting this kind of thing, um, disaster, because in the end it was really complicated to debug what was happening because you don't have the access go on the what's happening.
I think that that's one of the course that costed me the most in terms"&amp;" of, uh, frustrating time I've spent, uh, debugging lab sessions, ")</f>
        <v>We try to use, um, like remote services to relieve the burden of setup saying that, okay, you're going to use Jenkins on the cloud. Then you're going to use, we have this partnership with IBM. So we're using to use the bluemix platform from, uh, IBM that was supporting this kind of thing, um, disaster, because in the end it was really complicated to debug what was happening because you don't have the access go on the what's happening.
I think that that's one of the course that costed me the most in terms of, uh, frustrating time I've spent, uh, debugging lab sessions, </v>
      </c>
      <c r="E81" s="36" t="str">
        <f>IFERROR(__xludf.DUMMYFUNCTION("""COMPUTED_VALUE"""),"Using remote services is really complicated to debug because you don't have the access on the what's happening.
Debugging lab sessions are frustating.")</f>
        <v>Using remote services is really complicated to debug because you don't have the access on the what's happening.
Debugging lab sessions are frustating.</v>
      </c>
      <c r="F81" s="36" t="str">
        <f>IFERROR(__xludf.DUMMYFUNCTION("""COMPUTED_VALUE"""),"Debugging lab sessions are very difficult.")</f>
        <v>Debugging lab sessions are very difficult.</v>
      </c>
      <c r="G81" s="9" t="s">
        <v>80</v>
      </c>
      <c r="H81" s="9" t="s">
        <v>12</v>
      </c>
      <c r="I81" s="9"/>
      <c r="J81" s="33" t="s">
        <v>127</v>
      </c>
      <c r="K81" s="31" t="s">
        <v>12</v>
      </c>
      <c r="L81" s="31"/>
      <c r="M81" s="6" t="s">
        <v>163</v>
      </c>
      <c r="N81" s="6" t="s">
        <v>163</v>
      </c>
      <c r="O81" s="25"/>
      <c r="P81" s="34"/>
    </row>
    <row r="82">
      <c r="A82" s="7">
        <v>87.0</v>
      </c>
      <c r="B82" s="8" t="s">
        <v>162</v>
      </c>
      <c r="C82" s="8" t="s">
        <v>8</v>
      </c>
      <c r="D82" s="36" t="str">
        <f>IFERROR(__xludf.DUMMYFUNCTION("filter('Imported Challenges'!B:D,'Imported Challenges'!A:A=A82)"),"Your Bamboo continuous to, uh, integration will just collapse because there's way too much students. My cohorts were 120 students a year. So when you have 120 students who all try to start their pipeline at the very same time, uh, in the last two days, an"&amp;"d it's just a catastrophe and I mean, this thing will always happen.")</f>
        <v>Your Bamboo continuous to, uh, integration will just collapse because there's way too much students. My cohorts were 120 students a year. So when you have 120 students who all try to start their pipeline at the very same time, uh, in the last two days, and it's just a catastrophe and I mean, this thing will always happen.</v>
      </c>
      <c r="E82" s="15" t="str">
        <f>IFERROR(__xludf.DUMMYFUNCTION("""COMPUTED_VALUE"""),"Bamboo continuous integration does not work with 120 students running pipeline at the same time.")</f>
        <v>Bamboo continuous integration does not work with 120 students running pipeline at the same time.</v>
      </c>
      <c r="F82" s="40"/>
      <c r="G82" s="25" t="s">
        <v>81</v>
      </c>
      <c r="H82" s="9" t="s">
        <v>18</v>
      </c>
      <c r="I82" s="9"/>
      <c r="J82" s="31" t="s">
        <v>149</v>
      </c>
      <c r="K82" s="31" t="s">
        <v>18</v>
      </c>
      <c r="L82" s="31"/>
      <c r="M82" s="6"/>
      <c r="N82" s="6"/>
      <c r="O82" s="25"/>
      <c r="P82" s="34"/>
    </row>
    <row r="83">
      <c r="A83" s="7">
        <v>88.0</v>
      </c>
      <c r="B83" s="8" t="s">
        <v>164</v>
      </c>
      <c r="C83" s="8" t="s">
        <v>8</v>
      </c>
      <c r="D83" s="36" t="str">
        <f>IFERROR(__xludf.DUMMYFUNCTION("filter('Imported Challenges'!B:D,'Imported Challenges'!A:A=A83)"),"He grade scale was half description, half justification, and that's helped a lot, but it's always, um, qualitative in this way. It's, it's, it's really difficult to be quantitative and to have this, uh, uh, grade scale that is by the, uh, by the point.")</f>
        <v>He grade scale was half description, half justification, and that's helped a lot, but it's always, um, qualitative in this way. It's, it's, it's really difficult to be quantitative and to have this, uh, uh, grade scale that is by the, uh, by the point.</v>
      </c>
      <c r="E83" s="15" t="str">
        <f>IFERROR(__xludf.DUMMYFUNCTION("""COMPUTED_VALUE"""),"It is really difficult to quantitative grade scale on the description and the justification of case studies.")</f>
        <v>It is really difficult to quantitative grade scale on the description and the justification of case studies.</v>
      </c>
      <c r="F83" s="40"/>
      <c r="G83" s="9" t="s">
        <v>190</v>
      </c>
      <c r="H83" s="9" t="s">
        <v>29</v>
      </c>
      <c r="I83" s="9"/>
      <c r="J83" s="31" t="s">
        <v>128</v>
      </c>
      <c r="K83" s="31" t="s">
        <v>29</v>
      </c>
      <c r="L83" s="31"/>
      <c r="M83" s="6"/>
      <c r="N83" s="6"/>
      <c r="O83" s="25"/>
      <c r="P83" s="34"/>
    </row>
    <row r="84">
      <c r="A84" s="7">
        <v>90.0</v>
      </c>
      <c r="B84" s="8" t="s">
        <v>162</v>
      </c>
      <c r="C84" s="44" t="s">
        <v>8</v>
      </c>
      <c r="D84" s="36" t="str">
        <f>IFERROR(__xludf.DUMMYFUNCTION("filter('Imported Challenges'!B:D,'Imported Challenges'!A:A=A84)"),"Like, do you have to go through this course to if you're doing a master or a bachelor in software engineering, is it mandatory to go through DevOps or is it like an option that an optional path that you're following is this kind of, uh, there is no consen"&amp;"sus on, on those kinds of, um, uh, things.")</f>
        <v>Like, do you have to go through this course to if you're doing a master or a bachelor in software engineering, is it mandatory to go through DevOps or is it like an option that an optional path that you're following is this kind of, uh, there is no consensus on, on those kinds of, um, uh, things.</v>
      </c>
      <c r="E84" s="15" t="str">
        <f>IFERROR(__xludf.DUMMYFUNCTION("""COMPUTED_VALUE"""),"There is no consensus if DevOps course should be mandatory or optional.")</f>
        <v>There is no consensus if DevOps course should be mandatory or optional.</v>
      </c>
      <c r="F84" s="40"/>
      <c r="G84" s="9" t="s">
        <v>82</v>
      </c>
      <c r="H84" s="9" t="s">
        <v>10</v>
      </c>
      <c r="I84" s="9"/>
      <c r="J84" s="31" t="s">
        <v>150</v>
      </c>
      <c r="K84" s="31" t="s">
        <v>10</v>
      </c>
      <c r="L84" s="31"/>
      <c r="M84" s="6"/>
      <c r="N84" s="6"/>
      <c r="O84" s="25"/>
      <c r="P84" s="34"/>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12.71"/>
    <col customWidth="1" min="2" max="2" width="14.14"/>
    <col customWidth="1" min="3" max="3" width="24.86"/>
    <col customWidth="1" min="4" max="4" width="71.86"/>
    <col customWidth="1" min="5" max="5" width="65.71"/>
    <col customWidth="1" min="6" max="6" width="56.43"/>
    <col customWidth="1" min="7" max="7" width="59.0"/>
    <col customWidth="1" min="8" max="8" width="28.71"/>
  </cols>
  <sheetData>
    <row r="1">
      <c r="A1" s="1" t="s">
        <v>0</v>
      </c>
      <c r="B1" s="2" t="s">
        <v>151</v>
      </c>
      <c r="C1" s="2" t="s">
        <v>1</v>
      </c>
      <c r="D1" s="3" t="s">
        <v>2</v>
      </c>
      <c r="E1" s="4" t="s">
        <v>3</v>
      </c>
      <c r="F1" s="4" t="s">
        <v>4</v>
      </c>
      <c r="G1" s="1" t="s">
        <v>5</v>
      </c>
      <c r="H1" s="1" t="s">
        <v>6</v>
      </c>
    </row>
    <row r="2">
      <c r="A2" s="44">
        <f>IFERROR(__xludf.DUMMYFUNCTION("filter('Challenge Codes-Check'!A2:F84, 'Challenge Codes-Check'!A2:A84&lt;&gt;"""")"),1.0)</f>
        <v>1</v>
      </c>
      <c r="B2" s="44" t="str">
        <f>IFERROR(__xludf.DUMMYFUNCTION("""COMPUTED_VALUE"""),"R1 / R3")</f>
        <v>R1 / R3</v>
      </c>
      <c r="C2" s="44" t="str">
        <f>IFERROR(__xludf.DUMMYFUNCTION("""COMPUTED_VALUE"""),"challenge")</f>
        <v>challenge</v>
      </c>
      <c r="D2" s="44" t="str">
        <f>IFERROR(__xludf.DUMMYFUNCTION("""COMPUTED_VALUE"""),"A recurrent problem is the level of students knowledge that they come when they start the discipline.
The lack of proficiency of some students in some criteria of this ends up making this practice difficult.
For those who are from infrastructure and are"&amp;" only used to accessing the server, building it with a tool like Maven, for example, can be a challenge for them.
Some people take a network course they know when IP addresses. Some people don't know what an IP address is.
Many students, even master's s"&amp;"tudents who are going through this kind of a program are probably, are we missing one or two frames of reference? A lot of students come through approaching this from the software engineering side of the house. They're learning how to build applications a"&amp;"nd that sort of thing. They have no real experience on operations and simply standing up infrastructure in the cloud is not operations, right? It's an aspect of operations. It's important piece of operations, but it's not everything you don't necessarily "&amp;"have people with the expertise in network design capacity plan, security, identity management")</f>
        <v>A recurrent problem is the level of students knowledge that they come when they start the discipline.
The lack of proficiency of some students in some criteria of this ends up making this practice difficult.
For those who are from infrastructure and are only used to accessing the server, building it with a tool like Maven, for example, can be a challenge for them.
Some people take a network course they know when IP addresses. Some people don't know what an IP address is.
Many students, even master's students who are going through this kind of a program are probably, are we missing one or two frames of reference? A lot of students come through approaching this from the software engineering side of the house. They're learning how to build applications and that sort of thing. They have no real experience on operations and simply standing up infrastructure in the cloud is not operations, right? It's an aspect of operations. It's important piece of operations, but it's not everything you don't necessarily have people with the expertise in network design capacity plan, security, identity management</v>
      </c>
      <c r="E2" s="44" t="str">
        <f>IFERROR(__xludf.DUMMYFUNCTION("""COMPUTED_VALUE"""),"Insufficient knowledge level of students to start the course.
Students' previous lack of knowledge makes learning difficult.
It is challenging for students with an operating background to carry out software development activities, such as generating a b"&amp;"uild with the maven tool.
Students who came from the area of ​​software engineering lack experience in operational activities.
Some students don't know network concepts.")</f>
        <v>Insufficient knowledge level of students to start the course.
Students' previous lack of knowledge makes learning difficult.
It is challenging for students with an operating background to carry out software development activities, such as generating a build with the maven tool.
Students who came from the area of ​​software engineering lack experience in operational activities.
Some students don't know network concepts.</v>
      </c>
      <c r="F2" s="44" t="str">
        <f>IFERROR(__xludf.DUMMYFUNCTION("""COMPUTED_VALUE"""),"Insufficient knowledge level of students to start the course.")</f>
        <v>Insufficient knowledge level of students to start the course.</v>
      </c>
      <c r="G2" s="45" t="str">
        <f>if(codigoDDivergenteJuiz = "first",codigoDDivergenteCodigo1,if (codigoDDivergenteJuiz = "second",codigoDDivergenteCodigo2, if (codigoDDivergenteCodigo1 = "", codigoDDivergenteCodigo2, codigoDDivergenteCodigo1)))</f>
        <v>insufficient knowledge of students</v>
      </c>
      <c r="H2" s="45" t="str">
        <f>if(codigoDDivergenteJuiz = "first",codigoDDivergenteTema1,if (codigoDDivergenteJuiz = "second",codigoDDivergenteTema2, if (codigoDDivergenteCodigo1 = "", codigoDDivergenteTema2, codigoDDivergenteTema1)))</f>
        <v>curriculum</v>
      </c>
    </row>
    <row r="3" ht="69.75" customHeight="1">
      <c r="A3" s="44">
        <f>IFERROR(__xludf.DUMMYFUNCTION("""COMPUTED_VALUE"""),2.0)</f>
        <v>2</v>
      </c>
      <c r="B3" s="44" t="str">
        <f>IFERROR(__xludf.DUMMYFUNCTION("""COMPUTED_VALUE"""),"R1 / R3")</f>
        <v>R1 / R3</v>
      </c>
      <c r="C3" s="44" t="str">
        <f>IFERROR(__xludf.DUMMYFUNCTION("""COMPUTED_VALUE"""),"challenge")</f>
        <v>challenge</v>
      </c>
      <c r="D3" s="44" t="str">
        <f>IFERROR(__xludf.DUMMYFUNCTION("""COMPUTED_VALUE"""),"To configure a environment needed to start.
I had difficulty setting up the infrastructure.
If you want a kind of hybrid discipline, in which you have the theory and applied practice, then the challenge will be different, then it ranges from having an e"&amp;"nvironment for it to structuring the environment, or thinking about something like that, to making a virtual machine available.
We've tried to let the students, uh, deal with the setup and, uh, install everything on their computer with Dockerizing stuff "&amp;"and scan things. And that was yet another disaster because then it's not reproducible and it works on their computer, but then it's really complicated to make it work on the TA.")</f>
        <v>To configure a environment needed to start.
I had difficulty setting up the infrastructure.
If you want a kind of hybrid discipline, in which you have the theory and applied practice, then the challenge will be different, then it ranges from having an environment for it to structuring the environment, or thinking about something like that, to making a virtual machine available.
We've tried to let the students, uh, deal with the setup and, uh, install everything on their computer with Dockerizing stuff and scan things. And that was yet another disaster because then it's not reproducible and it works on their computer, but then it's really complicated to make it work on the TA.</v>
      </c>
      <c r="E3" s="44" t="str">
        <f>IFERROR(__xludf.DUMMYFUNCTION("""COMPUTED_VALUE"""),"Difficulty configuring and setting up the infrastructure needed to run DevOps experiments.
Difficulty in setting up the infrastructure.
Be concerned about the infrastructure used in the student's environment.
If you let the students deal with the envir"&amp;"onment setup on their computers, it will become not reproducible and complicated to make it work even with the teacher assistant.")</f>
        <v>Difficulty configuring and setting up the infrastructure needed to run DevOps experiments.
Difficulty in setting up the infrastructure.
Be concerned about the infrastructure used in the student's environment.
If you let the students deal with the environment setup on their computers, it will become not reproducible and complicated to make it work even with the teacher assistant.</v>
      </c>
      <c r="F3" s="44" t="str">
        <f>IFERROR(__xludf.DUMMYFUNCTION("""COMPUTED_VALUE"""),"Setting up the infrastructure is difficulty.")</f>
        <v>Setting up the infrastructure is difficulty.</v>
      </c>
      <c r="G3" s="45" t="str">
        <f>if(codigoDDivergenteJuiz = "first",codigoDDivergenteCodigo1,if (codigoDDivergenteJuiz = "second",codigoDDivergenteCodigo2, if (codigoDDivergenteCodigo1 = "", codigoDDivergenteCodigo2, codigoDDivergenteCodigo1)))</f>
        <v>Difficulty in setting up the environment</v>
      </c>
      <c r="H3" s="45" t="str">
        <f>if(codigoDDivergenteJuiz = "first",codigoDDivergenteTema1,if (codigoDDivergenteJuiz = "second",codigoDDivergenteTema2, if (codigoDDivergenteCodigo1 = "", codigoDDivergenteTema2, codigoDDivergenteTema1)))</f>
        <v>environment setup</v>
      </c>
    </row>
    <row r="4" ht="115.5" customHeight="1">
      <c r="A4" s="44">
        <f>IFERROR(__xludf.DUMMYFUNCTION("""COMPUTED_VALUE"""),3.0)</f>
        <v>3</v>
      </c>
      <c r="B4" s="44" t="str">
        <f>IFERROR(__xludf.DUMMYFUNCTION("""COMPUTED_VALUE"""),"R1 / R3")</f>
        <v>R1 / R3</v>
      </c>
      <c r="C4" s="44" t="str">
        <f>IFERROR(__xludf.DUMMYFUNCTION("""COMPUTED_VALUE"""),"challenge")</f>
        <v>challenge</v>
      </c>
      <c r="D4" s="44" t="str">
        <f>IFERROR(__xludf.DUMMYFUNCTION("""COMPUTED_VALUE"""),"In many times, a professor would need computational resources to teach specific concepts [...] to configure real scenarios as much as possible.
Many times, you do not have access to computer resources to set up scenarios that you can actually teach labs "&amp;"or do, there, labs for students to learn.
Student machine capacity restriction.
We depend on the internet, I will give you a straightforward example, you will use the virtual machine, no matter how much you use Vagrant, for example, it needs to download"&amp;" a base image. And depending on the student's location, it takes two minutes and up to two hours.
If you're the things and they've launch, you know, Docker and Jenkins, that's it or JDK, that's it. There's no memory left. Um, so is the environment set up"&amp;" is hard. ")</f>
        <v>In many times, a professor would need computational resources to teach specific concepts [...] to configure real scenarios as much as possible.
Many times, you do not have access to computer resources to set up scenarios that you can actually teach labs or do, there, labs for students to learn.
Student machine capacity restriction.
We depend on the internet, I will give you a straightforward example, you will use the virtual machine, no matter how much you use Vagrant, for example, it needs to download a base image. And depending on the student's location, it takes two minutes and up to two hours.
If you're the things and they've launch, you know, Docker and Jenkins, that's it or JDK, that's it. There's no memory left. Um, so is the environment set up is hard. </v>
      </c>
      <c r="E4" s="44" t="str">
        <f>IFERROR(__xludf.DUMMYFUNCTION("""COMPUTED_VALUE"""),"Few computational resources for setting up scenarios close to real ones.
Lack of computer resources for teaching the class.
Students may have learning difficulties due to their machine's capacity constraints.
Students may have limited internet access. "&amp;"It difficults activities such as downloading OS images to virtual machines.
Local environment set up is hard because it needs lots of hardware.")</f>
        <v>Few computational resources for setting up scenarios close to real ones.
Lack of computer resources for teaching the class.
Students may have learning difficulties due to their machine's capacity constraints.
Students may have limited internet access. It difficults activities such as downloading OS images to virtual machines.
Local environment set up is hard because it needs lots of hardware.</v>
      </c>
      <c r="F4" s="44" t="str">
        <f>IFERROR(__xludf.DUMMYFUNCTION("""COMPUTED_VALUE"""),"Limited computional resources.")</f>
        <v>Limited computional resources.</v>
      </c>
      <c r="G4" s="45" t="str">
        <f>if(codigoDDivergenteJuiz = "first",codigoDDivergenteCodigo1,if (codigoDDivergenteJuiz = "second",codigoDDivergenteCodigo2, if (codigoDDivergenteCodigo1 = "", codigoDDivergenteCodigo2, codigoDDivergenteCodigo1)))</f>
        <v>lack of computing resources</v>
      </c>
      <c r="H4" s="45" t="str">
        <f>if(codigoDDivergenteJuiz = "first",codigoDDivergenteTema1,if (codigoDDivergenteJuiz = "second",codigoDDivergenteTema2, if (codigoDDivergenteCodigo1 = "", codigoDDivergenteTema2, codigoDDivergenteTema1)))</f>
        <v>environment setup</v>
      </c>
    </row>
    <row r="5" ht="134.25" customHeight="1">
      <c r="A5" s="44">
        <f>IFERROR(__xludf.DUMMYFUNCTION("""COMPUTED_VALUE"""),4.0)</f>
        <v>4</v>
      </c>
      <c r="B5" s="44" t="str">
        <f>IFERROR(__xludf.DUMMYFUNCTION("""COMPUTED_VALUE"""),"R1 / R3")</f>
        <v>R1 / R3</v>
      </c>
      <c r="C5" s="44" t="str">
        <f>IFERROR(__xludf.DUMMYFUNCTION("""COMPUTED_VALUE"""),"challenge")</f>
        <v>challenge</v>
      </c>
      <c r="D5" s="44" t="str">
        <f>IFERROR(__xludf.DUMMYFUNCTION("""COMPUTED_VALUE"""),"Some datasets as Azure from Microsoft, which the federal institute has a partnership has limited trial time to test, and it is necessary to have a credit card and other related things which sometimes the students do not have.
There is no account, like, t"&amp;"he teacher that he can make available, and there are resources for what students learn to set up these scenarios, right? Neither a local datacenter nor one of these commercials, many times it is not, it does not have all the possibilities you could use, a"&amp;"t least not, without being linked to an agreement or something like that.
If you are going to make this CI in the cloud commercially, you will have to pay. It is not free. Free here just for us to play, right? However, if you want to put your company's s"&amp;"ystem to do, I don't know how many integrations per week, you will have to pay for it.
Mean, captive of their platform and you also have to sign with your blood and agreements that you're doing it for academic purposes and those kind of things, because I"&amp;"BM can be quite aggressive with their partnership, um, policies. So except that I had to sign something that was a little bit too much from my perspective, this kind of tooling was good.")</f>
        <v>Some datasets as Azure from Microsoft, which the federal institute has a partnership has limited trial time to test, and it is necessary to have a credit card and other related things which sometimes the students do not have.
There is no account, like, the teacher that he can make available, and there are resources for what students learn to set up these scenarios, right? Neither a local datacenter nor one of these commercials, many times it is not, it does not have all the possibilities you could use, at least not, without being linked to an agreement or something like that.
If you are going to make this CI in the cloud commercially, you will have to pay. It is not free. Free here just for us to play, right? However, if you want to put your company's system to do, I don't know how many integrations per week, you will have to pay for it.
Mean, captive of their platform and you also have to sign with your blood and agreements that you're doing it for academic purposes and those kind of things, because IBM can be quite aggressive with their partnership, um, policies. So except that I had to sign something that was a little bit too much from my perspective, this kind of tooling was good.</v>
      </c>
      <c r="E5" s="44" t="str">
        <f>IFERROR(__xludf.DUMMYFUNCTION("""COMPUTED_VALUE"""),"Even through educational partnerships, using private cloud providers by students could be limited.
In public clouds, teacher use of student resource management is not widely available.
Using cloud services more professionally requires payment at a comme"&amp;"rcial level.
Cloud providers can have aggressive policies in the agreements for academic purposes.")</f>
        <v>Even through educational partnerships, using private cloud providers by students could be limited.
In public clouds, teacher use of student resource management is not widely available.
Using cloud services more professionally requires payment at a commercial level.
Cloud providers can have aggressive policies in the agreements for academic purposes.</v>
      </c>
      <c r="F5" s="44" t="str">
        <f>IFERROR(__xludf.DUMMYFUNCTION("""COMPUTED_VALUE"""),"Cloud providers usage has limits.")</f>
        <v>Cloud providers usage has limits.</v>
      </c>
      <c r="G5" s="45" t="str">
        <f>if(codigoDDivergenteJuiz = "first",codigoDDivergenteCodigo1,if (codigoDDivergenteJuiz = "second",codigoDDivergenteCodigo2, if (codigoDDivergenteCodigo1 = "", codigoDDivergenteCodigo2, codigoDDivergenteCodigo1)))</f>
        <v>Difficulty in using internet Cloud services</v>
      </c>
      <c r="H5" s="45" t="str">
        <f>if(codigoDDivergenteJuiz = "first",codigoDDivergenteTema1,if (codigoDDivergenteJuiz = "second",codigoDDivergenteTema2, if (codigoDDivergenteCodigo1 = "", codigoDDivergenteTema2, codigoDDivergenteTema1)))</f>
        <v>environment setup</v>
      </c>
    </row>
    <row r="6" ht="221.25" customHeight="1">
      <c r="A6" s="44">
        <f>IFERROR(__xludf.DUMMYFUNCTION("""COMPUTED_VALUE"""),6.0)</f>
        <v>6</v>
      </c>
      <c r="B6" s="44" t="str">
        <f>IFERROR(__xludf.DUMMYFUNCTION("""COMPUTED_VALUE"""),"R1 / R3")</f>
        <v>R1 / R3</v>
      </c>
      <c r="C6" s="44" t="str">
        <f>IFERROR(__xludf.DUMMYFUNCTION("""COMPUTED_VALUE"""),"challenge")</f>
        <v>challenge</v>
      </c>
      <c r="D6" s="44" t="str">
        <f>IFERROR(__xludf.DUMMYFUNCTION("""COMPUTED_VALUE"""),"There is no accepted taxonomy of what the concepts of DevOps are.
There's a lack of frame of reference on even what operations is. Most people get into operations, at least in my experience sort of accidentally.
 How to express concept, formalize them. "&amp;"But at the same time also focus on those issues that are getting in the way, the non-industrial way of, you know, writing scripts that if you want to industrialize them and they become Bulletproof, it's a mess, right? It's difficult.")</f>
        <v>There is no accepted taxonomy of what the concepts of DevOps are.
There's a lack of frame of reference on even what operations is. Most people get into operations, at least in my experience sort of accidentally.
 How to express concept, formalize them. But at the same time also focus on those issues that are getting in the way, the non-industrial way of, you know, writing scripts that if you want to industrialize them and they become Bulletproof, it's a mess, right? It's difficult.</v>
      </c>
      <c r="E6" s="44" t="str">
        <f>IFERROR(__xludf.DUMMYFUNCTION("""COMPUTED_VALUE"""),"There is no taxonomy about what are the main DevOps concepts.
There's a lack of reference on operations concepts.
It is difficult to express and formalize DevOps concepts. There is not bulletproof in devops.")</f>
        <v>There is no taxonomy about what are the main DevOps concepts.
There's a lack of reference on operations concepts.
It is difficult to express and formalize DevOps concepts. There is not bulletproof in devops.</v>
      </c>
      <c r="F6" s="44" t="str">
        <f>IFERROR(__xludf.DUMMYFUNCTION("""COMPUTED_VALUE"""),"There is no convention about DevOps concepts.")</f>
        <v>There is no convention about DevOps concepts.</v>
      </c>
      <c r="G6" s="45" t="str">
        <f>if(codigoDDivergenteJuiz = "first",codigoDDivergenteCodigo1,if (codigoDDivergenteJuiz = "second",codigoDDivergenteCodigo2, if (codigoDDivergenteCodigo1 = "", codigoDDivergenteCodigo2, codigoDDivergenteCodigo1)))</f>
        <v>Lack of taxonomy of DevOps concepts</v>
      </c>
      <c r="H6" s="45" t="str">
        <f>if(codigoDDivergenteJuiz = "first",codigoDDivergenteTema1,if (codigoDDivergenteJuiz = "second",codigoDDivergenteTema2, if (codigoDDivergenteCodigo1 = "", codigoDDivergenteTema2, codigoDDivergenteTema1)))</f>
        <v>devops concepts</v>
      </c>
    </row>
    <row r="7" ht="134.25" customHeight="1">
      <c r="A7" s="44">
        <f>IFERROR(__xludf.DUMMYFUNCTION("""COMPUTED_VALUE"""),7.0)</f>
        <v>7</v>
      </c>
      <c r="B7" s="44" t="str">
        <f>IFERROR(__xludf.DUMMYFUNCTION("""COMPUTED_VALUE"""),"R1 / R3")</f>
        <v>R1 / R3</v>
      </c>
      <c r="C7" s="44" t="str">
        <f>IFERROR(__xludf.DUMMYFUNCTION("""COMPUTED_VALUE"""),"challenge")</f>
        <v>challenge</v>
      </c>
      <c r="D7" s="44" t="str">
        <f>IFERROR(__xludf.DUMMYFUNCTION("""COMPUTED_VALUE"""),"I don't know any specific teaching devops tool.")</f>
        <v>I don't know any specific teaching devops tool.</v>
      </c>
      <c r="E7" s="44" t="str">
        <f>IFERROR(__xludf.DUMMYFUNCTION("""COMPUTED_VALUE"""),"Unknown specific devops educational supportive environment.")</f>
        <v>Unknown specific devops educational supportive environment.</v>
      </c>
      <c r="F7" s="44"/>
      <c r="G7" s="45" t="str">
        <f>if(codigoDDivergenteJuiz = "first",codigoDDivergenteCodigo1,if (codigoDDivergenteJuiz = "second",codigoDDivergenteCodigo2, if (codigoDDivergenteCodigo1 = "", codigoDDivergenteCodigo2, codigoDDivergenteCodigo1)))</f>
        <v>Lack of specific tool for DevOps teaching</v>
      </c>
      <c r="H7" s="45" t="str">
        <f>if(codigoDDivergenteJuiz = "first",codigoDDivergenteTema1,if (codigoDDivergenteJuiz = "second",codigoDDivergenteTema2, if (codigoDDivergenteCodigo1 = "", codigoDDivergenteTema2, codigoDDivergenteTema1)))</f>
        <v>tool / technology</v>
      </c>
    </row>
    <row r="8" ht="134.25" customHeight="1">
      <c r="A8" s="44">
        <f>IFERROR(__xludf.DUMMYFUNCTION("""COMPUTED_VALUE"""),8.0)</f>
        <v>8</v>
      </c>
      <c r="B8" s="44" t="str">
        <f>IFERROR(__xludf.DUMMYFUNCTION("""COMPUTED_VALUE"""),"R1 / R3")</f>
        <v>R1 / R3</v>
      </c>
      <c r="C8" s="44" t="str">
        <f>IFERROR(__xludf.DUMMYFUNCTION("""COMPUTED_VALUE"""),"challenge")</f>
        <v>challenge</v>
      </c>
      <c r="D8" s="44" t="str">
        <f>IFERROR(__xludf.DUMMYFUNCTION("""COMPUTED_VALUE"""),"We sometimes want to teach everything and we don't have infinite time[...] to fit the knowledge of DevOps, which is very broad knowledge and involves at least two distinct areas[...]
Making it fit was more difficult because sometimes the content is too l"&amp;"ong and time is limited.
The challenge in this aspect refers to [..] the issue of laboratories [...], but you always end up as a matter of time versus class development.
When I taught the DevOps course in my master's, it was DevOps from beginning to end"&amp;", right? So I had to decide everything that was going to go into the content. There is a lot that was left out.
This area of ​​DevOps is gigantic too. So training is limited there. It is a forty-hour training, right?
My biggest challenge is that my cour"&amp;"se should be two semesters because it's just too much stuff to fit in one semester. [...] the challenge there is I had to put together a curriculum that had, um, a little bit about everything. [...] So it's challenging fitting all that stuff into one seme"&amp;"ster.
   There's lots and lots of information, which is why I give them lots of support during the week on slack. Um, but there's lots of information to cover. And because it's so challenging, I don't get to cover a lot of once you deploy it, how do you "&amp;"monitor it? Uh, right. And, and, and how do you, how do you, you know, go through the logs? And I mean, we do a little bit of looking at the logs when we deploy it to figure out if it's working, but I don't do a lot of the ops side of DevOps.
And in term"&amp;"s of operation, a lot of the stuff that we tend to do at university tends to be fairly small because there's just realistic time constraints for how much people can get done in a week or two, or even in a term or a semester. ...  that I've found is a litt"&amp;"le bit of misconception or at least prejudice around what devops actually is.
Because in though in the ops part, and this is the stuff I typically don't have as much time for simply because I know most of the students are coming from the software develop"&amp;"ment side of the house.
That's exactly. That's a lot for one semester.
I introduced the concept of them speaking about continuous integration, continuous, and delivery and continuous deployment. But, uh, in, in practice doing the remaining stage in the "&amp;"lab is very challenging because we don't have enough time because it's three months.")</f>
        <v>We sometimes want to teach everything and we don't have infinite time[...] to fit the knowledge of DevOps, which is very broad knowledge and involves at least two distinct areas[...]
Making it fit was more difficult because sometimes the content is too long and time is limited.
The challenge in this aspect refers to [..] the issue of laboratories [...], but you always end up as a matter of time versus class development.
When I taught the DevOps course in my master's, it was DevOps from beginning to end, right? So I had to decide everything that was going to go into the content. There is a lot that was left out.
This area of ​​DevOps is gigantic too. So training is limited there. It is a forty-hour training, right?
My biggest challenge is that my course should be two semesters because it's just too much stuff to fit in one semester. [...] the challenge there is I had to put together a curriculum that had, um, a little bit about everything. [...] So it's challenging fitting all that stuff into one semester.
   There's lots and lots of information, which is why I give them lots of support during the week on slack. Um, but there's lots of information to cover. And because it's so challenging, I don't get to cover a lot of once you deploy it, how do you monitor it? Uh, right. And, and, and how do you, how do you, you know, go through the logs? And I mean, we do a little bit of looking at the logs when we deploy it to figure out if it's working, but I don't do a lot of the ops side of DevOps.
And in terms of operation, a lot of the stuff that we tend to do at university tends to be fairly small because there's just realistic time constraints for how much people can get done in a week or two, or even in a term or a semester. ...  that I've found is a little bit of misconception or at least prejudice around what devops actually is.
Because in though in the ops part, and this is the stuff I typically don't have as much time for simply because I know most of the students are coming from the software development side of the house.
That's exactly. That's a lot for one semester.
I introduced the concept of them speaking about continuous integration, continuous, and delivery and continuous deployment. But, uh, in, in practice doing the remaining stage in the lab is very challenging because we don't have enough time because it's three months.</v>
      </c>
      <c r="E8" s="44" t="str">
        <f>IFERROR(__xludf.DUMMYFUNCTION("""COMPUTED_VALUE"""),"Insufficient time to address extensive DevOps knowledge in a limited-hour curriculum.
Insufficient time to address extensive DevOps knowledge in a limited-hour curriculum.
Limitation of the development of laboratory practices in class due to the short t"&amp;"ime.
There is a limited amount of time to teach the devops content.
Lots of DevOps content to teach with little time available (40 hours).
DevOps has too much contents and it's hard to fit it in a semester.
No time to teach operations side.
Realistic"&amp;" time constraints prejudice around what devops actually is.
In devops course with dev and ops together, ops part are not touched because dev parts take a lot of time.
One semester is insufficient time to teach DevOps.
Labs of continuous integration and"&amp;" continous delivery are challeging because there is not enough time in three months.")</f>
        <v>Insufficient time to address extensive DevOps knowledge in a limited-hour curriculum.
Insufficient time to address extensive DevOps knowledge in a limited-hour curriculum.
Limitation of the development of laboratory practices in class due to the short time.
There is a limited amount of time to teach the devops content.
Lots of DevOps content to teach with little time available (40 hours).
DevOps has too much contents and it's hard to fit it in a semester.
No time to teach operations side.
Realistic time constraints prejudice around what devops actually is.
In devops course with dev and ops together, ops part are not touched because dev parts take a lot of time.
One semester is insufficient time to teach DevOps.
Labs of continuous integration and continous delivery are challeging because there is not enough time in three months.</v>
      </c>
      <c r="F8" s="44" t="str">
        <f>IFERROR(__xludf.DUMMYFUNCTION("""COMPUTED_VALUE"""),"Insufficient time in the course to teach DevOps.")</f>
        <v>Insufficient time in the course to teach DevOps.</v>
      </c>
      <c r="G8" s="45" t="str">
        <f>if(codigoDDivergenteJuiz = "first",codigoDDivergenteCodigo1,if (codigoDDivergenteJuiz = "second",codigoDDivergenteCodigo2, if (codigoDDivergenteCodigo1 = "", codigoDDivergenteCodigo2, codigoDDivergenteCodigo1)))</f>
        <v>Limited time on teaching DevOps</v>
      </c>
      <c r="H8" s="45" t="str">
        <f>if(codigoDDivergenteJuiz = "first",codigoDDivergenteTema1,if (codigoDDivergenteJuiz = "second",codigoDDivergenteTema2, if (codigoDDivergenteCodigo1 = "", codigoDDivergenteTema2, codigoDDivergenteTema1)))</f>
        <v>curriculum</v>
      </c>
    </row>
    <row r="9" ht="123.75" customHeight="1">
      <c r="A9" s="44">
        <f>IFERROR(__xludf.DUMMYFUNCTION("""COMPUTED_VALUE"""),9.0)</f>
        <v>9</v>
      </c>
      <c r="B9" s="44" t="str">
        <f>IFERROR(__xludf.DUMMYFUNCTION("""COMPUTED_VALUE"""),"R1 / R3")</f>
        <v>R1 / R3</v>
      </c>
      <c r="C9" s="44" t="str">
        <f>IFERROR(__xludf.DUMMYFUNCTION("""COMPUTED_VALUE"""),"challenge")</f>
        <v>challenge</v>
      </c>
      <c r="D9" s="44" t="str">
        <f>IFERROR(__xludf.DUMMYFUNCTION("""COMPUTED_VALUE"""),"[...] I couldn't set up a DevOps environment due to restrictions even with administrative authorization.
 That simply wasn't a possibility and computer labs are not equipped for that sort of a thing because of necessity. Universities have to lock down th"&amp;"eir software and hardware to keep really bad things from happening.
You have the machines where you deploy to. Um, and quite often the students are in the same classroom on the wifi of the universities or the under the sub network, but the ports are not "&amp;"open [...] you need a lot of machines interconnected, um, with visibility on each other that they can get to. And that's hard in a, in a, in a classroom environment this year I had 78 students.
All of those challenges are basically how do you rebuild an "&amp;"enterprise environment into a university environment that is much more restrictive and doesn't have enough machines for them. Usually that's a real challenge.
")</f>
        <v>[...] I couldn't set up a DevOps environment due to restrictions even with administrative authorization.
 That simply wasn't a possibility and computer labs are not equipped for that sort of a thing because of necessity. Universities have to lock down their software and hardware to keep really bad things from happening.
You have the machines where you deploy to. Um, and quite often the students are in the same classroom on the wifi of the universities or the under the sub network, but the ports are not open [...] you need a lot of machines interconnected, um, with visibility on each other that they can get to. And that's hard in a, in a, in a classroom environment this year I had 78 students.
All of those challenges are basically how do you rebuild an enterprise environment into a university environment that is much more restrictive and doesn't have enough machines for them. Usually that's a real challenge.
</v>
      </c>
      <c r="E9" s="44" t="str">
        <f>IFERROR(__xludf.DUMMYFUNCTION("""COMPUTED_VALUE"""),"Difficulty in getting authorization and lab resources from the institution to install tools in order to setup a DevOps environment.
University labs have restrictions on installing tools.
The academy has network limitations to create near-real infrastruc"&amp;"ture.
It is difficult to build an enterprise environment into a university environment that is much more restrictive and doesn't have enough machines for them.")</f>
        <v>Difficulty in getting authorization and lab resources from the institution to install tools in order to setup a DevOps environment.
University labs have restrictions on installing tools.
The academy has network limitations to create near-real infrastructure.
It is difficult to build an enterprise environment into a university environment that is much more restrictive and doesn't have enough machines for them.</v>
      </c>
      <c r="F9" s="44" t="str">
        <f>IFERROR(__xludf.DUMMYFUNCTION("""COMPUTED_VALUE"""),"Institutions' resources have limits.")</f>
        <v>Institutions' resources have limits.</v>
      </c>
      <c r="G9" s="45" t="str">
        <f>if(codigoDDivergenteJuiz = "first",codigoDDivergenteCodigo1,if (codigoDDivergenteJuiz = "second",codigoDDivergenteCodigo2, if (codigoDDivergenteCodigo1 = "", codigoDDivergenteCodigo2, codigoDDivergenteCodigo1)))</f>
        <v>Difficulty during institution's resources authorization.</v>
      </c>
      <c r="H9" s="45" t="str">
        <f>if(codigoDDivergenteJuiz = "first",codigoDDivergenteTema1,if (codigoDDivergenteJuiz = "second",codigoDDivergenteTema2, if (codigoDDivergenteCodigo1 = "", codigoDDivergenteTema2, codigoDDivergenteTema1)))</f>
        <v>environment setup</v>
      </c>
    </row>
    <row r="10" ht="123.75" customHeight="1">
      <c r="A10" s="44">
        <f>IFERROR(__xludf.DUMMYFUNCTION("""COMPUTED_VALUE"""),10.0)</f>
        <v>10</v>
      </c>
      <c r="B10" s="44" t="str">
        <f>IFERROR(__xludf.DUMMYFUNCTION("""COMPUTED_VALUE"""),"R1 / R3")</f>
        <v>R1 / R3</v>
      </c>
      <c r="C10" s="44" t="str">
        <f>IFERROR(__xludf.DUMMYFUNCTION("""COMPUTED_VALUE"""),"challenge")</f>
        <v>challenge</v>
      </c>
      <c r="D10" s="44" t="str">
        <f>IFERROR(__xludf.DUMMYFUNCTION("""COMPUTED_VALUE"""),"
There wasn't a tool to configure the environment [...] or to automate these environments then [..] since it became manual.")</f>
        <v>
There wasn't a tool to configure the environment [...] or to automate these environments then [..] since it became manual.</v>
      </c>
      <c r="E10" s="44" t="str">
        <f>IFERROR(__xludf.DUMMYFUNCTION("""COMPUTED_VALUE"""),"There was no automated environment setup tool to support the student.")</f>
        <v>There was no automated environment setup tool to support the student.</v>
      </c>
      <c r="F10" s="44"/>
      <c r="G10" s="45" t="str">
        <f>if(codigoDDivergenteJuiz = "first",codigoDDivergenteCodigo1,if (codigoDDivergenteJuiz = "second",codigoDDivergenteCodigo2, if (codigoDDivergenteCodigo1 = "", codigoDDivergenteCodigo2, codigoDDivergenteCodigo1)))</f>
        <v>No automated environment configuration tool.</v>
      </c>
      <c r="H10" s="45" t="str">
        <f>if(codigoDDivergenteJuiz = "first",codigoDDivergenteTema1,if (codigoDDivergenteJuiz = "second",codigoDDivergenteTema2, if (codigoDDivergenteCodigo1 = "", codigoDDivergenteTema2, codigoDDivergenteTema1)))</f>
        <v>environment setup</v>
      </c>
    </row>
    <row r="11" ht="123.75" customHeight="1">
      <c r="A11" s="44">
        <f>IFERROR(__xludf.DUMMYFUNCTION("""COMPUTED_VALUE"""),11.0)</f>
        <v>11</v>
      </c>
      <c r="B11" s="44" t="str">
        <f>IFERROR(__xludf.DUMMYFUNCTION("""COMPUTED_VALUE"""),"R1 / R3")</f>
        <v>R1 / R3</v>
      </c>
      <c r="C11" s="44" t="str">
        <f>IFERROR(__xludf.DUMMYFUNCTION("""COMPUTED_VALUE"""),"challenge")</f>
        <v>challenge</v>
      </c>
      <c r="D11" s="44" t="str">
        <f>IFERROR(__xludf.DUMMYFUNCTION("""COMPUTED_VALUE"""),"There wasn't a set of [...] scripts that the student should configure this environment himself, install the tool himself [...] whatever the servers he needed.")</f>
        <v>There wasn't a set of [...] scripts that the student should configure this environment himself, install the tool himself [...] whatever the servers he needed.</v>
      </c>
      <c r="E11" s="44" t="str">
        <f>IFERROR(__xludf.DUMMYFUNCTION("""COMPUTED_VALUE"""),"There was no script for the student on how to install the tools used during the course.")</f>
        <v>There was no script for the student on how to install the tools used during the course.</v>
      </c>
      <c r="F11" s="44"/>
      <c r="G11" s="45" t="str">
        <f>if(codigoDDivergenteJuiz = "first",codigoDDivergenteCodigo1,if (codigoDDivergenteJuiz = "second",codigoDDivergenteCodigo2, if (codigoDDivergenteCodigo1 = "", codigoDDivergenteCodigo2, codigoDDivergenteCodigo1)))</f>
        <v>Lack of tools installation script.</v>
      </c>
      <c r="H11" s="45" t="str">
        <f>if(codigoDDivergenteJuiz = "first",codigoDDivergenteTema1,if (codigoDDivergenteJuiz = "second",codigoDDivergenteTema2, if (codigoDDivergenteCodigo1 = "", codigoDDivergenteTema2, codigoDDivergenteTema1)))</f>
        <v>environment setup</v>
      </c>
    </row>
    <row r="12">
      <c r="A12" s="44">
        <f>IFERROR(__xludf.DUMMYFUNCTION("""COMPUTED_VALUE"""),12.0)</f>
        <v>12</v>
      </c>
      <c r="B12" s="44" t="str">
        <f>IFERROR(__xludf.DUMMYFUNCTION("""COMPUTED_VALUE"""),"R1 / R3")</f>
        <v>R1 / R3</v>
      </c>
      <c r="C12" s="44" t="str">
        <f>IFERROR(__xludf.DUMMYFUNCTION("""COMPUTED_VALUE"""),"challenge")</f>
        <v>challenge</v>
      </c>
      <c r="D12" s="44" t="str">
        <f>IFERROR(__xludf.DUMMYFUNCTION("""COMPUTED_VALUE"""),"There is no such literature in the area of ​​enterprise systems.
A partner editor, including the board, who brought a catalog of books for us to take a look at, and I went after it, including a book on the subject, right? From corporate systems, right, f"&amp;"rom this part of DevOps, and simply, I didn't find it in the catalog.
The even greater difficulty, which I can point out, is precisely the structuring, really, perhaps of the sequence of classes, because we do not have this material that guides.
It is a"&amp;" discipline with no definition, so there is no introductory textbook. There is not something totally agreed upon between the community of what it is, when it is applied, and such.
The course preparation is very difficult [...] there will not be that much"&amp;" paper, article because it is very new.
 And then the books are more industry oriented. Like, uh, we don't look at the, uh, uh, more with teaching parts, like, um, so there is no textbook, actually it is more industry document, eh, discussion about DevOp"&amp;"s.
 what we sit and do, but, uh, so from the lab perspective, that's interesting, but on the teaching side, as I said, like, uh, having limited material, make the teaching a little bit more difficult.
your books are written mostly with the different pro"&amp;"jects in mind. Like they are thinking about people working in the company, but not thinking about students who are learning. And this makes it very difficult to design a DevOps curriculum where you cover a hundred percent DevOps in one course.")</f>
        <v>There is no such literature in the area of ​​enterprise systems.
A partner editor, including the board, who brought a catalog of books for us to take a look at, and I went after it, including a book on the subject, right? From corporate systems, right, from this part of DevOps, and simply, I didn't find it in the catalog.
The even greater difficulty, which I can point out, is precisely the structuring, really, perhaps of the sequence of classes, because we do not have this material that guides.
It is a discipline with no definition, so there is no introductory textbook. There is not something totally agreed upon between the community of what it is, when it is applied, and such.
The course preparation is very difficult [...] there will not be that much paper, article because it is very new.
 And then the books are more industry oriented. Like, uh, we don't look at the, uh, uh, more with teaching parts, like, um, so there is no textbook, actually it is more industry document, eh, discussion about DevOps.
 what we sit and do, but, uh, so from the lab perspective, that's interesting, but on the teaching side, as I said, like, uh, having limited material, make the teaching a little bit more difficult.
your books are written mostly with the different projects in mind. Like they are thinking about people working in the company, but not thinking about students who are learning. And this makes it very difficult to design a DevOps curriculum where you cover a hundred percent DevOps in one course.</v>
      </c>
      <c r="E12" s="44" t="str">
        <f>IFERROR(__xludf.DUMMYFUNCTION("""COMPUTED_VALUE"""),"Difficulty finding book on corporate systems related to DevOps.
Literature in the area of ​​enterprise systems related to DevOps is insufficient.
Difficulty in structuring classes due to lack of reference material.
There is no fully agreed community ba"&amp;"se text.
There are not so many scientific articles on which to base course preparation.
The books are more industry oriented. There is no textbook about with discussion about DevOps concepts.
There's limited material to teach.
Books are designed to co"&amp;"mpany professionals and not about to students who are learning.")</f>
        <v>Difficulty finding book on corporate systems related to DevOps.
Literature in the area of ​​enterprise systems related to DevOps is insufficient.
Difficulty in structuring classes due to lack of reference material.
There is no fully agreed community base text.
There are not so many scientific articles on which to base course preparation.
The books are more industry oriented. There is no textbook about with discussion about DevOps concepts.
There's limited material to teach.
Books are designed to company professionals and not about to students who are learning.</v>
      </c>
      <c r="F12" s="44" t="str">
        <f>IFERROR(__xludf.DUMMYFUNCTION("""COMPUTED_VALUE"""),"Insufficient literature related to teach DevOps.")</f>
        <v>Insufficient literature related to teach DevOps.</v>
      </c>
      <c r="G12" s="45" t="str">
        <f>if(codigoDDivergenteJuiz = "first",codigoDDivergenteCodigo1,if (codigoDDivergenteJuiz = "second",codigoDDivergenteCodigo2, if (codigoDDivergenteCodigo1 = "", codigoDDivergenteCodigo2, codigoDDivergenteCodigo1)))</f>
        <v>Insufficient literature.</v>
      </c>
      <c r="H12" s="45" t="str">
        <f>if(codigoDDivergenteJuiz = "first",codigoDDivergenteTema1,if (codigoDDivergenteJuiz = "second",codigoDDivergenteTema2, if (codigoDDivergenteCodigo1 = "", codigoDDivergenteTema2, codigoDDivergenteTema1)))</f>
        <v>class preparation</v>
      </c>
    </row>
    <row r="13">
      <c r="A13" s="44">
        <f>IFERROR(__xludf.DUMMYFUNCTION("""COMPUTED_VALUE"""),13.0)</f>
        <v>13</v>
      </c>
      <c r="B13" s="44" t="str">
        <f>IFERROR(__xludf.DUMMYFUNCTION("""COMPUTED_VALUE"""),"R1 / R3")</f>
        <v>R1 / R3</v>
      </c>
      <c r="C13" s="44" t="str">
        <f>IFERROR(__xludf.DUMMYFUNCTION("""COMPUTED_VALUE"""),"challenge")</f>
        <v>challenge</v>
      </c>
      <c r="D13" s="44" t="str">
        <f>IFERROR(__xludf.DUMMYFUNCTION("""COMPUTED_VALUE"""),"Once it's deployed, how do you manage to monitor and give and maybe get feedback from the customer, maybe things to improve, the monitoring of the system itself, this part is a challenge, really, to be able to show it to the student and maybe , make him f"&amp;"ace it from a more professional perspective, because already imagining that he is going to the market and will come across these many situations there.
When they arrive, many use another environment[...] they put the system there and they don't have to w"&amp;"orry too much about other details[...] We really ask them to make this migration for them to have this other view, this aspect of setting up the environment. Putting it into production and keeping this system working.[...] I think this can be seen as a ch"&amp;"allenge, which is to convince students to give importance to this, the importance of them knowing these aspects too, not leaving it so transparent to them too.")</f>
        <v>Once it's deployed, how do you manage to monitor and give and maybe get feedback from the customer, maybe things to improve, the monitoring of the system itself, this part is a challenge, really, to be able to show it to the student and maybe , make him face it from a more professional perspective, because already imagining that he is going to the market and will come across these many situations there.
When they arrive, many use another environment[...] they put the system there and they don't have to worry too much about other details[...] We really ask them to make this migration for them to have this other view, this aspect of setting up the environment. Putting it into production and keeping this system working.[...] I think this can be seen as a challenge, which is to convince students to give importance to this, the importance of them knowing these aspects too, not leaving it so transparent to them too.</v>
      </c>
      <c r="E13" s="44" t="str">
        <f>IFERROR(__xludf.DUMMYFUNCTION("""COMPUTED_VALUE"""),"It is difficult to make the student face teaching scenarios with a more professional perspective, with production-level monitoring.
Difficulty in making clear to students the importance of having a more realistic perspective of production, using other en"&amp;"vironments and leaving aside the comfort zone in which they may be inserted.")</f>
        <v>It is difficult to make the student face teaching scenarios with a more professional perspective, with production-level monitoring.
Difficulty in making clear to students the importance of having a more realistic perspective of production, using other environments and leaving aside the comfort zone in which they may be inserted.</v>
      </c>
      <c r="F13" s="44" t="str">
        <f>IFERROR(__xludf.DUMMYFUNCTION("""COMPUTED_VALUE"""),"Difficulty in making clear to students the importance of having a more realistic perspective of production.")</f>
        <v>Difficulty in making clear to students the importance of having a more realistic perspective of production.</v>
      </c>
      <c r="G13" s="45" t="str">
        <f>if(codigoDDivergenteJuiz = "first",codigoDDivergenteCodigo1,if (codigoDDivergenteJuiz = "second",codigoDDivergenteCodigo2, if (codigoDDivergenteCodigo1 = "", codigoDDivergenteCodigo2, codigoDDivergenteCodigo1)))</f>
        <v>Exercises with professional scenarios</v>
      </c>
      <c r="H13" s="45" t="str">
        <f>if(codigoDDivergenteJuiz = "first",codigoDDivergenteTema1,if (codigoDDivergenteJuiz = "second",codigoDDivergenteTema2, if (codigoDDivergenteCodigo1 = "", codigoDDivergenteTema2, codigoDDivergenteTema1)))</f>
        <v>strategies in course execution</v>
      </c>
    </row>
    <row r="14">
      <c r="A14" s="44">
        <f>IFERROR(__xludf.DUMMYFUNCTION("""COMPUTED_VALUE"""),14.0)</f>
        <v>14</v>
      </c>
      <c r="B14" s="44" t="str">
        <f>IFERROR(__xludf.DUMMYFUNCTION("""COMPUTED_VALUE"""),"R1 / R3")</f>
        <v>R1 / R3</v>
      </c>
      <c r="C14" s="44" t="str">
        <f>IFERROR(__xludf.DUMMYFUNCTION("""COMPUTED_VALUE"""),"challenge")</f>
        <v>challenge</v>
      </c>
      <c r="D14" s="44" t="str">
        <f>IFERROR(__xludf.DUMMYFUNCTION("""COMPUTED_VALUE"""),"The challenge of making students see this approach to operationalization, putting the system on the air, maintaining this system, adding new features and not breaking the system.
The concept of continuous delivery [...] The difficult thing is to put it i"&amp;"nto practice [...] when they, as a team, need to release a certain functionality and ensure that it doesn't break the system.")</f>
        <v>The challenge of making students see this approach to operationalization, putting the system on the air, maintaining this system, adding new features and not breaking the system.
The concept of continuous delivery [...] The difficult thing is to put it into practice [...] when they, as a team, need to release a certain functionality and ensure that it doesn't break the system.</v>
      </c>
      <c r="E14" s="44" t="str">
        <f>IFERROR(__xludf.DUMMYFUNCTION("""COMPUTED_VALUE"""),"Difficulty in teaching the student how to operate the system, allowing the addition of new features without breaking the system.
Difficulty for students to practice the concept of Continuous Delivery when it is necessary to add new features to the system"&amp;" without the build breaking.")</f>
        <v>Difficulty in teaching the student how to operate the system, allowing the addition of new features without breaking the system.
Difficulty for students to practice the concept of Continuous Delivery when it is necessary to add new features to the system without the build breaking.</v>
      </c>
      <c r="F14" s="44" t="str">
        <f>IFERROR(__xludf.DUMMYFUNCTION("""COMPUTED_VALUE"""),"Difficulty in teaching the student how to operate the system, allowing the addition of new features without breaking the system.")</f>
        <v>Difficulty in teaching the student how to operate the system, allowing the addition of new features without breaking the system.</v>
      </c>
      <c r="G14" s="45" t="str">
        <f>if(codigoDDivergenteJuiz = "first",codigoDDivergenteCodigo1,if (codigoDDivergenteJuiz = "second",codigoDDivergenteCodigo2, if (codigoDDivergenteCodigo1 = "", codigoDDivergenteCodigo2, codigoDDivergenteCodigo1)))</f>
        <v>Difficulty in teaching about operationalization and addition of new system features</v>
      </c>
      <c r="H14" s="45" t="str">
        <f>if(codigoDDivergenteJuiz = "first",codigoDDivergenteTema1,if (codigoDDivergenteJuiz = "second",codigoDDivergenteTema2, if (codigoDDivergenteCodigo1 = "", codigoDDivergenteTema2, codigoDDivergenteTema1)))</f>
        <v>devops concepts</v>
      </c>
    </row>
    <row r="15">
      <c r="A15" s="44">
        <f>IFERROR(__xludf.DUMMYFUNCTION("""COMPUTED_VALUE"""),15.0)</f>
        <v>15</v>
      </c>
      <c r="B15" s="44" t="str">
        <f>IFERROR(__xludf.DUMMYFUNCTION("""COMPUTED_VALUE"""),"R1 / R3")</f>
        <v>R1 / R3</v>
      </c>
      <c r="C15" s="44" t="str">
        <f>IFERROR(__xludf.DUMMYFUNCTION("""COMPUTED_VALUE"""),"challenge")</f>
        <v>challenge</v>
      </c>
      <c r="D15" s="44" t="str">
        <f>IFERROR(__xludf.DUMMYFUNCTION("""COMPUTED_VALUE"""),"How can we see if the student is aware of the concept of continuous delivery, which is one of the concepts we address?")</f>
        <v>How can we see if the student is aware of the concept of continuous delivery, which is one of the concepts we address?</v>
      </c>
      <c r="E15" s="44" t="str">
        <f>IFERROR(__xludf.DUMMYFUNCTION("""COMPUTED_VALUE"""),"Difficulty in assessing students' understanding of Continuous Delivery.")</f>
        <v>Difficulty in assessing students' understanding of Continuous Delivery.</v>
      </c>
      <c r="F15" s="44"/>
      <c r="G15" s="45" t="str">
        <f>if(codigoDDivergenteJuiz = "first",codigoDDivergenteCodigo1,if (codigoDDivergenteJuiz = "second",codigoDDivergenteCodigo2, if (codigoDDivergenteCodigo1 = "", codigoDDivergenteCodigo2, codigoDDivergenteCodigo1)))</f>
        <v>Difficulty in evaluating the understanding of Continuous Delivery</v>
      </c>
      <c r="H15" s="45" t="str">
        <f>if(codigoDDivergenteJuiz = "first",codigoDDivergenteTema1,if (codigoDDivergenteJuiz = "second",codigoDDivergenteTema2, if (codigoDDivergenteCodigo1 = "", codigoDDivergenteTema2, codigoDDivergenteTema1)))</f>
        <v>assessment</v>
      </c>
    </row>
    <row r="16">
      <c r="A16" s="44">
        <f>IFERROR(__xludf.DUMMYFUNCTION("""COMPUTED_VALUE"""),16.0)</f>
        <v>16</v>
      </c>
      <c r="B16" s="44" t="str">
        <f>IFERROR(__xludf.DUMMYFUNCTION("""COMPUTED_VALUE"""),"R2 / R3")</f>
        <v>R2 / R3</v>
      </c>
      <c r="C16" s="44" t="str">
        <f>IFERROR(__xludf.DUMMYFUNCTION("""COMPUTED_VALUE"""),"challenge")</f>
        <v>challenge</v>
      </c>
      <c r="D16" s="44" t="str">
        <f>IFERROR(__xludf.DUMMYFUNCTION("""COMPUTED_VALUE"""),"It's more this initial contact that seems to scare them a little more, it makes them go to others, when they arrive.
The part of actually putting an initial part has this shock of this reality there for the students in which they have to leave a tool tha"&amp;"t they are already there with the system running and bring it to our tool.")</f>
        <v>It's more this initial contact that seems to scare them a little more, it makes them go to others, when they arrive.
The part of actually putting an initial part has this shock of this reality there for the students in which they have to leave a tool that they are already there with the system running and bring it to our tool.</v>
      </c>
      <c r="E16" s="44" t="str">
        <f>IFERROR(__xludf.DUMMYFUNCTION("""COMPUTED_VALUE"""),"The environment adopted by instructors can frighten students by making them migrate to other tools.
Students' initial difficult at having to switch from tools in which their applications were already working to the one adopted by the instructor.")</f>
        <v>The environment adopted by instructors can frighten students by making them migrate to other tools.
Students' initial difficult at having to switch from tools in which their applications were already working to the one adopted by the instructor.</v>
      </c>
      <c r="F16" s="44" t="str">
        <f>IFERROR(__xludf.DUMMYFUNCTION("""COMPUTED_VALUE"""),"The process of making students migrate to other tools it's hard.")</f>
        <v>The process of making students migrate to other tools it's hard.</v>
      </c>
      <c r="G16" s="45" t="str">
        <f>if(codigoDDivergenteJuiz = "first",codigoDDivergenteCodigo1,if (codigoDDivergenteJuiz = "second",codigoDDivergenteCodigo2, if (codigoDDivergenteCodigo1 = "", codigoDDivergenteCodigo2, codigoDDivergenteCodigo1)))</f>
        <v>Difficulty in tool change</v>
      </c>
      <c r="H16" s="45" t="str">
        <f>if(codigoDDivergenteJuiz = "first",codigoDDivergenteTema1,if (codigoDDivergenteJuiz = "second",codigoDDivergenteTema2, if (codigoDDivergenteCodigo1 = "", codigoDDivergenteTema2, codigoDDivergenteTema1)))</f>
        <v>environment setup</v>
      </c>
    </row>
    <row r="17">
      <c r="A17" s="44">
        <f>IFERROR(__xludf.DUMMYFUNCTION("""COMPUTED_VALUE"""),17.0)</f>
        <v>17</v>
      </c>
      <c r="B17" s="44" t="str">
        <f>IFERROR(__xludf.DUMMYFUNCTION("""COMPUTED_VALUE"""),"R1 / R3")</f>
        <v>R1 / R3</v>
      </c>
      <c r="C17" s="44" t="str">
        <f>IFERROR(__xludf.DUMMYFUNCTION("""COMPUTED_VALUE"""),"challenge")</f>
        <v>challenge</v>
      </c>
      <c r="D17" s="44" t="str">
        <f>IFERROR(__xludf.DUMMYFUNCTION("""COMPUTED_VALUE"""),"the docker, [...] to use, they usually have a greater difficulty in this theme, in the beginning.")</f>
        <v>the docker, [...] to use, they usually have a greater difficulty in this theme, in the beginning.</v>
      </c>
      <c r="E17" s="44" t="str">
        <f>IFERROR(__xludf.DUMMYFUNCTION("""COMPUTED_VALUE"""),"Initial difficulty using the Docker container tool.")</f>
        <v>Initial difficulty using the Docker container tool.</v>
      </c>
      <c r="F17" s="44"/>
      <c r="G17" s="45" t="str">
        <f>if(codigoDDivergenteJuiz = "first",codigoDDivergenteCodigo1,if (codigoDDivergenteJuiz = "second",codigoDDivergenteCodigo2, if (codigoDDivergenteCodigo1 = "", codigoDDivergenteCodigo2, codigoDDivergenteCodigo1)))</f>
        <v>Difficulty with Docker</v>
      </c>
      <c r="H17" s="45" t="str">
        <f>if(codigoDDivergenteJuiz = "first",codigoDDivergenteTema1,if (codigoDDivergenteJuiz = "second",codigoDDivergenteTema2, if (codigoDDivergenteCodigo1 = "", codigoDDivergenteTema2, codigoDDivergenteTema1)))</f>
        <v>tool / technology</v>
      </c>
    </row>
    <row r="18">
      <c r="A18" s="44">
        <f>IFERROR(__xludf.DUMMYFUNCTION("""COMPUTED_VALUE"""),19.0)</f>
        <v>19</v>
      </c>
      <c r="B18" s="44" t="str">
        <f>IFERROR(__xludf.DUMMYFUNCTION("""COMPUTED_VALUE"""),"R1 / R2")</f>
        <v>R1 / R2</v>
      </c>
      <c r="C18" s="44" t="str">
        <f>IFERROR(__xludf.DUMMYFUNCTION("""COMPUTED_VALUE"""),"challenge")</f>
        <v>challenge</v>
      </c>
      <c r="D18" s="44" t="str">
        <f>IFERROR(__xludf.DUMMYFUNCTION("""COMPUTED_VALUE"""),"A challenge that is to convince students to give importance to this... they have this other view, this aspect of the configuration of the environment.")</f>
        <v>A challenge that is to convince students to give importance to this... they have this other view, this aspect of the configuration of the environment.</v>
      </c>
      <c r="E18" s="44" t="str">
        <f>IFERROR(__xludf.DUMMYFUNCTION("""COMPUTED_VALUE"""),"The student has difficulty realizing the importance of setting the environment.")</f>
        <v>The student has difficulty realizing the importance of setting the environment.</v>
      </c>
      <c r="F18" s="44"/>
      <c r="G18" s="45" t="str">
        <f>if(codigoDDivergenteJuiz = "first",codigoDDivergenteCodigo1,if (codigoDDivergenteJuiz = "second",codigoDDivergenteCodigo2, if (codigoDDivergenteCodigo1 = "", codigoDDivergenteCodigo2, codigoDDivergenteCodigo1)))</f>
        <v>Difficulty in understanding the importance of setting the environment</v>
      </c>
      <c r="H18" s="45" t="str">
        <f>if(codigoDDivergenteJuiz = "first",codigoDDivergenteTema1,if (codigoDDivergenteJuiz = "second",codigoDDivergenteTema2, if (codigoDDivergenteCodigo1 = "", codigoDDivergenteTema2, codigoDDivergenteTema1)))</f>
        <v>environment setup</v>
      </c>
    </row>
    <row r="19">
      <c r="A19" s="44">
        <f>IFERROR(__xludf.DUMMYFUNCTION("""COMPUTED_VALUE"""),22.0)</f>
        <v>22</v>
      </c>
      <c r="B19" s="44" t="str">
        <f>IFERROR(__xludf.DUMMYFUNCTION("""COMPUTED_VALUE"""),"R1 / R2")</f>
        <v>R1 / R2</v>
      </c>
      <c r="C19" s="44" t="str">
        <f>IFERROR(__xludf.DUMMYFUNCTION("""COMPUTED_VALUE"""),"challenge")</f>
        <v>challenge</v>
      </c>
      <c r="D19" s="44" t="str">
        <f>IFERROR(__xludf.DUMMYFUNCTION("""COMPUTED_VALUE"""),"The challenges I can mention is precisely this part of you being able to demonstrate, right, to demonstrate to them all this tooling of ours.
The main challenge is that, in general, DevOps related tools are cloud-based systems.
In general, you have a wi"&amp;"de range of solutions. You have a very large ecosystem of possibilities on how to test or demonstrate a concept.
A difficulty of technologies is about recognizing what is relevant to be addressed in the classroom, is not it? So, for example, there is muc"&amp;"h technology on the market.
Because the DevOps universe has millions of tools, technologies, and [...] It has an infinity of tools, they all meet the objectives. They are good and such.
This is a problem because of what happens: there are several tools,"&amp;" and we always have to close on some for the didactic nature of experimentation.
The other big challenge is: technology. People come with Macs, people come with windows, people come with Linux. [...] So that's the other challenge is people coming in with"&amp;" different technology and then how do you teach them the same thing without saying: ""oh, the command in windows is this and the command on a Mac is that.""
It can be also challenging for the, if you have the lab instructor with handling all tools.")</f>
        <v>The challenges I can mention is precisely this part of you being able to demonstrate, right, to demonstrate to them all this tooling of ours.
The main challenge is that, in general, DevOps related tools are cloud-based systems.
In general, you have a wide range of solutions. You have a very large ecosystem of possibilities on how to test or demonstrate a concept.
A difficulty of technologies is about recognizing what is relevant to be addressed in the classroom, is not it? So, for example, there is much technology on the market.
Because the DevOps universe has millions of tools, technologies, and [...] It has an infinity of tools, they all meet the objectives. They are good and such.
This is a problem because of what happens: there are several tools, and we always have to close on some for the didactic nature of experimentation.
The other big challenge is: technology. People come with Macs, people come with windows, people come with Linux. [...] So that's the other challenge is people coming in with different technology and then how do you teach them the same thing without saying: "oh, the command in windows is this and the command on a Mac is that."
It can be also challenging for the, if you have the lab instructor with handling all tools.</v>
      </c>
      <c r="E19" s="44" t="str">
        <f>IFERROR(__xludf.DUMMYFUNCTION("""COMPUTED_VALUE"""),"There are a large number of DevOps tools available.
Many DevOps tools are cloud based.
Many DevOps tools and usability available.
Difficulty in deciding which technologies to teach, given the wide variety available on the market.
There are many DevOps"&amp;" tools.
There are many DevOps tools to choose from.
It's hard to deal with many options of tools.
The lab instructor should handle many tools.")</f>
        <v>There are a large number of DevOps tools available.
Many DevOps tools are cloud based.
Many DevOps tools and usability available.
Difficulty in deciding which technologies to teach, given the wide variety available on the market.
There are many DevOps tools.
There are many DevOps tools to choose from.
It's hard to deal with many options of tools.
The lab instructor should handle many tools.</v>
      </c>
      <c r="F19" s="44" t="str">
        <f>IFERROR(__xludf.DUMMYFUNCTION("""COMPUTED_VALUE"""),"There is a large number of DevOps tools.")</f>
        <v>There is a large number of DevOps tools.</v>
      </c>
      <c r="G19" s="45" t="str">
        <f>if(codigoDDivergenteJuiz = "first",codigoDDivergenteCodigo1,if (codigoDDivergenteJuiz = "second",codigoDDivergenteCodigo2, if (codigoDDivergenteCodigo1 = "", codigoDDivergenteCodigo2, codigoDDivergenteCodigo1)))</f>
        <v>Abundance of tools for DevOps practices</v>
      </c>
      <c r="H19" s="45" t="str">
        <f>if(codigoDDivergenteJuiz = "first",codigoDDivergenteTema1,if (codigoDDivergenteJuiz = "second",codigoDDivergenteTema2, if (codigoDDivergenteCodigo1 = "", codigoDDivergenteTema2, codigoDDivergenteTema1)))</f>
        <v>tool / technology</v>
      </c>
    </row>
    <row r="20">
      <c r="A20" s="44">
        <f>IFERROR(__xludf.DUMMYFUNCTION("""COMPUTED_VALUE"""),25.0)</f>
        <v>25</v>
      </c>
      <c r="B20" s="44" t="str">
        <f>IFERROR(__xludf.DUMMYFUNCTION("""COMPUTED_VALUE"""),"R1 / R3")</f>
        <v>R1 / R3</v>
      </c>
      <c r="C20" s="44" t="str">
        <f>IFERROR(__xludf.DUMMYFUNCTION("""COMPUTED_VALUE"""),"challenge")</f>
        <v>challenge</v>
      </c>
      <c r="D20" s="44" t="str">
        <f>IFERROR(__xludf.DUMMYFUNCTION("""COMPUTED_VALUE"""),"The main challenge is to correctly convey to students the idea that DevOps is about a culture.
It is the cultural challenge of I am not going to deliver a ready-made recipe.
How to apply these things from Devops in companies [...] there is a great diffi"&amp;"culty that is cultural. Companies have always organized themselves in this way, separating movement from infrastructure, not having collaboration, not having communication, and this ends up generating friction, especially when problems arise [...] go on c"&amp;"hanging a little the company's culture, the process, the way people organize themselves, meet, and such, trying to remove the barriers there until it is natural and both teams work together [...] with a single goal, which is to develop, deliver software t"&amp;"hat works and solve problems as quickly as possible.
Trying to contextualize this too is very difficult.
Culture is difficult to teach.")</f>
        <v>The main challenge is to correctly convey to students the idea that DevOps is about a culture.
It is the cultural challenge of I am not going to deliver a ready-made recipe.
How to apply these things from Devops in companies [...] there is a great difficulty that is cultural. Companies have always organized themselves in this way, separating movement from infrastructure, not having collaboration, not having communication, and this ends up generating friction, especially when problems arise [...] go on changing a little the company's culture, the process, the way people organize themselves, meet, and such, trying to remove the barriers there until it is natural and both teams work together [...] with a single goal, which is to develop, deliver software that works and solve problems as quickly as possible.
Trying to contextualize this too is very difficult.
Culture is difficult to teach.</v>
      </c>
      <c r="E20" s="44" t="str">
        <f>IFERROR(__xludf.DUMMYFUNCTION("""COMPUTED_VALUE"""),"Difficulty to teach the DevOps culture.
There is no ready-made recipe to teach the DevOps mindset (culture).
Difficulty breaking through resistance to the DevOps culture and its principles.
Difficulty contextualizing the DevOps culture.
Culture is dif"&amp;"ficult to teach.")</f>
        <v>Difficulty to teach the DevOps culture.
There is no ready-made recipe to teach the DevOps mindset (culture).
Difficulty breaking through resistance to the DevOps culture and its principles.
Difficulty contextualizing the DevOps culture.
Culture is difficult to teach.</v>
      </c>
      <c r="F20" s="44" t="str">
        <f>IFERROR(__xludf.DUMMYFUNCTION("""COMPUTED_VALUE"""),"DevOps culture is hard to teach. ")</f>
        <v>DevOps culture is hard to teach. </v>
      </c>
      <c r="G20" s="45" t="str">
        <f>if(codigoDDivergenteJuiz = "first",codigoDDivergenteCodigo1,if (codigoDDivergenteJuiz = "second",codigoDDivergenteCodigo2, if (codigoDDivergenteCodigo1 = "", codigoDDivergenteCodigo2, codigoDDivergenteCodigo1)))</f>
        <v>Lack of step-by-step instructions about cultural part teaching</v>
      </c>
      <c r="H20" s="45" t="str">
        <f>if(codigoDDivergenteJuiz = "first",codigoDDivergenteTema1,if (codigoDDivergenteJuiz = "second",codigoDDivergenteTema2, if (codigoDDivergenteCodigo1 = "", codigoDDivergenteTema2, codigoDDivergenteTema1)))</f>
        <v>devops concepts</v>
      </c>
    </row>
    <row r="21">
      <c r="A21" s="44">
        <f>IFERROR(__xludf.DUMMYFUNCTION("""COMPUTED_VALUE"""),26.0)</f>
        <v>26</v>
      </c>
      <c r="B21" s="44" t="str">
        <f>IFERROR(__xludf.DUMMYFUNCTION("""COMPUTED_VALUE"""),"R2 / R3")</f>
        <v>R2 / R3</v>
      </c>
      <c r="C21" s="44" t="str">
        <f>IFERROR(__xludf.DUMMYFUNCTION("""COMPUTED_VALUE"""),"challenge")</f>
        <v>challenge</v>
      </c>
      <c r="D21" s="44" t="str">
        <f>IFERROR(__xludf.DUMMYFUNCTION("""COMPUTED_VALUE"""),"The student hopes to [...] learn that killer tool, which will help in the practical context of his life, whether in the process of development, security or operations. [...] wants to know the tools much more than understand the DevOps culture.
The first "&amp;"challenge is to decouple the idea that about DevOps [...] to deliver a formula.
The students arrive with the idea that they have a set of X tools to deliver in their daily lives and tools only a piece and a small piece within the delivery process, which "&amp;"is more cultural and more personal than tooling, huh? Organizational even, I would say.
It is to set expectations when he signs up that the entire course is not tooling and that no, we will not use the best stacks in the market.
Give this view that DevO"&amp;"ps is not just a tool [...] It is very much in line with agile movement.
Trying to show that DevOps is not just tools, trying to make people understand this and trying to change it during the class, so trying as best as possible to make people understand"&amp;", right? That they will end up having to change the culture of the environment, right? The processes, the way they organize themselves.
 People coming through the programs want to play with technology. ... But what that tends to foster is a technology ce"&amp;"ntric attitude about what devops is all about. ... That's half the reason we got into this field in the first place, and it's a really fun thing to be able to do, but it's not sufficient.
There's a big focus on tools.
DevOps doesn't equal CI/CD and DevO"&amp;"ps doesn't equal automate the testing.
Let's say political challenge that you have to convince in a way that DevOps is not purely technical and that it's must be part of an academy curriculum.")</f>
        <v>The student hopes to [...] learn that killer tool, which will help in the practical context of his life, whether in the process of development, security or operations. [...] wants to know the tools much more than understand the DevOps culture.
The first challenge is to decouple the idea that about DevOps [...] to deliver a formula.
The students arrive with the idea that they have a set of X tools to deliver in their daily lives and tools only a piece and a small piece within the delivery process, which is more cultural and more personal than tooling, huh? Organizational even, I would say.
It is to set expectations when he signs up that the entire course is not tooling and that no, we will not use the best stacks in the market.
Give this view that DevOps is not just a tool [...] It is very much in line with agile movement.
Trying to show that DevOps is not just tools, trying to make people understand this and trying to change it during the class, so trying as best as possible to make people understand, right? That they will end up having to change the culture of the environment, right? The processes, the way they organize themselves.
 People coming through the programs want to play with technology. ... But what that tends to foster is a technology centric attitude about what devops is all about. ... That's half the reason we got into this field in the first place, and it's a really fun thing to be able to do, but it's not sufficient.
There's a big focus on tools.
DevOps doesn't equal CI/CD and DevOps doesn't equal automate the testing.
Let's say political challenge that you have to convince in a way that DevOps is not purely technical and that it's must be part of an academy curriculum.</v>
      </c>
      <c r="E21" s="44" t="str">
        <f>IFERROR(__xludf.DUMMYFUNCTION("""COMPUTED_VALUE"""),"Students have a prior concept that DevOps is restricted to the use of tools, not being interested in the cultural part of DevOps.
Difficulty explaining to students that DevOps is not just about tools.
Difficulty in explaining to students that DevOps is "&amp;"not just tooling, it encompasses the cultural part.
Difficulty adjusting students' expectations, as most of them just want to use new tools.
Difficulty in being able to explain to the student that DevOps does not involve only the tooling part.
Difficul"&amp;"ty breaking the student perspective that DevOps is just tools and automation.
Students came to course focused in the tools.
So many people only focus on the tools side from DevOps.
DevOps is not only CI/CD and automation.
Convince people that DevOps i"&amp;"s not purely technical and it must be part of an academy curriculum.")</f>
        <v>Students have a prior concept that DevOps is restricted to the use of tools, not being interested in the cultural part of DevOps.
Difficulty explaining to students that DevOps is not just about tools.
Difficulty in explaining to students that DevOps is not just tooling, it encompasses the cultural part.
Difficulty adjusting students' expectations, as most of them just want to use new tools.
Difficulty in being able to explain to the student that DevOps does not involve only the tooling part.
Difficulty breaking the student perspective that DevOps is just tools and automation.
Students came to course focused in the tools.
So many people only focus on the tools side from DevOps.
DevOps is not only CI/CD and automation.
Convince people that DevOps is not purely technical and it must be part of an academy curriculum.</v>
      </c>
      <c r="F21" s="44" t="str">
        <f>IFERROR(__xludf.DUMMYFUNCTION("""COMPUTED_VALUE"""),"It's hard to show to students that DevOps is not all about tooling.")</f>
        <v>It's hard to show to students that DevOps is not all about tooling.</v>
      </c>
      <c r="G21" s="45" t="str">
        <f>if(codigoDDivergenteJuiz = "first",codigoDDivergenteCodigo1,if (codigoDDivergenteJuiz = "second",codigoDDivergenteCodigo2, if (codigoDDivergenteCodigo1 = "", codigoDDivergenteCodigo2, codigoDDivergenteCodigo1)))</f>
        <v>Student disinterest in cultural aspects of DevOps.</v>
      </c>
      <c r="H21" s="45" t="str">
        <f>if(codigoDDivergenteJuiz = "first",codigoDDivergenteTema1,if (codigoDDivergenteJuiz = "second",codigoDDivergenteTema2, if (codigoDDivergenteCodigo1 = "", codigoDDivergenteTema2, codigoDDivergenteTema1)))</f>
        <v>devops concepts</v>
      </c>
    </row>
    <row r="22">
      <c r="A22" s="44">
        <f>IFERROR(__xludf.DUMMYFUNCTION("""COMPUTED_VALUE"""),28.0)</f>
        <v>28</v>
      </c>
      <c r="B22" s="44" t="str">
        <f>IFERROR(__xludf.DUMMYFUNCTION("""COMPUTED_VALUE"""),"R1 / R3")</f>
        <v>R1 / R3</v>
      </c>
      <c r="C22" s="44" t="str">
        <f>IFERROR(__xludf.DUMMYFUNCTION("""COMPUTED_VALUE"""),"challenge")</f>
        <v>challenge</v>
      </c>
      <c r="D22" s="44" t="str">
        <f>IFERROR(__xludf.DUMMYFUNCTION("""COMPUTED_VALUE"""),"[...] in many cases the assessment is still based on the traditional test model or on some fixed assessment process, with an X list of questions or something similar.")</f>
        <v>[...] in many cases the assessment is still based on the traditional test model or on some fixed assessment process, with an X list of questions or something similar.</v>
      </c>
      <c r="E22" s="44" t="str">
        <f>IFERROR(__xludf.DUMMYFUNCTION("""COMPUTED_VALUE"""),"Difficulty dealing with assessments based on a traditional test model.")</f>
        <v>Difficulty dealing with assessments based on a traditional test model.</v>
      </c>
      <c r="F22" s="44"/>
      <c r="G22" s="45" t="str">
        <f>if(codigoDDivergenteJuiz = "first",codigoDDivergenteCodigo1,if (codigoDDivergenteJuiz = "second",codigoDDivergenteCodigo2, if (codigoDDivergenteCodigo1 = "", codigoDDivergenteCodigo2, codigoDDivergenteCodigo1)))</f>
        <v>Difficulty in using assessments with traditional tests</v>
      </c>
      <c r="H22" s="45" t="str">
        <f>if(codigoDDivergenteJuiz = "first",codigoDDivergenteTema1,if (codigoDDivergenteJuiz = "second",codigoDDivergenteTema2, if (codigoDDivergenteCodigo1 = "", codigoDDivergenteTema2, codigoDDivergenteTema1)))</f>
        <v>assessment</v>
      </c>
    </row>
    <row r="23">
      <c r="A23" s="44">
        <f>IFERROR(__xludf.DUMMYFUNCTION("""COMPUTED_VALUE"""),29.0)</f>
        <v>29</v>
      </c>
      <c r="B23" s="44" t="str">
        <f>IFERROR(__xludf.DUMMYFUNCTION("""COMPUTED_VALUE"""),"R2 / R3")</f>
        <v>R2 / R3</v>
      </c>
      <c r="C23" s="44" t="str">
        <f>IFERROR(__xludf.DUMMYFUNCTION("""COMPUTED_VALUE"""),"challenge")</f>
        <v>challenge</v>
      </c>
      <c r="D23" s="44" t="str">
        <f>IFERROR(__xludf.DUMMYFUNCTION("""COMPUTED_VALUE"""),"The DevOps concept, it's very open, right, it encompasses different areas between development, security and operations.
You cannot teach DevOps without experiencing DevOps, right? You cannot read in a book and want to teach DevOps because DevOps is a ver"&amp;"y practical discipline. There is a lot that happens in practice. So, there is a lot of doubt, from concepts, about Kubernetes configuration error, for example. So, these are things that we have to deal with [...] So, venturing out to teach DevOps, parachu"&amp;"ting, that is a big challenge because the level of knowledge you will have to collect for this is quite diverse and multidisciplinary.")</f>
        <v>The DevOps concept, it's very open, right, it encompasses different areas between development, security and operations.
You cannot teach DevOps without experiencing DevOps, right? You cannot read in a book and want to teach DevOps because DevOps is a very practical discipline. There is a lot that happens in practice. So, there is a lot of doubt, from concepts, about Kubernetes configuration error, for example. So, these are things that we have to deal with [...] So, venturing out to teach DevOps, parachuting, that is a big challenge because the level of knowledge you will have to collect for this is quite diverse and multidisciplinary.</v>
      </c>
      <c r="E23" s="44" t="str">
        <f>IFERROR(__xludf.DUMMYFUNCTION("""COMPUTED_VALUE"""),"The teaching of devops is multidisciplinary, covering different areas such as development, safety and operation.
There is a very diverse and multidisciplinary knowledge in teaching DevOps.")</f>
        <v>The teaching of devops is multidisciplinary, covering different areas such as development, safety and operation.
There is a very diverse and multidisciplinary knowledge in teaching DevOps.</v>
      </c>
      <c r="F23" s="44" t="str">
        <f>IFERROR(__xludf.DUMMYFUNCTION("""COMPUTED_VALUE"""),"The multidiscuplinary of DevOps is hard to deal with.")</f>
        <v>The multidiscuplinary of DevOps is hard to deal with.</v>
      </c>
      <c r="G23" s="45" t="str">
        <f>if(codigoDDivergenteJuiz = "first",codigoDDivergenteCodigo1,if (codigoDDivergenteJuiz = "second",codigoDDivergenteCodigo2, if (codigoDDivergenteCodigo1 = "", codigoDDivergenteCodigo2, codigoDDivergenteCodigo1)))</f>
        <v>Wide coverage of diverse areas by DevOps teaching.</v>
      </c>
      <c r="H23" s="45" t="str">
        <f>if(codigoDDivergenteJuiz = "first",codigoDDivergenteTema1,if (codigoDDivergenteJuiz = "second",codigoDDivergenteTema2, if (codigoDDivergenteCodigo1 = "", codigoDDivergenteTema2, codigoDDivergenteTema1)))</f>
        <v>curriculum</v>
      </c>
    </row>
    <row r="24">
      <c r="A24" s="44">
        <f>IFERROR(__xludf.DUMMYFUNCTION("""COMPUTED_VALUE"""),30.0)</f>
        <v>30</v>
      </c>
      <c r="B24" s="44" t="str">
        <f>IFERROR(__xludf.DUMMYFUNCTION("""COMPUTED_VALUE"""),"R1 / R2")</f>
        <v>R1 / R2</v>
      </c>
      <c r="C24" s="44" t="str">
        <f>IFERROR(__xludf.DUMMYFUNCTION("""COMPUTED_VALUE"""),"challenge")</f>
        <v>challenge</v>
      </c>
      <c r="D24" s="44" t="str">
        <f>IFERROR(__xludf.DUMMYFUNCTION("""COMPUTED_VALUE"""),"If the student is in a context where he has always been in the academic area or he has never had practical contact with any of these features of software development, it is likely that it will be much more challenging for him.
If the student is in a cont"&amp;"ext where he has always been in the academic area, or he has never had practical contact with any of these features of software development, [...] for the teacher, it becomes much more challenging to teach the DevOps concept this student profile.
The mai"&amp;"n challenge remain the able to, to, to teach the fundamentals. I think that this type, of course almost requires some type of industrial experience, because if you've not been in contact with the industry, there are so many things that are, um, more diffi"&amp;"cult to, to, to eally understand.
Teaching this course, it's possible to teach it with students with no experience, but it makes the thing like this. I've been trying to have interactions with the students about, I know certain topics become quite diffic"&amp;"ult because they cannot relate it to anything concrete.
It didn't work for some specific tools that they wanted to present using this a katacoda, uh, website.
I mean, there are students, so they are, they are not in the industry yet. And so that's, that"&amp;" would be the main part to make the student understand that it's, it's not about configuring Jenkins or having Docker running on their computer.
When you're talking to freshmen and they have no idea what's happening. Like they have a superficial idea of "&amp;"what's happening. Then it's like finding a way to explain them why the mindset is important.")</f>
        <v>If the student is in a context where he has always been in the academic area or he has never had practical contact with any of these features of software development, it is likely that it will be much more challenging for him.
If the student is in a context where he has always been in the academic area, or he has never had practical contact with any of these features of software development, [...] for the teacher, it becomes much more challenging to teach the DevOps concept this student profile.
The main challenge remain the able to, to, to teach the fundamentals. I think that this type, of course almost requires some type of industrial experience, because if you've not been in contact with the industry, there are so many things that are, um, more difficult to, to, to eally understand.
Teaching this course, it's possible to teach it with students with no experience, but it makes the thing like this. I've been trying to have interactions with the students about, I know certain topics become quite difficult because they cannot relate it to anything concrete.
It didn't work for some specific tools that they wanted to present using this a katacoda, uh, website.
I mean, there are students, so they are, they are not in the industry yet. And so that's, that would be the main part to make the student understand that it's, it's not about configuring Jenkins or having Docker running on their computer.
When you're talking to freshmen and they have no idea what's happening. Like they have a superficial idea of what's happening. Then it's like finding a way to explain them why the mindset is important.</v>
      </c>
      <c r="E24" s="44" t="str">
        <f>IFERROR(__xludf.DUMMYFUNCTION("""COMPUTED_VALUE"""),"There is a greater difficulty in understanding devops by students whose background is more academic, who have no experience in software development or direct operation.
It is difficult to teach students with more academic training that have no experience"&amp;" in software development or operation directly.
It is difficult to teach DevOps concepts without industry experience.
It is difficult to teach students with no industrial experience.
The students don't have the proper background to listen the lecture o"&amp;"f people from the industry.
The students without industry experience can have difficulty to understand that DevOps is much more than using tools.
It is difficult to explain the importance of DevOps mindset to students that have a superficial idea of wha"&amp;"t is happening to industry.")</f>
        <v>There is a greater difficulty in understanding devops by students whose background is more academic, who have no experience in software development or direct operation.
It is difficult to teach students with more academic training that have no experience in software development or operation directly.
It is difficult to teach DevOps concepts without industry experience.
It is difficult to teach students with no industrial experience.
The students don't have the proper background to listen the lecture of people from the industry.
The students without industry experience can have difficulty to understand that DevOps is much more than using tools.
It is difficult to explain the importance of DevOps mindset to students that have a superficial idea of what is happening to industry.</v>
      </c>
      <c r="F24" s="44" t="str">
        <f>IFERROR(__xludf.DUMMYFUNCTION("""COMPUTED_VALUE"""),"Teach DevOps concepts to students no industrial experience is hard.")</f>
        <v>Teach DevOps concepts to students no industrial experience is hard.</v>
      </c>
      <c r="G24" s="45" t="str">
        <f>if(codigoDDivergenteJuiz = "first",codigoDDivergenteCodigo1,if (codigoDDivergenteJuiz = "second",codigoDDivergenteCodigo2, if (codigoDDivergenteCodigo1 = "", codigoDDivergenteCodigo2, codigoDDivergenteCodigo1)))</f>
        <v>Greater difficulty in understanding by students with little experience in Dev and Ops</v>
      </c>
      <c r="H24" s="45" t="str">
        <f>if(codigoDDivergenteJuiz = "first",codigoDDivergenteTema1,if (codigoDDivergenteJuiz = "second",codigoDDivergenteTema2, if (codigoDDivergenteCodigo1 = "", codigoDDivergenteTema2, codigoDDivergenteTema1)))</f>
        <v>devops concepts</v>
      </c>
    </row>
    <row r="25">
      <c r="A25" s="44">
        <f>IFERROR(__xludf.DUMMYFUNCTION("""COMPUTED_VALUE"""),31.0)</f>
        <v>31</v>
      </c>
      <c r="B25" s="44" t="str">
        <f>IFERROR(__xludf.DUMMYFUNCTION("""COMPUTED_VALUE"""),"R1 / R3")</f>
        <v>R1 / R3</v>
      </c>
      <c r="C25" s="44" t="str">
        <f>IFERROR(__xludf.DUMMYFUNCTION("""COMPUTED_VALUE"""),"challenge")</f>
        <v>challenge</v>
      </c>
      <c r="D25" s="44" t="str">
        <f>IFERROR(__xludf.DUMMYFUNCTION("""COMPUTED_VALUE"""),"DevSecOps [...] is the type of discipline that requires strong knowledge in two areas, both distinct, in the security area, but at the same time in the development area to be able to find the link between the two and then yes, get to what the student.
Th"&amp;"e second point that the second challenge would be [...] skills.  I'm working on software engineering and I'm working on how to build software since the gate.")</f>
        <v>DevSecOps [...] is the type of discipline that requires strong knowledge in two areas, both distinct, in the security area, but at the same time in the development area to be able to find the link between the two and then yes, get to what the student.
The second point that the second challenge would be [...] skills.  I'm working on software engineering and I'm working on how to build software since the gate.</v>
      </c>
      <c r="E25" s="44" t="str">
        <f>IFERROR(__xludf.DUMMYFUNCTION("""COMPUTED_VALUE"""),"The teacher needs good technical knowledge in the areas of security (especially vulnerability management) and systems development to teach DevSecOps.
Skills to teach DevOps are challeging.")</f>
        <v>The teacher needs good technical knowledge in the areas of security (especially vulnerability management) and systems development to teach DevSecOps.
Skills to teach DevOps are challeging.</v>
      </c>
      <c r="F25" s="44" t="str">
        <f>IFERROR(__xludf.DUMMYFUNCTION("""COMPUTED_VALUE"""),"Skills to teach DevOps are challeging.")</f>
        <v>Skills to teach DevOps are challeging.</v>
      </c>
      <c r="G25" s="45" t="str">
        <f>if(codigoDDivergenteJuiz = "first",codigoDDivergenteCodigo1,if (codigoDDivergenteJuiz = "second",codigoDDivergenteCodigo2, if (codigoDDivergenteCodigo1 = "", codigoDDivergenteCodigo2, codigoDDivergenteCodigo1)))</f>
        <v>Teacher background necessary in DevSecOps teaching: security and development</v>
      </c>
      <c r="H25" s="45" t="str">
        <f>if(codigoDDivergenteJuiz = "first",codigoDDivergenteTema1,if (codigoDDivergenteJuiz = "second",codigoDDivergenteTema2, if (codigoDDivergenteCodigo1 = "", codigoDDivergenteTema2, codigoDDivergenteTema1)))</f>
        <v>class preparation</v>
      </c>
    </row>
    <row r="26">
      <c r="A26" s="44">
        <f>IFERROR(__xludf.DUMMYFUNCTION("""COMPUTED_VALUE"""),32.0)</f>
        <v>32</v>
      </c>
      <c r="B26" s="44" t="str">
        <f>IFERROR(__xludf.DUMMYFUNCTION("""COMPUTED_VALUE"""),"R2 / R3")</f>
        <v>R2 / R3</v>
      </c>
      <c r="C26" s="44" t="str">
        <f>IFERROR(__xludf.DUMMYFUNCTION("""COMPUTED_VALUE"""),"challenge")</f>
        <v>challenge</v>
      </c>
      <c r="D26" s="44" t="str">
        <f>IFERROR(__xludf.DUMMYFUNCTION("""COMPUTED_VALUE"""),"The second challenge is people with different experiences [...] you have mixed classes, so at a point in the course where you talk about a specific programming language to give an example. Some are more familiar than others. [...] So, knowing how to deal "&amp;"with these differences to make the course pleasant for everyone and comfortable for everyone, this is a great challenge.
We have a standard agreement, not an agreement. It is a convention that we have which is the following, people are different, see? [."&amp;"..] they have different backgrounds, they have different life stories, experiences that marked them in different ways.
In both classes that I taught [...], there was a challenge of class heterogeneity. You have very proficient people in the development a"&amp;"nd have no idea about the server, Linux and environment configuration, tools, the other spectrum. People who came from operational, System admin itself is not so proficient in the programming part, in code.
Each student in the class brings a different ex"&amp;"perience, different challenges, and trying to generalize this is more complicated.
One of the challenges is how do you teach people from these different backgrounds [...]  there is so much technology that comes together in DevOps, that the challenge is h"&amp;"ow do you get everyone up to speed on an even right? So that we can all move forward together and learn together. So, so that's a big challenge.
Some of them do have a lot of programming and are fairly mature, but because when we recruit, they be coming "&amp;"from different schools.")</f>
        <v>The second challenge is people with different experiences [...] you have mixed classes, so at a point in the course where you talk about a specific programming language to give an example. Some are more familiar than others. [...] So, knowing how to deal with these differences to make the course pleasant for everyone and comfortable for everyone, this is a great challenge.
We have a standard agreement, not an agreement. It is a convention that we have which is the following, people are different, see? [...] they have different backgrounds, they have different life stories, experiences that marked them in different ways.
In both classes that I taught [...], there was a challenge of class heterogeneity. You have very proficient people in the development and have no idea about the server, Linux and environment configuration, tools, the other spectrum. People who came from operational, System admin itself is not so proficient in the programming part, in code.
Each student in the class brings a different experience, different challenges, and trying to generalize this is more complicated.
One of the challenges is how do you teach people from these different backgrounds [...]  there is so much technology that comes together in DevOps, that the challenge is how do you get everyone up to speed on an even right? So that we can all move forward together and learn together. So, so that's a big challenge.
Some of them do have a lot of programming and are fairly mature, but because when we recruit, they be coming from different schools.</v>
      </c>
      <c r="E26" s="44" t="str">
        <f>IFERROR(__xludf.DUMMYFUNCTION("""COMPUTED_VALUE"""),"Difficulty in knowing how to deal with groups of students who have very different experiences.
Students in a class have different backgrounds, life stories and experiences.
Difficulty in preparing classes with students at different levels of proficiency"&amp;" in development and operation.
Dealing with the different experiences and perspectives of each student.
It's hard to teach people with different backgrounds.
Students have different backgrouds.")</f>
        <v>Difficulty in knowing how to deal with groups of students who have very different experiences.
Students in a class have different backgrounds, life stories and experiences.
Difficulty in preparing classes with students at different levels of proficiency in development and operation.
Dealing with the different experiences and perspectives of each student.
It's hard to teach people with different backgrounds.
Students have different backgrouds.</v>
      </c>
      <c r="F26" s="44" t="str">
        <f>IFERROR(__xludf.DUMMYFUNCTION("""COMPUTED_VALUE"""),"It's challeging to deal with students having different backgrounds.")</f>
        <v>It's challeging to deal with students having different backgrounds.</v>
      </c>
      <c r="G26" s="45" t="str">
        <f>if(codigoDDivergenteJuiz = "first",codigoDDivergenteCodigo1,if (codigoDDivergenteJuiz = "second",codigoDDivergenteCodigo2, if (codigoDDivergenteCodigo1 = "", codigoDDivergenteCodigo2, codigoDDivergenteCodigo1)))</f>
        <v>Difficulty in collaboration with groups of students who have very different experiences</v>
      </c>
      <c r="H26" s="45" t="str">
        <f>if(codigoDDivergenteJuiz = "first",codigoDDivergenteTema1,if (codigoDDivergenteJuiz = "second",codigoDDivergenteTema2, if (codigoDDivergenteCodigo1 = "", codigoDDivergenteTema2, codigoDDivergenteTema1)))</f>
        <v>strategies in course execution</v>
      </c>
    </row>
    <row r="27">
      <c r="A27" s="44">
        <f>IFERROR(__xludf.DUMMYFUNCTION("""COMPUTED_VALUE"""),27.0)</f>
        <v>27</v>
      </c>
      <c r="B27" s="44" t="str">
        <f>IFERROR(__xludf.DUMMYFUNCTION("""COMPUTED_VALUE"""),"R1 / R2")</f>
        <v>R1 / R2</v>
      </c>
      <c r="C27" s="44" t="str">
        <f>IFERROR(__xludf.DUMMYFUNCTION("""COMPUTED_VALUE"""),"challenge")</f>
        <v>challenge</v>
      </c>
      <c r="D27" s="44" t="str">
        <f>IFERROR(__xludf.DUMMYFUNCTION("""COMPUTED_VALUE"""),"As people are remote, basically for training, there are several factors that influence the didactics. The home environment, even, that the person, sometimes, does not live alone, or has sons, daughters. This is not a problem for people, for me, a teacher,"&amp;" as a teacher, but for a person, sometimes, you can't open a camera. You can't do one, so dealing with these differences within the pandemic is important. It's not a problem, but it's a point of e also the differences from the infrastructure that the pers"&amp;"on has to take the course. A machine a little newer, older, pre-configured for work, there are companies that already have the machine ready for day to day and the course uses other configurations which are challenges that we have with the students to tal"&amp;"k, look, I need version X, and the person does not have the installation permission.
")</f>
        <v>As people are remote, basically for training, there are several factors that influence the didactics. The home environment, even, that the person, sometimes, does not live alone, or has sons, daughters. This is not a problem for people, for me, a teacher, as a teacher, but for a person, sometimes, you can't open a camera. You can't do one, so dealing with these differences within the pandemic is important. It's not a problem, but it's a point of e also the differences from the infrastructure that the person has to take the course. A machine a little newer, older, pre-configured for work, there are companies that already have the machine ready for day to day and the course uses other configurations which are challenges that we have with the students to talk, look, I need version X, and the person does not have the installation permission.
</v>
      </c>
      <c r="E27" s="44" t="str">
        <f>IFERROR(__xludf.DUMMYFUNCTION("""COMPUTED_VALUE"""),"Difficulties in remote work with students: privacy, availability, infrastructure differences, environment configuration.")</f>
        <v>Difficulties in remote work with students: privacy, availability, infrastructure differences, environment configuration.</v>
      </c>
      <c r="F27" s="44"/>
      <c r="G27" s="45" t="str">
        <f>if(codigoDDivergenteJuiz = "first",codigoDDivergenteCodigo1,if (codigoDDivergenteJuiz = "second",codigoDDivergenteCodigo2, if (codigoDDivergenteCodigo1 = "", codigoDDivergenteCodigo2, codigoDDivergenteCodigo1)))</f>
        <v>Difficulty in remote work with students: privacy, availability, infrastructure difference, environment configuration.</v>
      </c>
      <c r="H27" s="45" t="str">
        <f>if(codigoDDivergenteJuiz = "first",codigoDDivergenteTema1,if (codigoDDivergenteJuiz = "second",codigoDDivergenteTema2, if (codigoDDivergenteCodigo1 = "", codigoDDivergenteTema2, codigoDDivergenteTema1)))</f>
        <v>strategies in course execution</v>
      </c>
    </row>
    <row r="28">
      <c r="A28" s="44">
        <f>IFERROR(__xludf.DUMMYFUNCTION("""COMPUTED_VALUE"""),33.0)</f>
        <v>33</v>
      </c>
      <c r="B28" s="44" t="str">
        <f>IFERROR(__xludf.DUMMYFUNCTION("""COMPUTED_VALUE"""),"R1 / R3")</f>
        <v>R1 / R3</v>
      </c>
      <c r="C28" s="44" t="str">
        <f>IFERROR(__xludf.DUMMYFUNCTION("""COMPUTED_VALUE"""),"desafio")</f>
        <v>desafio</v>
      </c>
      <c r="D28" s="44" t="str">
        <f>IFERROR(__xludf.DUMMYFUNCTION("""COMPUTED_VALUE"""),"Another challenge too, that [...] we changed our model from in-person to online, live. And then, we had this problem, right, that in the course there is a project, with certain technologies, but, in our case, we already have a laboratory that has everythi"&amp;"ng installed and configured. So, in this case, man, now, it's the student who's going to do his homework, right, how is he going to configure the infrastructure with that specific project and without having a headache, it won't interfere in class.")</f>
        <v>Another challenge too, that [...] we changed our model from in-person to online, live. And then, we had this problem, right, that in the course there is a project, with certain technologies, but, in our case, we already have a laboratory that has everything installed and configured. So, in this case, man, now, it's the student who's going to do his homework, right, how is he going to configure the infrastructure with that specific project and without having a headache, it won't interfere in class.</v>
      </c>
      <c r="E28" s="44" t="str">
        <f>IFERROR(__xludf.DUMMYFUNCTION("""COMPUTED_VALUE"""),"Students find it difficult to configure the tools on their own machines in remote teaching mode.")</f>
        <v>Students find it difficult to configure the tools on their own machines in remote teaching mode.</v>
      </c>
      <c r="F28" s="44"/>
      <c r="G28" s="45" t="str">
        <f>if(codigoDDivergenteJuiz = "first",codigoDDivergenteCodigo1,if (codigoDDivergenteJuiz = "second",codigoDDivergenteCodigo2, if (codigoDDivergenteCodigo1 = "", codigoDDivergenteCodigo2, codigoDDivergenteCodigo1)))</f>
        <v>difficult tools configuration on remote teaching</v>
      </c>
      <c r="H28" s="45" t="str">
        <f>if(codigoDDivergenteJuiz = "first",codigoDDivergenteTema1,if (codigoDDivergenteJuiz = "second",codigoDDivergenteTema2, if (codigoDDivergenteCodigo1 = "", codigoDDivergenteTema2, codigoDDivergenteTema1)))</f>
        <v>tool / technology</v>
      </c>
    </row>
    <row r="29">
      <c r="A29" s="44">
        <f>IFERROR(__xludf.DUMMYFUNCTION("""COMPUTED_VALUE"""),35.0)</f>
        <v>35</v>
      </c>
      <c r="B29" s="44" t="str">
        <f>IFERROR(__xludf.DUMMYFUNCTION("""COMPUTED_VALUE"""),"R2 / R3")</f>
        <v>R2 / R3</v>
      </c>
      <c r="C29" s="44" t="str">
        <f>IFERROR(__xludf.DUMMYFUNCTION("""COMPUTED_VALUE"""),"challenge")</f>
        <v>challenge</v>
      </c>
      <c r="D29" s="44" t="str">
        <f>IFERROR(__xludf.DUMMYFUNCTION("""COMPUTED_VALUE"""),"The DevOps concept, it's very open, right, it encompasses different areas between development, security and operations.
The expectation of students to deliver something, by hand, because they are technical people, is to be able to balance what is concept"&amp;" and what is practical and show the importance, the value of what you are explaining.
This part of culture and such, which is, let us say, more boring, right? That people go there wanting to see tools, right? So, how to balance, right? Talk a little non-"&amp;"technical things with technical things.
The challenge is this: having the non-technical part with the technical part, pondering both, and addressing these main topics, right?
The point is how do we adapt DevOps in concept in a way where we, we are still"&amp;" take keeping in mind the theoretical foundation, but where make it making it interesting from an industry or practical perspective.
The challenge is, in my opinion, is, is to, to strike this balance between, between, um, concreteness, like work with tec"&amp;"hnologies, because essentially, uh, DevOps is yes, a philosophy. 
To strike a balance. The students are of course, very keen about the products and telemetry about the product and, and, and, and building Docker containers. And, but what I want them to re"&amp;"flect, I mean, the whole goal of DevOps is to make the process effective, very, very efficient.
There's a gap between what we can experiment during the course, what can be presented during the invited lecture from the industry, for example, those kinds o"&amp;"f things and how, how whole, the things are connected together.")</f>
        <v>The DevOps concept, it's very open, right, it encompasses different areas between development, security and operations.
The expectation of students to deliver something, by hand, because they are technical people, is to be able to balance what is concept and what is practical and show the importance, the value of what you are explaining.
This part of culture and such, which is, let us say, more boring, right? That people go there wanting to see tools, right? So, how to balance, right? Talk a little non-technical things with technical things.
The challenge is this: having the non-technical part with the technical part, pondering both, and addressing these main topics, right?
The point is how do we adapt DevOps in concept in a way where we, we are still take keeping in mind the theoretical foundation, but where make it making it interesting from an industry or practical perspective.
The challenge is, in my opinion, is, is to, to strike this balance between, between, um, concreteness, like work with technologies, because essentially, uh, DevOps is yes, a philosophy. 
To strike a balance. The students are of course, very keen about the products and telemetry about the product and, and, and, and building Docker containers. And, but what I want them to reflect, I mean, the whole goal of DevOps is to make the process effective, very, very efficient.
There's a gap between what we can experiment during the course, what can be presented during the invited lecture from the industry, for example, those kinds of things and how, how whole, the things are connected together.</v>
      </c>
      <c r="E29" s="44" t="str">
        <f>IFERROR(__xludf.DUMMYFUNCTION("""COMPUTED_VALUE"""),"Difficulty in making the association between theory and practice.
Difficulty balancing theory foundations and make them interesting in the practice.
Difficulty in balancing the teaching of theory (culture) and practice (tools).
Challenge to balance the"&amp;"ory and practice.
It's challenging to teach DevOps concepts that have theoretical foundations and make them interesting from the industry perspective.
It is difficult to balance the concreteness (technologies) and the philosophy (concepts) of DevOps.
I"&amp;"t is difficult to balance the usage of tools and making the DevOps process effective and efficient.
There is a gap about how to connect the lectures with the labs.")</f>
        <v>Difficulty in making the association between theory and practice.
Difficulty balancing theory foundations and make them interesting in the practice.
Difficulty in balancing the teaching of theory (culture) and practice (tools).
Challenge to balance theory and practice.
It's challenging to teach DevOps concepts that have theoretical foundations and make them interesting from the industry perspective.
It is difficult to balance the concreteness (technologies) and the philosophy (concepts) of DevOps.
It is difficult to balance the usage of tools and making the DevOps process effective and efficient.
There is a gap about how to connect the lectures with the labs.</v>
      </c>
      <c r="F29" s="44" t="str">
        <f>IFERROR(__xludf.DUMMYFUNCTION("""COMPUTED_VALUE"""),"It's challeging to balance DevOps theory and practice.")</f>
        <v>It's challeging to balance DevOps theory and practice.</v>
      </c>
      <c r="G29" s="45" t="str">
        <f>if(codigoDDivergenteJuiz = "first",codigoDDivergenteCodigo1,if (codigoDDivergenteJuiz = "second",codigoDDivergenteCodigo2, if (codigoDDivergenteCodigo1 = "", codigoDDivergenteCodigo2, codigoDDivergenteCodigo1)))</f>
        <v>It's challeging to balance DevOps theory and practice.</v>
      </c>
      <c r="H29" s="45" t="str">
        <f>if(codigoDDivergenteJuiz = "first",codigoDDivergenteTema1,if (codigoDDivergenteJuiz = "second",codigoDDivergenteTema2, if (codigoDDivergenteCodigo1 = "", codigoDDivergenteTema2, codigoDDivergenteTema1)))</f>
        <v>devops concepts</v>
      </c>
    </row>
    <row r="30">
      <c r="A30" s="44">
        <f>IFERROR(__xludf.DUMMYFUNCTION("""COMPUTED_VALUE"""),36.0)</f>
        <v>36</v>
      </c>
      <c r="B30" s="44" t="str">
        <f>IFERROR(__xludf.DUMMYFUNCTION("""COMPUTED_VALUE"""),"R1 / R2")</f>
        <v>R1 / R2</v>
      </c>
      <c r="C30" s="44" t="str">
        <f>IFERROR(__xludf.DUMMYFUNCTION("""COMPUTED_VALUE"""),"challenge")</f>
        <v>challenge</v>
      </c>
      <c r="D30" s="24" t="str">
        <f>IFERROR(__xludf.DUMMYFUNCTION("""COMPUTED_VALUE"""),"For you to be able to look at all the students is very difficult, I understand why some cannot open the camera. It does not have the capacity or technology or structure to open, talk to you. Communication is broken, no matter how much we open it all the t"&amp;"ime, even if Zoom allows it. It is different from everyday life in the classroom because you cannot look at the student and see how he is reacting to that content. Not that you only adapt to one student, but you do not have the personal perception of doub"&amp;"t. Sometimes you can look at the student and say, oh, I think that was not clear to him. It is a challenge.
Because of the remote learning [...] I've been teaching my classes on zoom. And so, uh, that makes it very hard to do hands-on because I can't see"&amp;" the students right. While I'm doing the hands-on. So I can't see the puzzled look on their face and say, okay, I just lost them.
To make the lecture attractive students have to willing to interact. Right. Which is very difficult to do. And of course, uh"&amp;", zoom teaching, uh, makes it a challenge.")</f>
        <v>For you to be able to look at all the students is very difficult, I understand why some cannot open the camera. It does not have the capacity or technology or structure to open, talk to you. Communication is broken, no matter how much we open it all the time, even if Zoom allows it. It is different from everyday life in the classroom because you cannot look at the student and see how he is reacting to that content. Not that you only adapt to one student, but you do not have the personal perception of doubt. Sometimes you can look at the student and say, oh, I think that was not clear to him. It is a challenge.
Because of the remote learning [...] I've been teaching my classes on zoom. And so, uh, that makes it very hard to do hands-on because I can't see the students right. While I'm doing the hands-on. So I can't see the puzzled look on their face and say, okay, I just lost them.
To make the lecture attractive students have to willing to interact. Right. Which is very difficult to do. And of course, uh, zoom teaching, uh, makes it a challenge.</v>
      </c>
      <c r="E30" s="24" t="str">
        <f>IFERROR(__xludf.DUMMYFUNCTION("""COMPUTED_VALUE"""),"Difficulty in monitoring and keeping in touch with all students effectively during remote learning classes.
It's hard to do hands-on on remote learning because the teacher can't see the students face.
It is very difficult to interact with students in le"&amp;"cture remote teaching.")</f>
        <v>Difficulty in monitoring and keeping in touch with all students effectively during remote learning classes.
It's hard to do hands-on on remote learning because the teacher can't see the students face.
It is very difficult to interact with students in lecture remote teaching.</v>
      </c>
      <c r="F30" s="24" t="str">
        <f>IFERROR(__xludf.DUMMYFUNCTION("""COMPUTED_VALUE"""),"Comunications with students is hard when classes are remote.")</f>
        <v>Comunications with students is hard when classes are remote.</v>
      </c>
      <c r="G30" s="45" t="str">
        <f>if(codigoDDivergenteJuiz = "first",codigoDDivergenteCodigo1,if (codigoDDivergenteJuiz = "second",codigoDDivergenteCodigo2, if (codigoDDivergenteCodigo1 = "", codigoDDivergenteCodigo2, codigoDDivergenteCodigo1)))</f>
        <v>students' difficulty in remote learning: in monitoring and keeping in contact </v>
      </c>
      <c r="H30" s="45" t="str">
        <f>if(codigoDDivergenteJuiz = "first",codigoDDivergenteTema1,if (codigoDDivergenteJuiz = "second",codigoDDivergenteTema2, if (codigoDDivergenteCodigo1 = "", codigoDDivergenteTema2, codigoDDivergenteTema1)))</f>
        <v>strategies in course execution</v>
      </c>
    </row>
    <row r="31">
      <c r="A31" s="44">
        <f>IFERROR(__xludf.DUMMYFUNCTION("""COMPUTED_VALUE"""),37.0)</f>
        <v>37</v>
      </c>
      <c r="B31" s="44" t="str">
        <f>IFERROR(__xludf.DUMMYFUNCTION("""COMPUTED_VALUE"""),"R1 / R3")</f>
        <v>R1 / R3</v>
      </c>
      <c r="C31" s="44" t="str">
        <f>IFERROR(__xludf.DUMMYFUNCTION("""COMPUTED_VALUE"""),"challenge")</f>
        <v>challenge</v>
      </c>
      <c r="D31" s="24" t="str">
        <f>IFERROR(__xludf.DUMMYFUNCTION("""COMPUTED_VALUE"""),"There's still this challenge of understanding these tools, environment, network, configuration, you know? So, I think one challenge brings the other, right? I would say this is a challenge, too.
")</f>
        <v>There's still this challenge of understanding these tools, environment, network, configuration, you know? So, I think one challenge brings the other, right? I would say this is a challenge, too.
</v>
      </c>
      <c r="E31" s="44" t="str">
        <f>IFERROR(__xludf.DUMMYFUNCTION("""COMPUTED_VALUE"""),"Difficulty in understanding environment, tools and network configuration.")</f>
        <v>Difficulty in understanding environment, tools and network configuration.</v>
      </c>
      <c r="F31" s="44"/>
      <c r="G31" s="45" t="str">
        <f>if(codigoDDivergenteJuiz = "first",codigoDDivergenteCodigo1,if (codigoDDivergenteJuiz = "second",codigoDDivergenteCodigo2, if (codigoDDivergenteCodigo1 = "", codigoDDivergenteCodigo2, codigoDDivergenteCodigo1)))</f>
        <v>Difficulty in an understanding environment, tools and network configuration.</v>
      </c>
      <c r="H31" s="45" t="str">
        <f>if(codigoDDivergenteJuiz = "first",codigoDDivergenteTema1,if (codigoDDivergenteJuiz = "second",codigoDDivergenteTema2, if (codigoDDivergenteCodigo1 = "", codigoDDivergenteTema2, codigoDDivergenteTema1)))</f>
        <v>environment setup</v>
      </c>
    </row>
    <row r="32">
      <c r="A32" s="44">
        <f>IFERROR(__xludf.DUMMYFUNCTION("""COMPUTED_VALUE"""),38.0)</f>
        <v>38</v>
      </c>
      <c r="B32" s="44" t="str">
        <f>IFERROR(__xludf.DUMMYFUNCTION("""COMPUTED_VALUE"""),"R2 / R3")</f>
        <v>R2 / R3</v>
      </c>
      <c r="C32" s="44" t="str">
        <f>IFERROR(__xludf.DUMMYFUNCTION("""COMPUTED_VALUE"""),"challenge")</f>
        <v>challenge</v>
      </c>
      <c r="D32" s="24" t="str">
        <f>IFERROR(__xludf.DUMMYFUNCTION("""COMPUTED_VALUE"""),"When you go to configure the tools and such, as you were the one who developed the system, it becomes easier, I believe you understand all the automations and such, but at the same time I see that the guys have a lot of difficulty in doing it.")</f>
        <v>When you go to configure the tools and such, as you were the one who developed the system, it becomes easier, I believe you understand all the automations and such, but at the same time I see that the guys have a lot of difficulty in doing it.</v>
      </c>
      <c r="E32" s="44" t="str">
        <f>IFERROR(__xludf.DUMMYFUNCTION("""COMPUTED_VALUE"""),"There is difficulty for students to carry out the automation of the construction of systems used during the course.")</f>
        <v>There is difficulty for students to carry out the automation of the construction of systems used during the course.</v>
      </c>
      <c r="F32" s="44"/>
      <c r="G32" s="45" t="str">
        <f>if(codigoDDivergenteJuiz = "first",codigoDDivergenteCodigo1,if (codigoDDivergenteJuiz = "second",codigoDDivergenteCodigo2, if (codigoDDivergenteCodigo1 = "", codigoDDivergenteCodigo2, codigoDDivergenteCodigo1)))</f>
        <v>Students with difficulty in automating systems.</v>
      </c>
      <c r="H32" s="45" t="str">
        <f>if(codigoDDivergenteJuiz = "first",codigoDDivergenteTema1,if (codigoDDivergenteJuiz = "second",codigoDDivergenteTema2, if (codigoDDivergenteCodigo1 = "", codigoDDivergenteTema2, codigoDDivergenteTema1)))</f>
        <v>tool / technology</v>
      </c>
    </row>
    <row r="33">
      <c r="A33" s="44">
        <f>IFERROR(__xludf.DUMMYFUNCTION("""COMPUTED_VALUE"""),39.0)</f>
        <v>39</v>
      </c>
      <c r="B33" s="44" t="str">
        <f>IFERROR(__xludf.DUMMYFUNCTION("""COMPUTED_VALUE"""),"R1 / R2")</f>
        <v>R1 / R2</v>
      </c>
      <c r="C33" s="44" t="str">
        <f>IFERROR(__xludf.DUMMYFUNCTION("""COMPUTED_VALUE"""),"challenge")</f>
        <v>challenge</v>
      </c>
      <c r="D33" s="44" t="str">
        <f>IFERROR(__xludf.DUMMYFUNCTION("""COMPUTED_VALUE"""),"This part of the system, which I ask them to do to monitor the discipline, [...] ok, I'll give you a system, will it be an open source system? Me too, you know? Since I can give you a system, let's use a real system that isn't a joke. So, like, I think of"&amp;" a great open souce system there, that has testing, has a shitload of stuff, has continuous integration and has I don't know what, and you can select the test battery that will be used in each corner, You know?
You have to make a business case. It's a lo"&amp;"t harder to do.
The challenge sometimes is finding a good open source application, which is not too big also because you don't want the project to be too big. You don't want it to be too small, but you don't want too big. So, so finding something in betw"&amp;"een, which can be used. And, and, uh, so.
The challenge for us is getting an application, which is interesting [...] you know, like they can use.
The fact that DevOps is not just purely technical, it would be related to the fact that it's really complic"&amp;"ated teach on a given semester because you have, let's say 13 to 15 weeks, three hours a week, and then you have to go through you can't address like large, large project because it doesn't fit in the semester.")</f>
        <v>This part of the system, which I ask them to do to monitor the discipline, [...] ok, I'll give you a system, will it be an open source system? Me too, you know? Since I can give you a system, let's use a real system that isn't a joke. So, like, I think of a great open souce system there, that has testing, has a shitload of stuff, has continuous integration and has I don't know what, and you can select the test battery that will be used in each corner, You know?
You have to make a business case. It's a lot harder to do.
The challenge sometimes is finding a good open source application, which is not too big also because you don't want the project to be too big. You don't want it to be too small, but you don't want too big. So, so finding something in between, which can be used. And, and, uh, so.
The challenge for us is getting an application, which is interesting [...] you know, like they can use.
The fact that DevOps is not just purely technical, it would be related to the fact that it's really complicated teach on a given semester because you have, let's say 13 to 15 weeks, three hours a week, and then you have to go through you can't address like large, large project because it doesn't fit in the semester.</v>
      </c>
      <c r="E33" s="44" t="str">
        <f>IFERROR(__xludf.DUMMYFUNCTION("""COMPUTED_VALUE"""),"Difficulty selecting an example system realistic enough for students to use during the course.
It is hard to do a business case to demonstrate the importance of running devops.
It is difficult to find the right sized open source project to use. It is sh"&amp;"ould be not too small and not too bit.
It is difficult to find an interesting sample application that students use.
Students can't work on large projects in 13 to 15 weeks three hours a week course.")</f>
        <v>Difficulty selecting an example system realistic enough for students to use during the course.
It is hard to do a business case to demonstrate the importance of running devops.
It is difficult to find the right sized open source project to use. It is should be not too small and not too bit.
It is difficult to find an interesting sample application that students use.
Students can't work on large projects in 13 to 15 weeks three hours a week course.</v>
      </c>
      <c r="F33" s="44" t="str">
        <f>IFERROR(__xludf.DUMMYFUNCTION("""COMPUTED_VALUE"""),"It's challeging to find the right sized examples to teach DevOps.")</f>
        <v>It's challeging to find the right sized examples to teach DevOps.</v>
      </c>
      <c r="G33" s="45" t="str">
        <f>if(codigoDDivergenteJuiz = "first",codigoDDivergenteCodigo1,if (codigoDDivergenteJuiz = "second",codigoDDivergenteCodigo2, if (codigoDDivergenteCodigo1 = "", codigoDDivergenteCodigo2, codigoDDivergenteCodigo1)))</f>
        <v>Difficulty at select of a realistic example system for students</v>
      </c>
      <c r="H33" s="45" t="str">
        <f>if(codigoDDivergenteJuiz = "first",codigoDDivergenteTema1,if (codigoDDivergenteJuiz = "second",codigoDDivergenteTema2, if (codigoDDivergenteCodigo1 = "", codigoDDivergenteTema2, codigoDDivergenteTema1)))</f>
        <v>tool / technology</v>
      </c>
    </row>
    <row r="34">
      <c r="A34" s="44">
        <f>IFERROR(__xludf.DUMMYFUNCTION("""COMPUTED_VALUE"""),34.0)</f>
        <v>34</v>
      </c>
      <c r="B34" s="44" t="str">
        <f>IFERROR(__xludf.DUMMYFUNCTION("""COMPUTED_VALUE"""),"R1 / R3")</f>
        <v>R1 / R3</v>
      </c>
      <c r="C34" s="44" t="str">
        <f>IFERROR(__xludf.DUMMYFUNCTION("""COMPUTED_VALUE"""),"challenge")</f>
        <v>challenge</v>
      </c>
      <c r="D34" s="44" t="str">
        <f>IFERROR(__xludf.DUMMYFUNCTION("""COMPUTED_VALUE"""),"Doing infrastructure as code or forms of configuration management or containerization, or even the simpler things like treating build scripts as first-class citizens alongside your code, start to not be meaningful until you have code at some minimum scale"&amp;" where there's a certain minimum complexity, both in terms of construction.
If you give artificial example or small toy example, then it's just going about configuring small things. So naturally naturally what DevOps is, uh, it's really complicated to ma"&amp;"ke the students experience a cultural change and those kinds of things, because there's, well, there's no culture of, uh, industrial project in a school because it's academic project or it's teaching how to behave in a industrial project.
So it was lectu"&amp;"res and labs and like a small project, but it was wasn't really satisfactory.")</f>
        <v>Doing infrastructure as code or forms of configuration management or containerization, or even the simpler things like treating build scripts as first-class citizens alongside your code, start to not be meaningful until you have code at some minimum scale where there's a certain minimum complexity, both in terms of construction.
If you give artificial example or small toy example, then it's just going about configuring small things. So naturally naturally what DevOps is, uh, it's really complicated to make the students experience a cultural change and those kinds of things, because there's, well, there's no culture of, uh, industrial project in a school because it's academic project or it's teaching how to behave in a industrial project.
So it was lectures and labs and like a small project, but it was wasn't really satisfactory.</v>
      </c>
      <c r="E34" s="44" t="str">
        <f>IFERROR(__xludf.DUMMYFUNCTION("""COMPUTED_VALUE"""),"Devops concepts like configuration management and contaizerization need examples with mininum scale and complexity.
The students can have difficulty understanding the DevOps culture working on a small example.
Small project wasn't really satisfactory.")</f>
        <v>Devops concepts like configuration management and contaizerization need examples with mininum scale and complexity.
The students can have difficulty understanding the DevOps culture working on a small example.
Small project wasn't really satisfactory.</v>
      </c>
      <c r="F34" s="44" t="str">
        <f>IFERROR(__xludf.DUMMYFUNCTION("""COMPUTED_VALUE"""),"Small examples weren't really satisfactory.")</f>
        <v>Small examples weren't really satisfactory.</v>
      </c>
      <c r="G34" s="45" t="str">
        <f>if(codigoDDivergenteJuiz = "first",codigoDDivergenteCodigo1,if (codigoDDivergenteJuiz = "second",codigoDDivergenteCodigo2, if (codigoDDivergenteCodigo1 = "", codigoDDivergenteCodigo2, codigoDDivergenteCodigo1)))</f>
        <v>small examples not satisfactory.</v>
      </c>
      <c r="H34" s="45" t="str">
        <f>if(codigoDDivergenteJuiz = "first",codigoDDivergenteTema1,if (codigoDDivergenteJuiz = "second",codigoDDivergenteTema2, if (codigoDDivergenteCodigo1 = "", codigoDDivergenteTema2, codigoDDivergenteTema1)))</f>
        <v>tool / technology</v>
      </c>
    </row>
    <row r="35">
      <c r="A35" s="44">
        <f>IFERROR(__xludf.DUMMYFUNCTION("""COMPUTED_VALUE"""),40.0)</f>
        <v>40</v>
      </c>
      <c r="B35" s="44" t="str">
        <f>IFERROR(__xludf.DUMMYFUNCTION("""COMPUTED_VALUE"""),"R1 / R3")</f>
        <v>R1 / R3</v>
      </c>
      <c r="C35" s="44" t="str">
        <f>IFERROR(__xludf.DUMMYFUNCTION("""COMPUTED_VALUE"""),"challenge")</f>
        <v>challenge</v>
      </c>
      <c r="D35" s="44" t="str">
        <f>IFERROR(__xludf.DUMMYFUNCTION("""COMPUTED_VALUE"""),"So, because then, if I make this system, I can pass it on to people in a much simpler way, right? How do they do things and such, but then we also know that there are challenges, right? Wow, this is not that simple, will I have time to do it, right?
Ther"&amp;"e is no time for, for example, structuring complex environments [...] I know it is not the reality in the market, very few companies I had contact that set up their environment from scratch on the nail, in a set of internal servers.")</f>
        <v>So, because then, if I make this system, I can pass it on to people in a much simpler way, right? How do they do things and such, but then we also know that there are challenges, right? Wow, this is not that simple, will I have time to do it, right?
There is no time for, for example, structuring complex environments [...] I know it is not the reality in the market, very few companies I had contact that set up their environment from scratch on the nail, in a set of internal servers.</v>
      </c>
      <c r="E35" s="44" t="str">
        <f>IFERROR(__xludf.DUMMYFUNCTION("""COMPUTED_VALUE"""),"Lack of time for teachers to develop a ready-made and well-crafted example system.
Lack of time to structure more complex environments with students.")</f>
        <v>Lack of time for teachers to develop a ready-made and well-crafted example system.
Lack of time to structure more complex environments with students.</v>
      </c>
      <c r="F35" s="44" t="str">
        <f>IFERROR(__xludf.DUMMYFUNCTION("""COMPUTED_VALUE"""),"Lack of time to prepare classes to teach DevOps.")</f>
        <v>Lack of time to prepare classes to teach DevOps.</v>
      </c>
      <c r="G35" s="45" t="str">
        <f>if(codigoDDivergenteJuiz = "first",codigoDDivergenteCodigo1,if (codigoDDivergenteJuiz = "second",codigoDDivergenteCodigo2, if (codigoDDivergenteCodigo1 = "", codigoDDivergenteCodigo2, codigoDDivergenteCodigo1)))</f>
        <v>Little time during preparation of a well-designed example system by the teacher with little time </v>
      </c>
      <c r="H35" s="45" t="str">
        <f>if(codigoDDivergenteJuiz = "first",codigoDDivergenteTema1,if (codigoDDivergenteJuiz = "second",codigoDDivergenteTema2, if (codigoDDivergenteCodigo1 = "", codigoDDivergenteTema2, codigoDDivergenteTema1)))</f>
        <v>class preparation</v>
      </c>
    </row>
    <row r="36">
      <c r="A36" s="44">
        <f>IFERROR(__xludf.DUMMYFUNCTION("""COMPUTED_VALUE"""),41.0)</f>
        <v>41</v>
      </c>
      <c r="B36" s="44" t="str">
        <f>IFERROR(__xludf.DUMMYFUNCTION("""COMPUTED_VALUE"""),"R2 / R3")</f>
        <v>R2 / R3</v>
      </c>
      <c r="C36" s="44" t="str">
        <f>IFERROR(__xludf.DUMMYFUNCTION("""COMPUTED_VALUE"""),"challenge")</f>
        <v>challenge</v>
      </c>
      <c r="D36" s="44" t="str">
        <f>IFERROR(__xludf.DUMMYFUNCTION("""COMPUTED_VALUE"""),"If I make this system [...] We, professors, sometimes are not the most proficient programmers there are, so maybe what we write is not in accordance with what is happening in the market today.
So it is in line with what is happening in the community as a"&amp;" whole, right? Always trying to bring it, because this area, specifically, it runs very fast. So, every semester I run this discipline once a year, there are very strong updates on what is happening.
You have to change the tools almost every semester or "&amp;"every two years. You've got to look at what are the popular tools right now.
So the challenge for me is that the cloud is constantly evolving. And so every semester what I try to do in my class, in my labs, I have snapshots of screenshots and circles and"&amp;" arrows and, you know, click on this and move there. Um, and that changes constantly.
So there's a lot of preparation in making sure that the tools still work the way they should, that the cloud still works the way they should, um, that the code doesn't "&amp;"have vulnerabilities in it. And that you've got all the right versions of stuff. So that's a lot of, uh, preparation then of course, as I said, you know, new technologies, like when Kubernetes came around, you know, you have to add Kubernetes to the class"&amp;", constantly adding new technologies to the class move.
The big challenge for me right, is, uh, is keeping up with the technology [...] so it's just challenging to keep up with all the new technology that's out there in DevOps.
And so every so often I'l"&amp;"l get folks who have taken one class and then they start using the wrong version of the tool for the second class, because they have an upgraded or something along those lines. 
We move through some technology on the application side, we'll move through "&amp;"a little bit of technology on the operation side. What does change is trying to keep up to speed and keep the class adjusted for, uh, what the current state of the art and the current understanding of best practices.
There's always double checking the te"&amp;"chnology, making sure that if you've got any automation in your class, it still works after all of the API changes may have gone into effect on say your cloud provider or, or whatever, making sure you're on the latest and greatest versions of whatever too"&amp;"ling that you're going to use and make sure that the hat that hasn't broken things and always missing something and suddenly be scrambling before class going, oh no, no, no. They've changed something. I need to figure this out.
Um, we got bit by that qui"&amp;"te a few times where we built the stack plus G unit plus, uh, we use, um, uh, some additional libraries for front-end, uh, some scripts for building Docker images, some version of Maven, and you need an Artifactory, et cetera. You can get everything set u"&amp;"p, everything works fine up to June. Then you go on summer break and then the next session comes up in September and you use what you've built well, too bad. In the middle of the summer, Jay, you need to release a new version that requires where some acts"&amp;" of Maven that requires this version of the stack of the student install from scratch on their machine.
The main, uh, challenge that we had was that DevOps is, there are many too many tools and, uh, many of these tools are not solid and are not commonly "&amp;"used yet.
 I mean devops is always evolving and we are not what we consider DevOps here is different for, from what was considered DevOps, let's say five years ago.
The lab session, they have to be like really precise. You have to, it would work one day"&amp;". And then the second day it doesn't work because there's an upgrade in the Docker API that makes things totally different. Or you you're, you're using it in the Dockerfile, you're using keywords. And then suddenly the new version of Docker decide that th"&amp;"ose keywords are deprecated and that you should not, uh, declared the authors this way.
So keeping things up to date and making things work like really working in, in, in being able to run the labs, not in panic mode, that everything was fragile and ever"&amp;"ything was able to collapse at any point was really stressful. And of course, a lot of things, I think it costs me like twice or three times the cost of preparing a regular course.")</f>
        <v>If I make this system [...] We, professors, sometimes are not the most proficient programmers there are, so maybe what we write is not in accordance with what is happening in the market today.
So it is in line with what is happening in the community as a whole, right? Always trying to bring it, because this area, specifically, it runs very fast. So, every semester I run this discipline once a year, there are very strong updates on what is happening.
You have to change the tools almost every semester or every two years. You've got to look at what are the popular tools right now.
So the challenge for me is that the cloud is constantly evolving. And so every semester what I try to do in my class, in my labs, I have snapshots of screenshots and circles and arrows and, you know, click on this and move there. Um, and that changes constantly.
So there's a lot of preparation in making sure that the tools still work the way they should, that the cloud still works the way they should, um, that the code doesn't have vulnerabilities in it. And that you've got all the right versions of stuff. So that's a lot of, uh, preparation then of course, as I said, you know, new technologies, like when Kubernetes came around, you know, you have to add Kubernetes to the class, constantly adding new technologies to the class move.
The big challenge for me right, is, uh, is keeping up with the technology [...] so it's just challenging to keep up with all the new technology that's out there in DevOps.
And so every so often I'll get folks who have taken one class and then they start using the wrong version of the tool for the second class, because they have an upgraded or something along those lines. 
We move through some technology on the application side, we'll move through a little bit of technology on the operation side. What does change is trying to keep up to speed and keep the class adjusted for, uh, what the current state of the art and the current understanding of best practices.
There's always double checking the technology, making sure that if you've got any automation in your class, it still works after all of the API changes may have gone into effect on say your cloud provider or, or whatever, making sure you're on the latest and greatest versions of whatever tooling that you're going to use and make sure that the hat that hasn't broken things and always missing something and suddenly be scrambling before class going, oh no, no, no. They've changed something. I need to figure this out.
Um, we got bit by that quite a few times where we built the stack plus G unit plus, uh, we use, um, uh, some additional libraries for front-end, uh, some scripts for building Docker images, some version of Maven, and you need an Artifactory, et cetera. You can get everything set up, everything works fine up to June. Then you go on summer break and then the next session comes up in September and you use what you've built well, too bad. In the middle of the summer, Jay, you need to release a new version that requires where some acts of Maven that requires this version of the stack of the student install from scratch on their machine.
The main, uh, challenge that we had was that DevOps is, there are many too many tools and, uh, many of these tools are not solid and are not commonly used yet.
 I mean devops is always evolving and we are not what we consider DevOps here is different for, from what was considered DevOps, let's say five years ago.
The lab session, they have to be like really precise. You have to, it would work one day. And then the second day it doesn't work because there's an upgrade in the Docker API that makes things totally different. Or you you're, you're using it in the Dockerfile, you're using keywords. And then suddenly the new version of Docker decide that those keywords are deprecated and that you should not, uh, declared the authors this way.
So keeping things up to date and making things work like really working in, in, in being able to run the labs, not in panic mode, that everything was fragile and everything was able to collapse at any point was really stressful. And of course, a lot of things, I think it costs me like twice or three times the cost of preparing a regular course.</v>
      </c>
      <c r="E36" s="44" t="str">
        <f>IFERROR(__xludf.DUMMYFUNCTION("""COMPUTED_VALUE"""),"Difficulty for teachers to keep up with the state of the art in the industry.
It is important to be up-to-date on industry tools every six months.
Every semester is necessary to update tools used on course.
The cloud are constantly evolving and it brea"&amp;"ks labs every semester.
Lots of preparation to keep tools and environment working, secure and updated.
Keep up with new technologies is challenging.
Tool versions upgrades require updating the labs during the classes.
It is difficult to keep up the cu"&amp;"rrent state of art of devops industry practices.
Devops tools and APIs change fast and it may break your labs.
Exercises can be outdated in few months.
Many tools and some are not mature and not commonly used yet.
DevOps is always evolving fast in the"&amp;" last five years.
Lab session works one day and then doesn't work because there are changes like update in Docker API.
Keeping things up to date and making things working the labs is really stressful and time costing.")</f>
        <v>Difficulty for teachers to keep up with the state of the art in the industry.
It is important to be up-to-date on industry tools every six months.
Every semester is necessary to update tools used on course.
The cloud are constantly evolving and it breaks labs every semester.
Lots of preparation to keep tools and environment working, secure and updated.
Keep up with new technologies is challenging.
Tool versions upgrades require updating the labs during the classes.
It is difficult to keep up the current state of art of devops industry practices.
Devops tools and APIs change fast and it may break your labs.
Exercises can be outdated in few months.
Many tools and some are not mature and not commonly used yet.
DevOps is always evolving fast in the last five years.
Lab session works one day and then doesn't work because there are changes like update in Docker API.
Keeping things up to date and making things working the labs is really stressful and time costing.</v>
      </c>
      <c r="F36" s="44" t="str">
        <f>IFERROR(__xludf.DUMMYFUNCTION("""COMPUTED_VALUE"""),"It's challeging to be up-to-date with industrial DevOps tools.")</f>
        <v>It's challeging to be up-to-date with industrial DevOps tools.</v>
      </c>
      <c r="G36" s="45" t="str">
        <f>if(codigoDDivergenteJuiz = "first",codigoDDivergenteCodigo1,if (codigoDDivergenteJuiz = "second",codigoDDivergenteCodigo2, if (codigoDDivergenteCodigo1 = "", codigoDDivergenteCodigo2, codigoDDivergenteCodigo1)))</f>
        <v>teacher constantly updated with the industry</v>
      </c>
      <c r="H36" s="45" t="str">
        <f>if(codigoDDivergenteJuiz = "first",codigoDDivergenteTema1,if (codigoDDivergenteJuiz = "second",codigoDDivergenteTema2, if (codigoDDivergenteCodigo1 = "", codigoDDivergenteTema2, codigoDDivergenteTema1)))</f>
        <v>class preparation</v>
      </c>
    </row>
    <row r="37">
      <c r="A37" s="44">
        <f>IFERROR(__xludf.DUMMYFUNCTION("""COMPUTED_VALUE"""),42.0)</f>
        <v>42</v>
      </c>
      <c r="B37" s="44" t="str">
        <f>IFERROR(__xludf.DUMMYFUNCTION("""COMPUTED_VALUE"""),"R1 / R2")</f>
        <v>R1 / R2</v>
      </c>
      <c r="C37" s="44" t="str">
        <f>IFERROR(__xludf.DUMMYFUNCTION("""COMPUTED_VALUE"""),"challenge")</f>
        <v>challenge</v>
      </c>
      <c r="D37" s="44" t="str">
        <f>IFERROR(__xludf.DUMMYFUNCTION("""COMPUTED_VALUE"""),"[...] it turned out that a lot of people did it in [...] different environments [...] for us, teacher, often we are not proficient in all of these.
Yeah, so challenges, um, differences in people's environments, their hardware, for example, every term, yo"&amp;"u know, if I want people to do something locally with, let's say, setting up virtual machines or containers or, or whatever, there's always some buddy who has some strange hardware configuration that causes problems.
We have some students on Mac, some on"&amp;" Linux, some on windows, some have, um, computers that are led by the university. They came up to class with computers, with family version of windows that cannot run Docker because there is no hypervisor in it.
")</f>
        <v>[...] it turned out that a lot of people did it in [...] different environments [...] for us, teacher, often we are not proficient in all of these.
Yeah, so challenges, um, differences in people's environments, their hardware, for example, every term, you know, if I want people to do something locally with, let's say, setting up virtual machines or containers or, or whatever, there's always some buddy who has some strange hardware configuration that causes problems.
We have some students on Mac, some on Linux, some on windows, some have, um, computers that are led by the university. They came up to class with computers, with family version of windows that cannot run Docker because there is no hypervisor in it.
</v>
      </c>
      <c r="E37" s="44" t="str">
        <f>IFERROR(__xludf.DUMMYFUNCTION("""COMPUTED_VALUE"""),"Difficulty supporting the use of several different tools and environments at the same time.
Differences in people's environments and their hardware configuration cause problems.
Different types of OSs can difficult the flow of environment setup.")</f>
        <v>Difficulty supporting the use of several different tools and environments at the same time.
Differences in people's environments and their hardware configuration cause problems.
Different types of OSs can difficult the flow of environment setup.</v>
      </c>
      <c r="F37" s="44" t="str">
        <f>IFERROR(__xludf.DUMMYFUNCTION("""COMPUTED_VALUE"""),"It's difficult to deal with different hardware and software.")</f>
        <v>It's difficult to deal with different hardware and software.</v>
      </c>
      <c r="G37" s="45" t="str">
        <f>if(codigoDDivergenteJuiz = "first",codigoDDivergenteCodigo1,if (codigoDDivergenteJuiz = "second",codigoDDivergenteCodigo2, if (codigoDDivergenteCodigo1 = "", codigoDDivergenteCodigo2, codigoDDivergenteCodigo1)))</f>
        <v>Difficulty supporting multiple tools and environments</v>
      </c>
      <c r="H37" s="45" t="str">
        <f>if(codigoDDivergenteJuiz = "first",codigoDDivergenteTema1,if (codigoDDivergenteJuiz = "second",codigoDDivergenteTema2, if (codigoDDivergenteCodigo1 = "", codigoDDivergenteTema2, codigoDDivergenteTema1)))</f>
        <v>tool / technology</v>
      </c>
    </row>
    <row r="38">
      <c r="A38" s="44">
        <f>IFERROR(__xludf.DUMMYFUNCTION("""COMPUTED_VALUE"""),43.0)</f>
        <v>43</v>
      </c>
      <c r="B38" s="44" t="str">
        <f>IFERROR(__xludf.DUMMYFUNCTION("""COMPUTED_VALUE"""),"R1 / R3")</f>
        <v>R1 / R3</v>
      </c>
      <c r="C38" s="44" t="str">
        <f>IFERROR(__xludf.DUMMYFUNCTION("""COMPUTED_VALUE"""),"challenge")</f>
        <v>challenge</v>
      </c>
      <c r="D38" s="24" t="str">
        <f>IFERROR(__xludf.DUMMYFUNCTION("""COMPUTED_VALUE"""),"Then the boy will go in a week, he will only have his entire environment set up, right? But, this creates challenges too, right? That it will be difficult to do this and such.
We had to work to do on the labs. ...  the assistant I had two for the labs wa"&amp;"s too busy with too many things.
That's really complicated as, um, like as a teacher, uh, then we decided to move for on premises, uh, version with our own, uh, systems for deployment building and everything, uh, another disaster, because then it require"&amp;"s a lot of maintenance and a lot of them, of course, or the students are going to work like in the two days before the room, the, um, the delivery of the project.")</f>
        <v>Then the boy will go in a week, he will only have his entire environment set up, right? But, this creates challenges too, right? That it will be difficult to do this and such.
We had to work to do on the labs. ...  the assistant I had two for the labs was too busy with too many things.
That's really complicated as, um, like as a teacher, uh, then we decided to move for on premises, uh, version with our own, uh, systems for deployment building and everything, uh, another disaster, because then it requires a lot of maintenance and a lot of them, of course, or the students are going to work like in the two days before the room, the, um, the delivery of the project.</v>
      </c>
      <c r="E38" s="24" t="str">
        <f>IFERROR(__xludf.DUMMYFUNCTION("""COMPUTED_VALUE"""),"A lot of time preparing the initial environment setup of students.
Lots of work to setup the labs even if you have teacher assistants.
On premises systems for deployment everything is complicated because it requires a lot of maintenance and time.")</f>
        <v>A lot of time preparing the initial environment setup of students.
Lots of work to setup the labs even if you have teacher assistants.
On premises systems for deployment everything is complicated because it requires a lot of maintenance and time.</v>
      </c>
      <c r="F38" s="24" t="str">
        <f>IFERROR(__xludf.DUMMYFUNCTION("""COMPUTED_VALUE"""),"Prepare the labs environment requires a lot of time.")</f>
        <v>Prepare the labs environment requires a lot of time.</v>
      </c>
      <c r="G38" s="45" t="str">
        <f>if(codigoDDivergenteJuiz = "first",codigoDDivergenteCodigo1,if (codigoDDivergenteJuiz = "second",codigoDDivergenteCodigo2, if (codigoDDivergenteCodigo1 = "", codigoDDivergenteCodigo2, codigoDDivergenteCodigo1)))</f>
        <v>No time for initial setup of student environment</v>
      </c>
      <c r="H38" s="45" t="str">
        <f>if(codigoDDivergenteJuiz = "first",codigoDDivergenteTema1,if (codigoDDivergenteJuiz = "second",codigoDDivergenteTema2, if (codigoDDivergenteCodigo1 = "", codigoDDivergenteTema2, codigoDDivergenteTema1)))</f>
        <v>environment setup</v>
      </c>
    </row>
    <row r="39">
      <c r="A39" s="44">
        <f>IFERROR(__xludf.DUMMYFUNCTION("""COMPUTED_VALUE"""),44.0)</f>
        <v>44</v>
      </c>
      <c r="B39" s="44" t="str">
        <f>IFERROR(__xludf.DUMMYFUNCTION("""COMPUTED_VALUE"""),"R2 / R3")</f>
        <v>R2 / R3</v>
      </c>
      <c r="C39" s="44" t="str">
        <f>IFERROR(__xludf.DUMMYFUNCTION("""COMPUTED_VALUE"""),"challenge")</f>
        <v>challenge</v>
      </c>
      <c r="D39" s="44" t="str">
        <f>IFERROR(__xludf.DUMMYFUNCTION("""COMPUTED_VALUE"""),"Material heterogeneity is the biggest challenge. You have to set up a class sewing the fonts, right?
When I started preparing, there was not a buy the book, a ""kit"" a suggestion for a course, there for you to start, it is a good start, right?")</f>
        <v>Material heterogeneity is the biggest challenge. You have to set up a class sewing the fonts, right?
When I started preparing, there was not a buy the book, a "kit" a suggestion for a course, there for you to start, it is a good start, right?</v>
      </c>
      <c r="E39" s="44" t="str">
        <f>IFERROR(__xludf.DUMMYFUNCTION("""COMPUTED_VALUE"""),"There is no unified material for teaching DevOps.
There is no complete material to teach DevOps.")</f>
        <v>There is no unified material for teaching DevOps.
There is no complete material to teach DevOps.</v>
      </c>
      <c r="F39" s="44" t="str">
        <f>IFERROR(__xludf.DUMMYFUNCTION("""COMPUTED_VALUE"""),"Unknown unified material for teaching DevOps.")</f>
        <v>Unknown unified material for teaching DevOps.</v>
      </c>
      <c r="G39" s="45" t="str">
        <f>if(codigoDDivergenteJuiz = "first",codigoDDivergenteCodigo1,if (codigoDDivergenteJuiz = "second",codigoDDivergenteCodigo2, if (codigoDDivergenteCodigo1 = "", codigoDDivergenteCodigo2, codigoDDivergenteCodigo1)))</f>
        <v>There is no unified material for DevOps teaching.</v>
      </c>
      <c r="H39" s="45" t="str">
        <f>if(codigoDDivergenteJuiz = "first",codigoDDivergenteTema1,if (codigoDDivergenteJuiz = "second",codigoDDivergenteTema2, if (codigoDDivergenteCodigo1 = "", codigoDDivergenteTema2, codigoDDivergenteTema1)))</f>
        <v>class preparation</v>
      </c>
    </row>
    <row r="40">
      <c r="A40" s="44">
        <f>IFERROR(__xludf.DUMMYFUNCTION("""COMPUTED_VALUE"""),45.0)</f>
        <v>45</v>
      </c>
      <c r="B40" s="44" t="str">
        <f>IFERROR(__xludf.DUMMYFUNCTION("""COMPUTED_VALUE"""),"R1 / R2")</f>
        <v>R1 / R2</v>
      </c>
      <c r="C40" s="44" t="str">
        <f>IFERROR(__xludf.DUMMYFUNCTION("""COMPUTED_VALUE"""),"challenge")</f>
        <v>challenge</v>
      </c>
      <c r="D40" s="44" t="str">
        <f>IFERROR(__xludf.DUMMYFUNCTION("""COMPUTED_VALUE"""),"Because you take so many different things that I feel a bit sorry, in quotes, to pass everything on to the students. ... So, I think it's a difficulty, from the point of view, like, the pedagogical type of setting up the classes and such. It would be that"&amp;", the condensation of everything, let's say, the centralization of the material in what you produced, right?
I use a couple of books, um, and, uh, as I said, to to be able to own, um, they cover many different topics. And so I tried to use one over, two "&amp;"picks in it. [...] I still think that, uh, the idea scenario would have been able, will have been, to be able to do a situation where I can take several topics in the book and then cover them from the beginning to them. But, uh, I haven't been able to fin"&amp;"d that possible yet.")</f>
        <v>Because you take so many different things that I feel a bit sorry, in quotes, to pass everything on to the students. ... So, I think it's a difficulty, from the point of view, like, the pedagogical type of setting up the classes and such. It would be that, the condensation of everything, let's say, the centralization of the material in what you produced, right?
I use a couple of books, um, and, uh, as I said, to to be able to own, um, they cover many different topics. And so I tried to use one over, two picks in it. [...] I still think that, uh, the idea scenario would have been able, will have been, to be able to do a situation where I can take several topics in the book and then cover them from the beginning to them. But, uh, I haven't been able to find that possible yet.</v>
      </c>
      <c r="E40" s="44" t="str">
        <f>IFERROR(__xludf.DUMMYFUNCTION("""COMPUTED_VALUE"""),"Difficulty in resuming sufficient and suitable material for class lessons.
It is necessary to use multiple books because they do not cover all concepts.")</f>
        <v>Difficulty in resuming sufficient and suitable material for class lessons.
It is necessary to use multiple books because they do not cover all concepts.</v>
      </c>
      <c r="F40" s="44" t="str">
        <f>IFERROR(__xludf.DUMMYFUNCTION("""COMPUTED_VALUE"""),"Difficulty in using multiple materials to create the classes.")</f>
        <v>Difficulty in using multiple materials to create the classes.</v>
      </c>
      <c r="G40" s="45" t="str">
        <f>if(codigoDDivergenteJuiz = "first",codigoDDivergenteCodigo1,if (codigoDDivergenteJuiz = "second",codigoDDivergenteCodigo2, if (codigoDDivergenteCodigo1 = "", codigoDDivergenteCodigo2, codigoDDivergenteCodigo1)))</f>
        <v>Difficulty in condensing suitable material for classes</v>
      </c>
      <c r="H40" s="45" t="str">
        <f>if(codigoDDivergenteJuiz = "first",codigoDDivergenteTema1,if (codigoDDivergenteJuiz = "second",codigoDDivergenteTema2, if (codigoDDivergenteCodigo1 = "", codigoDDivergenteTema2, codigoDDivergenteTema1)))</f>
        <v>class preparation</v>
      </c>
    </row>
    <row r="41">
      <c r="A41" s="44">
        <f>IFERROR(__xludf.DUMMYFUNCTION("""COMPUTED_VALUE"""),46.0)</f>
        <v>46</v>
      </c>
      <c r="B41" s="44" t="str">
        <f>IFERROR(__xludf.DUMMYFUNCTION("""COMPUTED_VALUE"""),"R1 / R3")</f>
        <v>R1 / R3</v>
      </c>
      <c r="C41" s="44" t="str">
        <f>IFERROR(__xludf.DUMMYFUNCTION("""COMPUTED_VALUE"""),"challenge")</f>
        <v>challenge</v>
      </c>
      <c r="D41" s="44" t="str">
        <f>IFERROR(__xludf.DUMMYFUNCTION("""COMPUTED_VALUE"""),"And sometimes you took a little bit of such a thing, right? Not all that text was relevant, you know? So, your material ends up becoming the only source, let's put it that way. For students, I've already figured that out, like, you know? People studied an"&amp;"d such, they went a lot for the material I prepared. When the material I was preparing was, let's say, it was a set of slides, right? Which doesn't serve that much, from the point of view, right, from having a more in-depth reading and such. So, I think i"&amp;"t's a difficulty, from the point of view, like, the pedagogical type of setting up the classes and such.
There are concepts of collaboration, communication, organization that are a little subjective, right? So, it's a little harder for you to evaluate.
S"&amp;"o, all this traceability of what was done to what they are going to do, was the very difficult part [...] So, you can't think about doing a theoretical thing, you have to have practice, you can't just to be just practical exercises, it has to have a whole"&amp;" journey, a well-established train of thought. It was quite tricky to get to that topic.
 So part one is the three ways, just give you an overview of the, each of the three way. And then you have one part essentially for each of the three ways. And I thi"&amp;"nk that the first two parts of the book you can find online, but, but not, not as a, someone who puts it in PDF, but from the publisher, from, from revolution, publisher and official version. So you can read it from the way.")</f>
        <v>And sometimes you took a little bit of such a thing, right? Not all that text was relevant, you know? So, your material ends up becoming the only source, let's put it that way. For students, I've already figured that out, like, you know? People studied and such, they went a lot for the material I prepared. When the material I was preparing was, let's say, it was a set of slides, right? Which doesn't serve that much, from the point of view, right, from having a more in-depth reading and such. So, I think it's a difficulty, from the point of view, like, the pedagogical type of setting up the classes and such.
There are concepts of collaboration, communication, organization that are a little subjective, right? So, it's a little harder for you to evaluate.
So, all this traceability of what was done to what they are going to do, was the very difficult part [...] So, you can't think about doing a theoretical thing, you have to have practice, you can't just to be just practical exercises, it has to have a whole journey, a well-established train of thought. It was quite tricky to get to that topic.
 So part one is the three ways, just give you an overview of the, each of the three way. And then you have one part essentially for each of the three ways. And I think that the first two parts of the book you can find online, but, but not, not as a, someone who puts it in PDF, but from the publisher, from, from revolution, publisher and official version. So you can read it from the way.</v>
      </c>
      <c r="E41" s="44" t="str">
        <f>IFERROR(__xludf.DUMMYFUNCTION("""COMPUTED_VALUE"""),"Students rely heavily on the teacher's slide material, which is often limited.
The students don't read the suggested book even if you strongly encourage them.
Students tend to get short free versions and not full versions of books.")</f>
        <v>Students rely heavily on the teacher's slide material, which is often limited.
The students don't read the suggested book even if you strongly encourage them.
Students tend to get short free versions and not full versions of books.</v>
      </c>
      <c r="F41" s="44" t="str">
        <f>IFERROR(__xludf.DUMMYFUNCTION("""COMPUTED_VALUE"""),"Students rely on limited material instead of reading books.")</f>
        <v>Students rely on limited material instead of reading books.</v>
      </c>
      <c r="G41" s="45" t="str">
        <f>if(codigoDDivergenteJuiz = "first",codigoDDivergenteCodigo1,if (codigoDDivergenteJuiz = "second",codigoDDivergenteCodigo2, if (codigoDDivergenteCodigo1 = "", codigoDDivergenteCodigo2, codigoDDivergenteCodigo1)))</f>
        <v>Strong reliance on student-limited support material</v>
      </c>
      <c r="H41" s="45" t="str">
        <f>if(codigoDDivergenteJuiz = "first",codigoDDivergenteTema1,if (codigoDDivergenteJuiz = "second",codigoDDivergenteTema2, if (codigoDDivergenteCodigo1 = "", codigoDDivergenteTema2, codigoDDivergenteTema1)))</f>
        <v>strategies in course execution</v>
      </c>
    </row>
    <row r="42">
      <c r="A42" s="44">
        <f>IFERROR(__xludf.DUMMYFUNCTION("""COMPUTED_VALUE"""),47.0)</f>
        <v>47</v>
      </c>
      <c r="B42" s="44" t="str">
        <f>IFERROR(__xludf.DUMMYFUNCTION("""COMPUTED_VALUE"""),"R2 / R3")</f>
        <v>R2 / R3</v>
      </c>
      <c r="C42" s="44" t="str">
        <f>IFERROR(__xludf.DUMMYFUNCTION("""COMPUTED_VALUE"""),"challenge")</f>
        <v>challenge</v>
      </c>
      <c r="D42" s="44" t="str">
        <f>IFERROR(__xludf.DUMMYFUNCTION("""COMPUTED_VALUE"""),"There are concepts of collaboration, communication, organization that are a little subjective, right? So, it's a little harder for you to evaluate.")</f>
        <v>There are concepts of collaboration, communication, organization that are a little subjective, right? So, it's a little harder for you to evaluate.</v>
      </c>
      <c r="E42" s="44" t="str">
        <f>IFERROR(__xludf.DUMMYFUNCTION("""COMPUTED_VALUE"""),"The DevOps concepts collaboration, communication and organization are difficult to assess due to the high degree of subjectivity.")</f>
        <v>The DevOps concepts collaboration, communication and organization are difficult to assess due to the high degree of subjectivity.</v>
      </c>
      <c r="F42" s="44"/>
      <c r="G42" s="45" t="str">
        <f>if(codigoDDivergenteJuiz = "first",codigoDDivergenteCodigo1,if (codigoDDivergenteJuiz = "second",codigoDDivergenteCodigo2, if (codigoDDivergenteCodigo1 = "", codigoDDivergenteCodigo2, codigoDDivergenteCodigo1)))</f>
        <v>Difficulty in subjective DevOps concepts during assessment.</v>
      </c>
      <c r="H42" s="45" t="str">
        <f>if(codigoDDivergenteJuiz = "first",codigoDDivergenteTema1,if (codigoDDivergenteJuiz = "second",codigoDDivergenteTema2, if (codigoDDivergenteCodigo1 = "", codigoDDivergenteTema2, codigoDDivergenteTema1)))</f>
        <v>assessment</v>
      </c>
    </row>
    <row r="43">
      <c r="A43" s="44">
        <f>IFERROR(__xludf.DUMMYFUNCTION("""COMPUTED_VALUE"""),48.0)</f>
        <v>48</v>
      </c>
      <c r="B43" s="44" t="str">
        <f>IFERROR(__xludf.DUMMYFUNCTION("""COMPUTED_VALUE"""),"R1 / R2")</f>
        <v>R1 / R2</v>
      </c>
      <c r="C43" s="44" t="str">
        <f>IFERROR(__xludf.DUMMYFUNCTION("""COMPUTED_VALUE"""),"challenge")</f>
        <v>challenge</v>
      </c>
      <c r="D43" s="44" t="str">
        <f>IFERROR(__xludf.DUMMYFUNCTION("""COMPUTED_VALUE"""),"There are concepts of collaboration, communication, organization that are a little subjective, right? So, it's a little harder for you to evaluate.
The teaching plan, where I am going to start, where I am going to go, what is next. So, structuring this s"&amp;"equence of subjects to be covered, of how you are going to connect the subjects, which is the hardest part.")</f>
        <v>There are concepts of collaboration, communication, organization that are a little subjective, right? So, it's a little harder for you to evaluate.
The teaching plan, where I am going to start, where I am going to go, what is next. So, structuring this sequence of subjects to be covered, of how you are going to connect the subjects, which is the hardest part.</v>
      </c>
      <c r="E43" s="44" t="str">
        <f>IFERROR(__xludf.DUMMYFUNCTION("""COMPUTED_VALUE"""),"Difficulty in structuring the learning journey.
Difficulty to create a teaching plan, especially connecting the covered subjects.")</f>
        <v>Difficulty in structuring the learning journey.
Difficulty to create a teaching plan, especially connecting the covered subjects.</v>
      </c>
      <c r="F43" s="44" t="str">
        <f>IFERROR(__xludf.DUMMYFUNCTION("""COMPUTED_VALUE"""),"Difficulty in structuring the learning journey.")</f>
        <v>Difficulty in structuring the learning journey.</v>
      </c>
      <c r="G43" s="45" t="str">
        <f>if(codigoDDivergenteJuiz = "first",codigoDDivergenteCodigo1,if (codigoDDivergenteJuiz = "second",codigoDDivergenteCodigo2, if (codigoDDivergenteCodigo1 = "", codigoDDivergenteCodigo2, codigoDDivergenteCodigo1)))</f>
        <v>Difficulty in structuring the learning journey</v>
      </c>
      <c r="H43" s="45" t="str">
        <f>if(codigoDDivergenteJuiz = "first",codigoDDivergenteTema1,if (codigoDDivergenteJuiz = "second",codigoDDivergenteTema2, if (codigoDDivergenteCodigo1 = "", codigoDDivergenteTema2, codigoDDivergenteTema1)))</f>
        <v>class preparation</v>
      </c>
    </row>
    <row r="44">
      <c r="A44" s="44">
        <f>IFERROR(__xludf.DUMMYFUNCTION("""COMPUTED_VALUE"""),49.0)</f>
        <v>49</v>
      </c>
      <c r="B44" s="44" t="str">
        <f>IFERROR(__xludf.DUMMYFUNCTION("""COMPUTED_VALUE"""),"R1 / R3")</f>
        <v>R1 / R3</v>
      </c>
      <c r="C44" s="44" t="str">
        <f>IFERROR(__xludf.DUMMYFUNCTION("""COMPUTED_VALUE"""),"challenge")</f>
        <v>challenge</v>
      </c>
      <c r="D44" s="44" t="str">
        <f>IFERROR(__xludf.DUMMYFUNCTION("""COMPUTED_VALUE"""),"team of monitors [...] If you don't have it, it gets heavier, it's more difficult, you alone evaluate. Take a class with forty students, even if you divide it into teams, it's a lot for you to evaluate.")</f>
        <v>team of monitors [...] If you don't have it, it gets heavier, it's more difficult, you alone evaluate. Take a class with forty students, even if you divide it into teams, it's a lot for you to evaluate.</v>
      </c>
      <c r="E44" s="44" t="str">
        <f>IFERROR(__xludf.DUMMYFUNCTION("""COMPUTED_VALUE"""),"Large class assessment requires great effort.")</f>
        <v>Large class assessment requires great effort.</v>
      </c>
      <c r="F44" s="44"/>
      <c r="G44" s="45" t="str">
        <f>if(codigoDDivergenteJuiz = "first",codigoDDivergenteCodigo1,if (codigoDDivergenteJuiz = "second",codigoDDivergenteCodigo2, if (codigoDDivergenteCodigo1 = "", codigoDDivergenteCodigo2, codigoDDivergenteCodigo1)))</f>
        <v>Requirement of great effort during assessment of large classes</v>
      </c>
      <c r="H44" s="45" t="str">
        <f>if(codigoDDivergenteJuiz = "first",codigoDDivergenteTema1,if (codigoDDivergenteJuiz = "second",codigoDDivergenteTema2, if (codigoDDivergenteCodigo1 = "", codigoDDivergenteTema2, codigoDDivergenteTema1)))</f>
        <v>assessment</v>
      </c>
    </row>
    <row r="45">
      <c r="A45" s="44">
        <f>IFERROR(__xludf.DUMMYFUNCTION("""COMPUTED_VALUE"""),50.0)</f>
        <v>50</v>
      </c>
      <c r="B45" s="44" t="str">
        <f>IFERROR(__xludf.DUMMYFUNCTION("""COMPUTED_VALUE"""),"R2 / R3")</f>
        <v>R2 / R3</v>
      </c>
      <c r="C45" s="44" t="str">
        <f>IFERROR(__xludf.DUMMYFUNCTION("""COMPUTED_VALUE"""),"challenge")</f>
        <v>challenge</v>
      </c>
      <c r="D45" s="44" t="str">
        <f>IFERROR(__xludf.DUMMYFUNCTION("""COMPUTED_VALUE"""),"the real challenge was when I started doing it, which I didn't have any. Then, building from scratch is more difficult, there is no baseline. [...] [...] these types of challenges, they are more related to the nature of the subject, not the object, that i"&amp;"s: what type of content, how will you conduct this course, how will you want to conduct the discipline.
I didn't find any course, really I was looking for courses in devops, like yes, there were courses that talk about kubernetes that these, yes. There a"&amp;"re courses that talk about, uh, integrated testing. Yes. There are courses. We talk about AWS and cloud, but I didn't find any course on devops that I can two years ago that I'm almost like three years ago now when I started to work on it, um, use as a ba"&amp;"sis. Right. So the first semester was a nightmare. 
In 2018, 2019, and yet no universities have a program in DevOps, no universities, essentially very few universities have a course in DevOps.
If you want to teach devops, it's really difficult to find, "&amp;"uh, supports, like finding a way to understand how it's towards elsewhere. It's really complicated because there's not a lot, of course that grant themselves as DevOps, basically because it's often hidden because it's something technical you're not suppos"&amp;"ed to teach.")</f>
        <v>the real challenge was when I started doing it, which I didn't have any. Then, building from scratch is more difficult, there is no baseline. [...] [...] these types of challenges, they are more related to the nature of the subject, not the object, that is: what type of content, how will you conduct this course, how will you want to conduct the discipline.
I didn't find any course, really I was looking for courses in devops, like yes, there were courses that talk about kubernetes that these, yes. There are courses that talk about, uh, integrated testing. Yes. There are courses. We talk about AWS and cloud, but I didn't find any course on devops that I can two years ago that I'm almost like three years ago now when I started to work on it, um, use as a basis. Right. So the first semester was a nightmare. 
In 2018, 2019, and yet no universities have a program in DevOps, no universities, essentially very few universities have a course in DevOps.
If you want to teach devops, it's really difficult to find, uh, supports, like finding a way to understand how it's towards elsewhere. It's really complicated because there's not a lot, of course that grant themselves as DevOps, basically because it's often hidden because it's something technical you're not supposed to teach.</v>
      </c>
      <c r="E45" s="44" t="str">
        <f>IFERROR(__xludf.DUMMYFUNCTION("""COMPUTED_VALUE"""),"Difficulty in setting up classes without a prior reference ones.
It isn't easy to create a DevOps course without having another course as a reference.
Few universities have a DevOps course.
It's really difficult to find supports if you want to teach De"&amp;"vOps.")</f>
        <v>Difficulty in setting up classes without a prior reference ones.
It isn't easy to create a DevOps course without having another course as a reference.
Few universities have a DevOps course.
It's really difficult to find supports if you want to teach DevOps.</v>
      </c>
      <c r="F45" s="44" t="str">
        <f>IFERROR(__xludf.DUMMYFUNCTION("""COMPUTED_VALUE"""),"It is difficult to create a DevOps course without a previous reference ones.")</f>
        <v>It is difficult to create a DevOps course without a previous reference ones.</v>
      </c>
      <c r="G45" s="45" t="str">
        <f>if(codigoDDivergenteJuiz = "first",codigoDDivergenteCodigo1,if (codigoDDivergenteJuiz = "second",codigoDDivergenteCodigo2, if (codigoDDivergenteCodigo1 = "", codigoDDivergenteCodigo2, codigoDDivergenteCodigo1)))</f>
        <v>Difficult during the creation of the classes without reference to a previous discipline.</v>
      </c>
      <c r="H45" s="45" t="str">
        <f>if(codigoDDivergenteJuiz = "first",codigoDDivergenteTema1,if (codigoDDivergenteJuiz = "second",codigoDDivergenteTema2, if (codigoDDivergenteCodigo1 = "", codigoDDivergenteTema2, codigoDDivergenteTema1)))</f>
        <v>class preparation</v>
      </c>
    </row>
    <row r="46">
      <c r="A46" s="44">
        <f>IFERROR(__xludf.DUMMYFUNCTION("""COMPUTED_VALUE"""),51.0)</f>
        <v>51</v>
      </c>
      <c r="B46" s="44" t="str">
        <f>IFERROR(__xludf.DUMMYFUNCTION("""COMPUTED_VALUE"""),"R1 / R2")</f>
        <v>R1 / R2</v>
      </c>
      <c r="C46" s="44" t="str">
        <f>IFERROR(__xludf.DUMMYFUNCTION("""COMPUTED_VALUE"""),"challenge")</f>
        <v>challenge</v>
      </c>
      <c r="D46" s="24" t="str">
        <f>IFERROR(__xludf.DUMMYFUNCTION("""COMPUTED_VALUE"""),"This teaching plan is not and should not be completed, right? He doesn't have it, he's never ready. ... Things change too fast, the focus changes too fast.")</f>
        <v>This teaching plan is not and should not be completed, right? He doesn't have it, he's never ready. ... Things change too fast, the focus changes too fast.</v>
      </c>
      <c r="E46" s="24" t="str">
        <f>IFERROR(__xludf.DUMMYFUNCTION("""COMPUTED_VALUE"""),"Rapid and constant changes in DevOps make it difficult to create a teaching plan.")</f>
        <v>Rapid and constant changes in DevOps make it difficult to create a teaching plan.</v>
      </c>
      <c r="F46" s="24"/>
      <c r="G46" s="45" t="str">
        <f>if(codigoDDivergenteJuiz = "first",codigoDDivergenteCodigo1,if (codigoDDivergenteJuiz = "second",codigoDDivergenteCodigo2, if (codigoDDivergenteCodigo1 = "", codigoDDivergenteCodigo2, codigoDDivergenteCodigo1)))</f>
        <v>Challenge during the creation of the teaching plan related to rapid and constant changes in DevOps  </v>
      </c>
      <c r="H46" s="45" t="str">
        <f>if(codigoDDivergenteJuiz = "first",codigoDDivergenteTema1,if (codigoDDivergenteJuiz = "second",codigoDDivergenteTema2, if (codigoDDivergenteCodigo1 = "", codigoDDivergenteTema2, codigoDDivergenteTema1)))</f>
        <v>curriculum</v>
      </c>
    </row>
    <row r="47">
      <c r="A47" s="44">
        <f>IFERROR(__xludf.DUMMYFUNCTION("""COMPUTED_VALUE"""),52.0)</f>
        <v>52</v>
      </c>
      <c r="B47" s="44" t="str">
        <f>IFERROR(__xludf.DUMMYFUNCTION("""COMPUTED_VALUE"""),"R1 / R3")</f>
        <v>R1 / R3</v>
      </c>
      <c r="C47" s="44" t="str">
        <f>IFERROR(__xludf.DUMMYFUNCTION("""COMPUTED_VALUE"""),"challenge")</f>
        <v>challenge</v>
      </c>
      <c r="D47" s="24" t="str">
        <f>IFERROR(__xludf.DUMMYFUNCTION("""COMPUTED_VALUE"""),"""DevOps ends up forcing you to tap into a lot of other universes, right? Especially if you go into project as an evaluation method. So, that's another big challenge, you keep an eye out for what's going on, which can be correlated and which you can bring"&amp;" as an open scope to be worked also in the discipline, with this type of direction. Which in my case, comes AI student, Bank student, Software Engineering student, pay for the post, and that then you can't just stay in the context of developing software, "&amp;"delivering software on DevOps, right? There's a whole other context of things related, for example, to operation, infrastructure analysis, learning, prediction, and so on.")</f>
        <v>"DevOps ends up forcing you to tap into a lot of other universes, right? Especially if you go into project as an evaluation method. So, that's another big challenge, you keep an eye out for what's going on, which can be correlated and which you can bring as an open scope to be worked also in the discipline, with this type of direction. Which in my case, comes AI student, Bank student, Software Engineering student, pay for the post, and that then you can't just stay in the context of developing software, delivering software on DevOps, right? There's a whole other context of things related, for example, to operation, infrastructure analysis, learning, prediction, and so on.</v>
      </c>
      <c r="E47" s="24" t="str">
        <f>IFERROR(__xludf.DUMMYFUNCTION("""COMPUTED_VALUE"""),"Difficulty in linking DevOps classes with other subjects of interest to students.")</f>
        <v>Difficulty in linking DevOps classes with other subjects of interest to students.</v>
      </c>
      <c r="F47" s="24"/>
      <c r="G47" s="45" t="str">
        <f>if(codigoDDivergenteJuiz = "first",codigoDDivergenteCodigo1,if (codigoDDivergenteJuiz = "second",codigoDDivergenteCodigo2, if (codigoDDivergenteCodigo1 = "", codigoDDivergenteCodigo2, codigoDDivergenteCodigo1)))</f>
        <v>Difficulty related to linking DevOps with other disciplines</v>
      </c>
      <c r="H47" s="45" t="str">
        <f>if(codigoDDivergenteJuiz = "first",codigoDDivergenteTema1,if (codigoDDivergenteJuiz = "second",codigoDDivergenteTema2, if (codigoDDivergenteCodigo1 = "", codigoDDivergenteTema2, codigoDDivergenteTema1)))</f>
        <v>devops concepts</v>
      </c>
    </row>
    <row r="48">
      <c r="A48" s="44">
        <f>IFERROR(__xludf.DUMMYFUNCTION("""COMPUTED_VALUE"""),53.0)</f>
        <v>53</v>
      </c>
      <c r="B48" s="44" t="str">
        <f>IFERROR(__xludf.DUMMYFUNCTION("""COMPUTED_VALUE"""),"R1 / R2")</f>
        <v>R1 / R2</v>
      </c>
      <c r="C48" s="44" t="str">
        <f>IFERROR(__xludf.DUMMYFUNCTION("""COMPUTED_VALUE"""),"challenge")</f>
        <v>challenge</v>
      </c>
      <c r="D48" s="24" t="str">
        <f>IFERROR(__xludf.DUMMYFUNCTION("""COMPUTED_VALUE"""),"There are several environments in the cloud, but they all cost money.")</f>
        <v>There are several environments in the cloud, but they all cost money.</v>
      </c>
      <c r="E48" s="24" t="str">
        <f>IFERROR(__xludf.DUMMYFUNCTION("""COMPUTED_VALUE"""),"Environment set up in a cloud service cost money.")</f>
        <v>Environment set up in a cloud service cost money.</v>
      </c>
      <c r="F48" s="24"/>
      <c r="G48" s="45" t="str">
        <f>if(codigoDDivergenteJuiz = "first",codigoDDivergenteCodigo1,if (codigoDDivergenteJuiz = "second",codigoDDivergenteCodigo2, if (codigoDDivergenteCodigo1 = "", codigoDDivergenteCodigo2, codigoDDivergenteCodigo1)))</f>
        <v>Environment set up in a cloud service cost money.</v>
      </c>
      <c r="H48" s="45" t="str">
        <f>if(codigoDDivergenteJuiz = "first",codigoDDivergenteTema1,if (codigoDDivergenteJuiz = "second",codigoDDivergenteTema2, if (codigoDDivergenteCodigo1 = "", codigoDDivergenteTema2, codigoDDivergenteTema1)))</f>
        <v>environment setup</v>
      </c>
    </row>
    <row r="49">
      <c r="A49" s="44">
        <f>IFERROR(__xludf.DUMMYFUNCTION("""COMPUTED_VALUE"""),54.0)</f>
        <v>54</v>
      </c>
      <c r="B49" s="44" t="str">
        <f>IFERROR(__xludf.DUMMYFUNCTION("""COMPUTED_VALUE"""),"R1 / R3")</f>
        <v>R1 / R3</v>
      </c>
      <c r="C49" s="44" t="str">
        <f>IFERROR(__xludf.DUMMYFUNCTION("""COMPUTED_VALUE"""),"challenge")</f>
        <v>challenge</v>
      </c>
      <c r="D49" s="24" t="str">
        <f>IFERROR(__xludf.DUMMYFUNCTION("""COMPUTED_VALUE""")," However, last semester eight of my students showed up with apple, M one Silicon Macs and they don't run VirtualBox because VirtualBox only runs on Intel. It's not an emulator. It is a virtualizing layer, right? It needs an Intel CPU in order to virtualiz"&amp;"e. Um, and so I had to change the class for them to use Docker and VirtualBox. ")</f>
        <v> However, last semester eight of my students showed up with apple, M one Silicon Macs and they don't run VirtualBox because VirtualBox only runs on Intel. It's not an emulator. It is a virtualizing layer, right? It needs an Intel CPU in order to virtualize. Um, and so I had to change the class for them to use Docker and VirtualBox. </v>
      </c>
      <c r="E49" s="24" t="str">
        <f>IFERROR(__xludf.DUMMYFUNCTION("""COMPUTED_VALUE"""),"VirtualBox has limitation in MacOS.")</f>
        <v>VirtualBox has limitation in MacOS.</v>
      </c>
      <c r="F49" s="24"/>
      <c r="G49" s="45" t="str">
        <f>if(codigoDDivergenteJuiz = "first",codigoDDivergenteCodigo1,if (codigoDDivergenteJuiz = "second",codigoDDivergenteCodigo2, if (codigoDDivergenteCodigo1 = "", codigoDDivergenteCodigo2, codigoDDivergenteCodigo1)))</f>
        <v>limitation of VirtualBox</v>
      </c>
      <c r="H49" s="45" t="str">
        <f>if(codigoDDivergenteJuiz = "first",codigoDDivergenteTema1,if (codigoDDivergenteJuiz = "second",codigoDDivergenteTema2, if (codigoDDivergenteCodigo1 = "", codigoDDivergenteTema2, codigoDDivergenteTema1)))</f>
        <v>tool / technology</v>
      </c>
    </row>
    <row r="50">
      <c r="A50" s="44">
        <f>IFERROR(__xludf.DUMMYFUNCTION("""COMPUTED_VALUE"""),55.0)</f>
        <v>55</v>
      </c>
      <c r="B50" s="44" t="str">
        <f>IFERROR(__xludf.DUMMYFUNCTION("""COMPUTED_VALUE"""),"R2 / R3")</f>
        <v>R2 / R3</v>
      </c>
      <c r="C50" s="44" t="str">
        <f>IFERROR(__xludf.DUMMYFUNCTION("""COMPUTED_VALUE"""),"challenge")</f>
        <v>challenge</v>
      </c>
      <c r="D50" s="24" t="str">
        <f>IFERROR(__xludf.DUMMYFUNCTION("""COMPUTED_VALUE"""),"You have to find a set of tools that work together.
 For many people, getting them all to work together can be particularly challenging.")</f>
        <v>You have to find a set of tools that work together.
 For many people, getting them all to work together can be particularly challenging.</v>
      </c>
      <c r="E50" s="24" t="str">
        <f>IFERROR(__xludf.DUMMYFUNCTION("""COMPUTED_VALUE"""),"You have to find a set of tools that work together.
For many people, getting all technologies to work together can be particularly challenging.")</f>
        <v>You have to find a set of tools that work together.
For many people, getting all technologies to work together can be particularly challenging.</v>
      </c>
      <c r="F50" s="24" t="str">
        <f>IFERROR(__xludf.DUMMYFUNCTION("""COMPUTED_VALUE"""),"Getting all DevOps tools to work together is challenging.")</f>
        <v>Getting all DevOps tools to work together is challenging.</v>
      </c>
      <c r="G50" s="45" t="str">
        <f>if(codigoDDivergenteJuiz = "first",codigoDDivergenteCodigo1,if (codigoDDivergenteJuiz = "second",codigoDDivergenteCodigo2, if (codigoDDivergenteCodigo1 = "", codigoDDivergenteCodigo2, codigoDDivergenteCodigo1)))</f>
        <v>Challenge of integration of all DevOps tools together </v>
      </c>
      <c r="H50" s="45" t="str">
        <f>if(codigoDDivergenteJuiz = "first",codigoDDivergenteTema1,if (codigoDDivergenteJuiz = "second",codigoDDivergenteTema2, if (codigoDDivergenteCodigo1 = "", codigoDDivergenteTema2, codigoDDivergenteTema1)))</f>
        <v>tool / technology</v>
      </c>
    </row>
    <row r="51">
      <c r="A51" s="44">
        <f>IFERROR(__xludf.DUMMYFUNCTION("""COMPUTED_VALUE"""),56.0)</f>
        <v>56</v>
      </c>
      <c r="B51" s="44" t="str">
        <f>IFERROR(__xludf.DUMMYFUNCTION("""COMPUTED_VALUE"""),"R1 / R2")</f>
        <v>R1 / R2</v>
      </c>
      <c r="C51" s="44" t="str">
        <f>IFERROR(__xludf.DUMMYFUNCTION("""COMPUTED_VALUE"""),"challenge")</f>
        <v>challenge</v>
      </c>
      <c r="D51" s="24" t="str">
        <f>IFERROR(__xludf.DUMMYFUNCTION("""COMPUTED_VALUE"""),"A big challenge is students learning to be, um, to be agile working as a team pair programming. 
Lot of those concepts are hard to teach in a classroom setting.
That's kind of challenging getting them to be agile, getting them to think agile, get into t"&amp;"hink minimum viable product, right.
How do you work in sprints? ")</f>
        <v>A big challenge is students learning to be, um, to be agile working as a team pair programming. 
Lot of those concepts are hard to teach in a classroom setting.
That's kind of challenging getting them to be agile, getting them to think agile, get into think minimum viable product, right.
How do you work in sprints? </v>
      </c>
      <c r="E51" s="24" t="str">
        <f>IFERROR(__xludf.DUMMYFUNCTION("""COMPUTED_VALUE"""),"It is difficult to students learning agile techniques like pair programming.
A lot of agile concepts are hard to teach in a classroom setting.
It's challenging the students to be and to think agile into mininum viable product.
It is difficult how to or"&amp;"ganize each sprint.")</f>
        <v>It is difficult to students learning agile techniques like pair programming.
A lot of agile concepts are hard to teach in a classroom setting.
It's challenging the students to be and to think agile into mininum viable product.
It is difficult how to organize each sprint.</v>
      </c>
      <c r="F51" s="24" t="str">
        <f>IFERROR(__xludf.DUMMYFUNCTION("""COMPUTED_VALUE"""),"It is difficult to teach agile techniques.")</f>
        <v>It is difficult to teach agile techniques.</v>
      </c>
      <c r="G51" s="45" t="str">
        <f>if(codigoDDivergenteJuiz = "first",codigoDDivergenteCodigo1,if (codigoDDivergenteJuiz = "second",codigoDDivergenteCodigo2, if (codigoDDivergenteCodigo1 = "", codigoDDivergenteCodigo2, codigoDDivergenteCodigo1)))</f>
        <v>difficulty in agile techniques</v>
      </c>
      <c r="H51" s="45" t="str">
        <f>if(codigoDDivergenteJuiz = "first",codigoDDivergenteTema1,if (codigoDDivergenteJuiz = "second",codigoDDivergenteTema2, if (codigoDDivergenteCodigo1 = "", codigoDDivergenteTema2, codigoDDivergenteTema1)))</f>
        <v>devops concepts</v>
      </c>
    </row>
    <row r="52">
      <c r="A52" s="44">
        <f>IFERROR(__xludf.DUMMYFUNCTION("""COMPUTED_VALUE"""),57.0)</f>
        <v>57</v>
      </c>
      <c r="B52" s="44" t="str">
        <f>IFERROR(__xludf.DUMMYFUNCTION("""COMPUTED_VALUE"""),"R1 / R3")</f>
        <v>R1 / R3</v>
      </c>
      <c r="C52" s="44" t="str">
        <f>IFERROR(__xludf.DUMMYFUNCTION("""COMPUTED_VALUE"""),"challenge")</f>
        <v>challenge</v>
      </c>
      <c r="D52" s="24" t="str">
        <f>IFERROR(__xludf.DUMMYFUNCTION("""COMPUTED_VALUE"""),"Are they following the process? Not, did they get the work done in the end? That's not the important part is did they learn the process and follow it? And did they learn from it? So that's, it's kind of challenging.")</f>
        <v>Are they following the process? Not, did they get the work done in the end? That's not the important part is did they learn the process and follow it? And did they learn from it? So that's, it's kind of challenging.</v>
      </c>
      <c r="E52" s="24" t="str">
        <f>IFERROR(__xludf.DUMMYFUNCTION("""COMPUTED_VALUE"""),"It is challeging to verify if the students learn the devops process of working.")</f>
        <v>It is challeging to verify if the students learn the devops process of working.</v>
      </c>
      <c r="F52" s="24"/>
      <c r="G52" s="45" t="str">
        <f>if(codigoDDivergenteJuiz = "first",codigoDDivergenteCodigo1,if (codigoDDivergenteJuiz = "second",codigoDDivergenteCodigo2, if (codigoDDivergenteCodigo1 = "", codigoDDivergenteCodigo2, codigoDDivergenteCodigo1)))</f>
        <v>difficulty in the evaluation of students learn level</v>
      </c>
      <c r="H52" s="45" t="str">
        <f>if(codigoDDivergenteJuiz = "first",codigoDDivergenteTema1,if (codigoDDivergenteJuiz = "second",codigoDDivergenteTema2, if (codigoDDivergenteCodigo1 = "", codigoDDivergenteTema2, codigoDDivergenteTema1)))</f>
        <v>assessment</v>
      </c>
    </row>
    <row r="53">
      <c r="A53" s="44">
        <f>IFERROR(__xludf.DUMMYFUNCTION("""COMPUTED_VALUE"""),58.0)</f>
        <v>58</v>
      </c>
      <c r="B53" s="44" t="str">
        <f>IFERROR(__xludf.DUMMYFUNCTION("""COMPUTED_VALUE"""),"R2 / R3")</f>
        <v>R2 / R3</v>
      </c>
      <c r="C53" s="44" t="str">
        <f>IFERROR(__xludf.DUMMYFUNCTION("""COMPUTED_VALUE"""),"challenge")</f>
        <v>challenge</v>
      </c>
      <c r="D53" s="24" t="str">
        <f>IFERROR(__xludf.DUMMYFUNCTION("""COMPUTED_VALUE"""),"Doing a hands-on class with that many (45) students is just physically challenging.")</f>
        <v>Doing a hands-on class with that many (45) students is just physically challenging.</v>
      </c>
      <c r="E53" s="24" t="str">
        <f>IFERROR(__xludf.DUMMYFUNCTION("""COMPUTED_VALUE"""),"Doing a hands-on class with that many (45) students is just physically challenging.")</f>
        <v>Doing a hands-on class with that many (45) students is just physically challenging.</v>
      </c>
      <c r="F53" s="24"/>
      <c r="G53" s="45" t="str">
        <f>if(codigoDDivergenteJuiz = "first",codigoDDivergenteCodigo1,if (codigoDDivergenteJuiz = "second",codigoDDivergenteCodigo2, if (codigoDDivergenteCodigo1 = "", codigoDDivergenteCodigo2, codigoDDivergenteCodigo1)))</f>
        <v>Difficulty in hands-on classes with 45 or more students</v>
      </c>
      <c r="H53" s="45" t="str">
        <f>if(codigoDDivergenteJuiz = "first",codigoDDivergenteTema1,if (codigoDDivergenteJuiz = "second",codigoDDivergenteTema2, if (codigoDDivergenteCodigo1 = "", codigoDDivergenteTema2, codigoDDivergenteTema1)))</f>
        <v>strategies in course execution</v>
      </c>
    </row>
    <row r="54">
      <c r="A54" s="44">
        <f>IFERROR(__xludf.DUMMYFUNCTION("""COMPUTED_VALUE"""),59.0)</f>
        <v>59</v>
      </c>
      <c r="B54" s="44" t="str">
        <f>IFERROR(__xludf.DUMMYFUNCTION("""COMPUTED_VALUE"""),"R1 / R2")</f>
        <v>R1 / R2</v>
      </c>
      <c r="C54" s="44" t="str">
        <f>IFERROR(__xludf.DUMMYFUNCTION("""COMPUTED_VALUE"""),"challenge")</f>
        <v>challenge</v>
      </c>
      <c r="D54" s="24" t="str">
        <f>IFERROR(__xludf.DUMMYFUNCTION("""COMPUTED_VALUE"""),"You have a clean compile, you've tested your code and it meets the functional requirements. And that's the end of the story. But as we know, you know, even from software development,[...] it doesn't end once the software is built and once it's passed test"&amp;"ing, then it goes into this entire operational stage. We tend to ignore it. And I don't think we ignore it deliberately. We ignore it because it's hard")</f>
        <v>You have a clean compile, you've tested your code and it meets the functional requirements. And that's the end of the story. But as we know, you know, even from software development,[...] it doesn't end once the software is built and once it's passed testing, then it goes into this entire operational stage. We tend to ignore it. And I don't think we ignore it deliberately. We ignore it because it's hard</v>
      </c>
      <c r="E54" s="24" t="str">
        <f>IFERROR(__xludf.DUMMYFUNCTION("""COMPUTED_VALUE"""),"Teach operational activities is ignored because it is hard.")</f>
        <v>Teach operational activities is ignored because it is hard.</v>
      </c>
      <c r="F54" s="24"/>
      <c r="G54" s="45" t="str">
        <f>if(codigoDDivergenteJuiz = "first",codigoDDivergenteCodigo1,if (codigoDDivergenteJuiz = "second",codigoDDivergenteCodigo2, if (codigoDDivergenteCodigo1 = "", codigoDDivergenteCodigo2, codigoDDivergenteCodigo1)))</f>
        <v>operational activities ignored</v>
      </c>
      <c r="H54" s="45" t="str">
        <f>if(codigoDDivergenteJuiz = "first",codigoDDivergenteTema1,if (codigoDDivergenteJuiz = "second",codigoDDivergenteTema2, if (codigoDDivergenteCodigo1 = "", codigoDDivergenteTema2, codigoDDivergenteTema1)))</f>
        <v>environment setup</v>
      </c>
    </row>
    <row r="55">
      <c r="A55" s="44">
        <f>IFERROR(__xludf.DUMMYFUNCTION("""COMPUTED_VALUE"""),60.0)</f>
        <v>60</v>
      </c>
      <c r="B55" s="44" t="str">
        <f>IFERROR(__xludf.DUMMYFUNCTION("""COMPUTED_VALUE"""),"R1 / R3")</f>
        <v>R1 / R3</v>
      </c>
      <c r="C55" s="44" t="str">
        <f>IFERROR(__xludf.DUMMYFUNCTION("""COMPUTED_VALUE"""),"challenge")</f>
        <v>challenge</v>
      </c>
      <c r="D55" s="24" t="str">
        <f>IFERROR(__xludf.DUMMYFUNCTION("""COMPUTED_VALUE"""),"That is a lot of the devops principles that come into play. ")</f>
        <v>That is a lot of the devops principles that come into play. </v>
      </c>
      <c r="E55" s="24" t="str">
        <f>IFERROR(__xludf.DUMMYFUNCTION("""COMPUTED_VALUE"""),"Many devops concepts need to be taught.")</f>
        <v>Many devops concepts need to be taught.</v>
      </c>
      <c r="F55" s="24"/>
      <c r="G55" s="45" t="str">
        <f>if(codigoDDivergenteJuiz = "first",codigoDDivergenteCodigo1,if (codigoDDivergenteJuiz = "second",codigoDDivergenteCodigo2, if (codigoDDivergenteCodigo1 = "", codigoDDivergenteCodigo2, codigoDDivergenteCodigo1)))</f>
        <v>many devops concepts</v>
      </c>
      <c r="H55" s="45" t="str">
        <f>if(codigoDDivergenteJuiz = "first",codigoDDivergenteTema1,if (codigoDDivergenteJuiz = "second",codigoDDivergenteTema2, if (codigoDDivergenteCodigo1 = "", codigoDDivergenteTema2, codigoDDivergenteTema1)))</f>
        <v>devops concepts</v>
      </c>
    </row>
    <row r="56">
      <c r="A56" s="44">
        <f>IFERROR(__xludf.DUMMYFUNCTION("""COMPUTED_VALUE"""),61.0)</f>
        <v>61</v>
      </c>
      <c r="B56" s="44" t="str">
        <f>IFERROR(__xludf.DUMMYFUNCTION("""COMPUTED_VALUE"""),"R2 / R3")</f>
        <v>R2 / R3</v>
      </c>
      <c r="C56" s="44" t="str">
        <f>IFERROR(__xludf.DUMMYFUNCTION("""COMPUTED_VALUE"""),"challenge")</f>
        <v>challenge</v>
      </c>
      <c r="D56" s="24" t="str">
        <f>IFERROR(__xludf.DUMMYFUNCTION("""COMPUTED_VALUE"""),"It is very dangerous to teach too many tools because it's simply conveys that it is a very technology centric approach.")</f>
        <v>It is very dangerous to teach too many tools because it's simply conveys that it is a very technology centric approach.</v>
      </c>
      <c r="E56" s="24" t="str">
        <f>IFERROR(__xludf.DUMMYFUNCTION("""COMPUTED_VALUE"""),"It is very dangerous to teach too many tools because it conveys that DevOps is a very technology centric approach.")</f>
        <v>It is very dangerous to teach too many tools because it conveys that DevOps is a very technology centric approach.</v>
      </c>
      <c r="F56" s="24"/>
      <c r="G56" s="45" t="str">
        <f>if(codigoDDivergenteJuiz = "first",codigoDDivergenteCodigo1,if (codigoDDivergenteJuiz = "second",codigoDDivergenteCodigo2, if (codigoDDivergenteCodigo1 = "", codigoDDivergenteCodigo2, codigoDDivergenteCodigo1)))</f>
        <v>Dangerous of teaching too many tools</v>
      </c>
      <c r="H56" s="45" t="str">
        <f>if(codigoDDivergenteJuiz = "first",codigoDDivergenteTema1,if (codigoDDivergenteJuiz = "second",codigoDDivergenteTema2, if (codigoDDivergenteCodigo1 = "", codigoDDivergenteTema2, codigoDDivergenteTema1)))</f>
        <v>tool / technology</v>
      </c>
    </row>
    <row r="57">
      <c r="A57" s="44">
        <f>IFERROR(__xludf.DUMMYFUNCTION("""COMPUTED_VALUE"""),62.0)</f>
        <v>62</v>
      </c>
      <c r="B57" s="44" t="str">
        <f>IFERROR(__xludf.DUMMYFUNCTION("""COMPUTED_VALUE"""),"R1 / R2")</f>
        <v>R1 / R2</v>
      </c>
      <c r="C57" s="44" t="str">
        <f>IFERROR(__xludf.DUMMYFUNCTION("""COMPUTED_VALUE"""),"challenge")</f>
        <v>challenge</v>
      </c>
      <c r="D57" s="24" t="str">
        <f>IFERROR(__xludf.DUMMYFUNCTION("""COMPUTED_VALUE"""),"A lot of the folks who are attending the course are not at a level in the organization where they can actually affect culture [...] they are usually technologists and so they can very easily understand how they can affect things like technology decisions "&amp;"and the application of technology. But many of them are not, let's say at manager or director or senior director VP levels or things like that will, they can actually affect more senior levels of challenge there.")</f>
        <v>A lot of the folks who are attending the course are not at a level in the organization where they can actually affect culture [...] they are usually technologists and so they can very easily understand how they can affect things like technology decisions and the application of technology. But many of them are not, let's say at manager or director or senior director VP levels or things like that will, they can actually affect more senior levels of challenge there.</v>
      </c>
      <c r="E57" s="24" t="str">
        <f>IFERROR(__xludf.DUMMYFUNCTION("""COMPUTED_VALUE"""),"Students are not at a level in the their companies where they can introduce DevOps mindset.")</f>
        <v>Students are not at a level in the their companies where they can introduce DevOps mindset.</v>
      </c>
      <c r="F57" s="24"/>
      <c r="G57" s="45" t="str">
        <f>if(codigoDDivergenteJuiz = "first",codigoDDivergenteCodigo1,if (codigoDDivergenteJuiz = "second",codigoDDivergenteCodigo2, if (codigoDDivergenteCodigo1 = "", codigoDDivergenteCodigo2, codigoDDivergenteCodigo1)))</f>
        <v>DevOps students without sufficient level at their companies</v>
      </c>
      <c r="H57" s="45" t="str">
        <f>if(codigoDDivergenteJuiz = "first",codigoDDivergenteTema1,if (codigoDDivergenteJuiz = "second",codigoDDivergenteTema2, if (codigoDDivergenteCodigo1 = "", codigoDDivergenteTema2, codigoDDivergenteTema1)))</f>
        <v>devops concepts</v>
      </c>
    </row>
    <row r="58">
      <c r="A58" s="44">
        <f>IFERROR(__xludf.DUMMYFUNCTION("""COMPUTED_VALUE"""),63.0)</f>
        <v>63</v>
      </c>
      <c r="B58" s="44" t="str">
        <f>IFERROR(__xludf.DUMMYFUNCTION("""COMPUTED_VALUE"""),"R1 / R3")</f>
        <v>R1 / R3</v>
      </c>
      <c r="C58" s="44" t="str">
        <f>IFERROR(__xludf.DUMMYFUNCTION("""COMPUTED_VALUE"""),"challenge")</f>
        <v>challenge</v>
      </c>
      <c r="D58" s="24" t="str">
        <f>IFERROR(__xludf.DUMMYFUNCTION("""COMPUTED_VALUE"""),"It can be a little harder garner garnering some of that same thing from, from industry, you know, unless you happen to find reasonably wit reasonably written, uh, white papers or, or things along those lines.")</f>
        <v>It can be a little harder garner garnering some of that same thing from, from industry, you know, unless you happen to find reasonably wit reasonably written, uh, white papers or, or things along those lines.</v>
      </c>
      <c r="E58" s="24" t="str">
        <f>IFERROR(__xludf.DUMMYFUNCTION("""COMPUTED_VALUE"""),"It is hard to find strategies from industry unless if it written in a paper.")</f>
        <v>It is hard to find strategies from industry unless if it written in a paper.</v>
      </c>
      <c r="F58" s="24"/>
      <c r="G58" s="45" t="str">
        <f>if(codigoDDivergenteJuiz = "first",codigoDDivergenteCodigo1,if (codigoDDivergenteJuiz = "second",codigoDDivergenteCodigo2, if (codigoDDivergenteCodigo1 = "", codigoDDivergenteCodigo2, codigoDDivergenteCodigo1)))</f>
        <v>few industry strategies unless papers</v>
      </c>
      <c r="H58" s="45" t="str">
        <f>if(codigoDDivergenteJuiz = "first",codigoDDivergenteTema1,if (codigoDDivergenteJuiz = "second",codigoDDivergenteTema2, if (codigoDDivergenteCodigo1 = "", codigoDDivergenteTema2, codigoDDivergenteTema1)))</f>
        <v>class preparation</v>
      </c>
    </row>
    <row r="59">
      <c r="A59" s="44">
        <f>IFERROR(__xludf.DUMMYFUNCTION("""COMPUTED_VALUE"""),64.0)</f>
        <v>64</v>
      </c>
      <c r="B59" s="44" t="str">
        <f>IFERROR(__xludf.DUMMYFUNCTION("""COMPUTED_VALUE"""),"R2 / R3")</f>
        <v>R2 / R3</v>
      </c>
      <c r="C59" s="44" t="str">
        <f>IFERROR(__xludf.DUMMYFUNCTION("""COMPUTED_VALUE"""),"challenge")</f>
        <v>challenge</v>
      </c>
      <c r="D59" s="24" t="str">
        <f>IFERROR(__xludf.DUMMYFUNCTION("""COMPUTED_VALUE"""),"I have tended to get much more forgiving on how I, for example, grade this particular course, I used to be one of those folks. You know, you, you do the assignment and then you get a grade for the assignment. And at the end of the day, and this is not jus"&amp;"t devops it's it's for other courses as well. At the end of the day, I'm way more concerned. They're able to get stuff working and that you understand why we're doing it.")</f>
        <v>I have tended to get much more forgiving on how I, for example, grade this particular course, I used to be one of those folks. You know, you, you do the assignment and then you get a grade for the assignment. And at the end of the day, and this is not just devops it's it's for other courses as well. At the end of the day, I'm way more concerned. They're able to get stuff working and that you understand why we're doing it.</v>
      </c>
      <c r="E59" s="24" t="str">
        <f>IFERROR(__xludf.DUMMYFUNCTION("""COMPUTED_VALUE"""),"Task done by students do not means that students learned correctly.")</f>
        <v>Task done by students do not means that students learned correctly.</v>
      </c>
      <c r="F59" s="24"/>
      <c r="G59" s="45" t="str">
        <f>if(codigoDDivergenteJuiz = "first",codigoDDivergenteCodigo1,if (codigoDDivergenteJuiz = "second",codigoDDivergenteCodigo2, if (codigoDDivergenteCodigo1 = "", codigoDDivergenteCodigo2, codigoDDivergenteCodigo1)))</f>
        <v>Without correlation between task done and learned correctly</v>
      </c>
      <c r="H59" s="45" t="str">
        <f>if(codigoDDivergenteJuiz = "first",codigoDDivergenteTema1,if (codigoDDivergenteJuiz = "second",codigoDDivergenteTema2, if (codigoDDivergenteCodigo1 = "", codigoDDivergenteTema2, codigoDDivergenteTema1)))</f>
        <v>assessment</v>
      </c>
    </row>
    <row r="60">
      <c r="A60" s="44">
        <f>IFERROR(__xludf.DUMMYFUNCTION("""COMPUTED_VALUE"""),65.0)</f>
        <v>65</v>
      </c>
      <c r="B60" s="44" t="str">
        <f>IFERROR(__xludf.DUMMYFUNCTION("""COMPUTED_VALUE"""),"R1 / R2")</f>
        <v>R1 / R2</v>
      </c>
      <c r="C60" s="44" t="str">
        <f>IFERROR(__xludf.DUMMYFUNCTION("""COMPUTED_VALUE"""),"challenge")</f>
        <v>challenge</v>
      </c>
      <c r="D60" s="24" t="str">
        <f>IFERROR(__xludf.DUMMYFUNCTION("""COMPUTED_VALUE"""),"The challenge of course, is newer students obviously have more than enough to worry about just getting code wrong and compile. Uh, but that's, that's the reality, unfortunately, is the code just doesn't run a compile on a laptop, right? It runs out in pro"&amp;"duction and it's serving real people. And in this day and age, there is, there is stuff that goes with that. And the more folks understand, at least some of the sooner, the better I hope the software will be.")</f>
        <v>The challenge of course, is newer students obviously have more than enough to worry about just getting code wrong and compile. Uh, but that's, that's the reality, unfortunately, is the code just doesn't run a compile on a laptop, right? It runs out in production and it's serving real people. And in this day and age, there is, there is stuff that goes with that. And the more folks understand, at least some of the sooner, the better I hope the software will be.</v>
      </c>
      <c r="E60" s="24" t="str">
        <f>IFERROR(__xludf.DUMMYFUNCTION("""COMPUTED_VALUE"""),"It is difficult for students to understand the importance the software running in production, not just compiling.")</f>
        <v>It is difficult for students to understand the importance the software running in production, not just compiling.</v>
      </c>
      <c r="F60" s="24"/>
      <c r="G60" s="45" t="str">
        <f>if(codigoDDivergenteJuiz = "first",codigoDDivergenteCodigo1,if (codigoDDivergenteJuiz = "second",codigoDDivergenteCodigo2, if (codigoDDivergenteCodigo1 = "", codigoDDivergenteCodigo2, codigoDDivergenteCodigo1)))</f>
        <v>difficulty for understand the importance of a correct software over just compiling</v>
      </c>
      <c r="H60" s="45" t="str">
        <f>if(codigoDDivergenteJuiz = "first",codigoDDivergenteTema1,if (codigoDDivergenteJuiz = "second",codigoDDivergenteTema2, if (codigoDDivergenteCodigo1 = "", codigoDDivergenteTema2, codigoDDivergenteTema1)))</f>
        <v>devops concepts</v>
      </c>
    </row>
    <row r="61">
      <c r="A61" s="44">
        <f>IFERROR(__xludf.DUMMYFUNCTION("""COMPUTED_VALUE"""),66.0)</f>
        <v>66</v>
      </c>
      <c r="B61" s="44" t="str">
        <f>IFERROR(__xludf.DUMMYFUNCTION("""COMPUTED_VALUE"""),"R1 / R3")</f>
        <v>R1 / R3</v>
      </c>
      <c r="C61" s="44" t="str">
        <f>IFERROR(__xludf.DUMMYFUNCTION("""COMPUTED_VALUE"""),"challenge")</f>
        <v>challenge</v>
      </c>
      <c r="D61" s="24" t="str">
        <f>IFERROR(__xludf.DUMMYFUNCTION("""COMPUTED_VALUE"""),"Human challenges are when you start teaching DevOps, it doesn't look serious.
So one of the challenges regarding the culture, if you want, is that when you tell them that initially they don't believe it. And only when they start doing it, they do believe"&amp;" it. 
Whatever they found it valuable usually, um, after the class is done at the end of the year, they don't always see the value. It's the kind of class where you want them to know this stuff, because once they will be in the industry, they'll need it "&amp;"every day. Um, but they don't know they need it every day. 
An undergrad program, it's also something complicated because it's teaching at the undergrad program might make sense, but then it's other kinds of challenges like younger students who might not"&amp;" be interested in this.")</f>
        <v>Human challenges are when you start teaching DevOps, it doesn't look serious.
So one of the challenges regarding the culture, if you want, is that when you tell them that initially they don't believe it. And only when they start doing it, they do believe it. 
Whatever they found it valuable usually, um, after the class is done at the end of the year, they don't always see the value. It's the kind of class where you want them to know this stuff, because once they will be in the industry, they'll need it every day. Um, but they don't know they need it every day. 
An undergrad program, it's also something complicated because it's teaching at the undergrad program might make sense, but then it's other kinds of challenges like younger students who might not be interested in this.</v>
      </c>
      <c r="E61" s="24" t="str">
        <f>IFERROR(__xludf.DUMMYFUNCTION("""COMPUTED_VALUE"""),"When you start teaching DevOps, it doesn't look relevant.
Students only believe the importance of DevOps mindset when they experiment in the practice.
Students do not know that they will need DevOps concepts at industry every day.
Young undergraduate s"&amp;"tudents can have no interest in DevOps course.")</f>
        <v>When you start teaching DevOps, it doesn't look relevant.
Students only believe the importance of DevOps mindset when they experiment in the practice.
Students do not know that they will need DevOps concepts at industry every day.
Young undergraduate students can have no interest in DevOps course.</v>
      </c>
      <c r="F61" s="24" t="str">
        <f>IFERROR(__xludf.DUMMYFUNCTION("""COMPUTED_VALUE"""),"DevOps course doesn't look relevant for undergratuate students when you start teaching.")</f>
        <v>DevOps course doesn't look relevant for undergratuate students when you start teaching.</v>
      </c>
      <c r="G61" s="45" t="str">
        <f>if(codigoDDivergenteJuiz = "first",codigoDDivergenteCodigo1,if (codigoDDivergenteJuiz = "second",codigoDDivergenteCodigo2, if (codigoDDivergenteCodigo1 = "", codigoDDivergenteCodigo2, codigoDDivergenteCodigo1)))</f>
        <v>students without motivation in DevOps course</v>
      </c>
      <c r="H61" s="45" t="str">
        <f>if(codigoDDivergenteJuiz = "first",codigoDDivergenteTema1,if (codigoDDivergenteJuiz = "second",codigoDDivergenteTema2, if (codigoDDivergenteCodigo1 = "", codigoDDivergenteTema2, codigoDDivergenteTema1)))</f>
        <v>strategies in course execution</v>
      </c>
    </row>
    <row r="62">
      <c r="A62" s="44">
        <f>IFERROR(__xludf.DUMMYFUNCTION("""COMPUTED_VALUE"""),67.0)</f>
        <v>67</v>
      </c>
      <c r="B62" s="44" t="str">
        <f>IFERROR(__xludf.DUMMYFUNCTION("""COMPUTED_VALUE"""),"R2 / R3")</f>
        <v>R2 / R3</v>
      </c>
      <c r="C62" s="44" t="str">
        <f>IFERROR(__xludf.DUMMYFUNCTION("""COMPUTED_VALUE"""),"challenge")</f>
        <v>challenge</v>
      </c>
      <c r="D62" s="24" t="str">
        <f>IFERROR(__xludf.DUMMYFUNCTION("""COMPUTED_VALUE"""),"When you do continuous integration, you need to have a logical base. You need to have a lot of people committing in the code changes often. Um, you need to have a lot of machines. You have the machines where people are coding. You have the machines that a"&amp;"re building, you have the machines that are the way you run your database. You have the machines where you deploy to. ... you need a lot of machines interconnected, um, with visibility on each other that they can get to.")</f>
        <v>When you do continuous integration, you need to have a logical base. You need to have a lot of people committing in the code changes often. Um, you need to have a lot of machines. You have the machines where people are coding. You have the machines that are building, you have the machines that are the way you run your database. You have the machines where you deploy to. ... you need a lot of machines interconnected, um, with visibility on each other that they can get to.</v>
      </c>
      <c r="E62" s="24" t="str">
        <f>IFERROR(__xludf.DUMMYFUNCTION("""COMPUTED_VALUE"""),"You need a lot of interconnected machines running different services with visibility on each other to do continous deployment.")</f>
        <v>You need a lot of interconnected machines running different services with visibility on each other to do continous deployment.</v>
      </c>
      <c r="F62" s="24"/>
      <c r="G62" s="45" t="str">
        <f>if(codigoDDivergenteJuiz = "first",codigoDDivergenteCodigo1,if (codigoDDivergenteJuiz = "second",codigoDDivergenteCodigo2, if (codigoDDivergenteCodigo1 = "", codigoDDivergenteCodigo2, codigoDDivergenteCodigo1)))</f>
        <v>Continous deployment require a lot of interconnected machines running different services with visibility to each other</v>
      </c>
      <c r="H62" s="45" t="str">
        <f>if(codigoDDivergenteJuiz = "first",codigoDDivergenteTema1,if (codigoDDivergenteJuiz = "second",codigoDDivergenteTema2, if (codigoDDivergenteCodigo1 = "", codigoDDivergenteTema2, codigoDDivergenteTema1)))</f>
        <v>environment setup</v>
      </c>
    </row>
    <row r="63">
      <c r="A63" s="44">
        <f>IFERROR(__xludf.DUMMYFUNCTION("""COMPUTED_VALUE"""),68.0)</f>
        <v>68</v>
      </c>
      <c r="B63" s="44" t="str">
        <f>IFERROR(__xludf.DUMMYFUNCTION("""COMPUTED_VALUE"""),"R1 / R2")</f>
        <v>R1 / R2</v>
      </c>
      <c r="C63" s="44" t="str">
        <f>IFERROR(__xludf.DUMMYFUNCTION("""COMPUTED_VALUE"""),"challenge")</f>
        <v>challenge</v>
      </c>
      <c r="D63" s="24" t="str">
        <f>IFERROR(__xludf.DUMMYFUNCTION("""COMPUTED_VALUE"""),"Uh, so that's a practical challenge that when you want to put it in place, and as a teacher, you want to be able to log into all of those machines to see what they're doing.")</f>
        <v>Uh, so that's a practical challenge that when you want to put it in place, and as a teacher, you want to be able to log into all of those machines to see what they're doing.</v>
      </c>
      <c r="E63" s="24" t="str">
        <f>IFERROR(__xludf.DUMMYFUNCTION("""COMPUTED_VALUE"""),"It's hard to supervise students' work when you use a lot of virtual machines.")</f>
        <v>It's hard to supervise students' work when you use a lot of virtual machines.</v>
      </c>
      <c r="F63" s="24"/>
      <c r="G63" s="45" t="str">
        <f>if(codigoDDivergenteJuiz = "first",codigoDDivergenteCodigo1,if (codigoDDivergenteJuiz = "second",codigoDDivergenteCodigo2, if (codigoDDivergenteCodigo1 = "", codigoDDivergenteCodigo2, codigoDDivergenteCodigo1)))</f>
        <v>difficulty in the supervision of students work with a lot of virtual machines</v>
      </c>
      <c r="H63" s="45" t="str">
        <f>if(codigoDDivergenteJuiz = "first",codigoDDivergenteTema1,if (codigoDDivergenteJuiz = "second",codigoDDivergenteTema2, if (codigoDDivergenteCodigo1 = "", codigoDDivergenteTema2, codigoDDivergenteTema1)))</f>
        <v>strategies in course execution</v>
      </c>
    </row>
    <row r="64">
      <c r="A64" s="44">
        <f>IFERROR(__xludf.DUMMYFUNCTION("""COMPUTED_VALUE"""),69.0)</f>
        <v>69</v>
      </c>
      <c r="B64" s="44" t="str">
        <f>IFERROR(__xludf.DUMMYFUNCTION("""COMPUTED_VALUE"""),"R1 / R3")</f>
        <v>R1 / R3</v>
      </c>
      <c r="C64" s="44" t="str">
        <f>IFERROR(__xludf.DUMMYFUNCTION("""COMPUTED_VALUE"""),"challenge")</f>
        <v>challenge</v>
      </c>
      <c r="D64" s="24" t="str">
        <f>IFERROR(__xludf.DUMMYFUNCTION("""COMPUTED_VALUE"""),"It's hard for them to see all the values, layers of source side, real shoes, deployment side. They have a tendency because the students write code clicky works done, right? And it's hard to teach them that no wanting code somewhere.")</f>
        <v>It's hard for them to see all the values, layers of source side, real shoes, deployment side. They have a tendency because the students write code clicky works done, right? And it's hard to teach them that no wanting code somewhere.</v>
      </c>
      <c r="E64" s="24" t="str">
        <f>IFERROR(__xludf.DUMMYFUNCTION("""COMPUTED_VALUE"""),"It's hard for students to see the values of deployment side and they don't want to do operational activities.")</f>
        <v>It's hard for students to see the values of deployment side and they don't want to do operational activities.</v>
      </c>
      <c r="F64" s="24"/>
      <c r="G64" s="45" t="str">
        <f>if(codigoDDivergenteJuiz = "first",codigoDDivergenteCodigo1,if (codigoDDivergenteJuiz = "second",codigoDDivergenteCodigo2, if (codigoDDivergenteCodigo1 = "", codigoDDivergenteCodigo2, codigoDDivergenteCodigo1)))</f>
        <v>difficulty in students understanding about deployment side without the knowledge of operational activities</v>
      </c>
      <c r="H64" s="45" t="str">
        <f>if(codigoDDivergenteJuiz = "first",codigoDDivergenteTema1,if (codigoDDivergenteJuiz = "second",codigoDDivergenteTema2, if (codigoDDivergenteCodigo1 = "", codigoDDivergenteTema2, codigoDDivergenteTema1)))</f>
        <v>devops concepts</v>
      </c>
    </row>
    <row r="65">
      <c r="A65" s="44">
        <f>IFERROR(__xludf.DUMMYFUNCTION("""COMPUTED_VALUE"""),70.0)</f>
        <v>70</v>
      </c>
      <c r="B65" s="44" t="str">
        <f>IFERROR(__xludf.DUMMYFUNCTION("""COMPUTED_VALUE"""),"R2 / R3")</f>
        <v>R2 / R3</v>
      </c>
      <c r="C65" s="44" t="str">
        <f>IFERROR(__xludf.DUMMYFUNCTION("""COMPUTED_VALUE"""),"challenge")</f>
        <v>challenge</v>
      </c>
      <c r="D65" s="24" t="str">
        <f>IFERROR(__xludf.DUMMYFUNCTION("""COMPUTED_VALUE"""),"What is hard is to be prepared with, um, a technology stack that is robust and simple or very simple so that you know exactly what you look when you help them debug.")</f>
        <v>What is hard is to be prepared with, um, a technology stack that is robust and simple or very simple so that you know exactly what you look when you help them debug.</v>
      </c>
      <c r="E65" s="24" t="str">
        <f>IFERROR(__xludf.DUMMYFUNCTION("""COMPUTED_VALUE"""),"It is hard to prepare a robust and simple technology stack.")</f>
        <v>It is hard to prepare a robust and simple technology stack.</v>
      </c>
      <c r="F65" s="24"/>
      <c r="G65" s="45" t="str">
        <f>if(codigoDDivergenteJuiz = "first",codigoDDivergenteCodigo1,if (codigoDDivergenteJuiz = "second",codigoDDivergenteCodigo2, if (codigoDDivergenteCodigo1 = "", codigoDDivergenteCodigo2, codigoDDivergenteCodigo1)))</f>
        <v>Hard preparation of simple and robust technologies</v>
      </c>
      <c r="H65" s="45" t="str">
        <f>if(codigoDDivergenteJuiz = "first",codigoDDivergenteTema1,if (codigoDDivergenteJuiz = "second",codigoDDivergenteTema2, if (codigoDDivergenteCodigo1 = "", codigoDDivergenteTema2, codigoDDivergenteTema1)))</f>
        <v>tool / technology</v>
      </c>
    </row>
    <row r="66">
      <c r="A66" s="44">
        <f>IFERROR(__xludf.DUMMYFUNCTION("""COMPUTED_VALUE"""),71.0)</f>
        <v>71</v>
      </c>
      <c r="B66" s="44" t="str">
        <f>IFERROR(__xludf.DUMMYFUNCTION("""COMPUTED_VALUE"""),"R1 / R2")</f>
        <v>R1 / R2</v>
      </c>
      <c r="C66" s="44" t="str">
        <f>IFERROR(__xludf.DUMMYFUNCTION("""COMPUTED_VALUE"""),"challenge")</f>
        <v>challenge</v>
      </c>
      <c r="D66" s="24" t="str">
        <f>IFERROR(__xludf.DUMMYFUNCTION("""COMPUTED_VALUE"""),"It's mostly the preparation of the exercise that is demanding.
That's one of the challenge that I find in preparing proper courses, finding and implementing an application, creating some issues in it, some bugs in it.")</f>
        <v>It's mostly the preparation of the exercise that is demanding.
That's one of the challenge that I find in preparing proper courses, finding and implementing an application, creating some issues in it, some bugs in it.</v>
      </c>
      <c r="E66" s="24" t="str">
        <f>IFERROR(__xludf.DUMMYFUNCTION("""COMPUTED_VALUE"""),"The preparation of the exercise is demanding.
It is laborious to prepare the exercise that the students will work.")</f>
        <v>The preparation of the exercise is demanding.
It is laborious to prepare the exercise that the students will work.</v>
      </c>
      <c r="F66" s="24" t="str">
        <f>IFERROR(__xludf.DUMMYFUNCTION("""COMPUTED_VALUE"""),"The preparation of the exercise is demanding.")</f>
        <v>The preparation of the exercise is demanding.</v>
      </c>
      <c r="G66" s="45" t="str">
        <f>if(codigoDDivergenteJuiz = "first",codigoDDivergenteCodigo1,if (codigoDDivergenteJuiz = "second",codigoDDivergenteCodigo2, if (codigoDDivergenteCodigo1 = "", codigoDDivergenteCodigo2, codigoDDivergenteCodigo1)))</f>
        <v>laborious exercise preparation</v>
      </c>
      <c r="H66" s="45" t="str">
        <f>if(codigoDDivergenteJuiz = "first",codigoDDivergenteTema1,if (codigoDDivergenteJuiz = "second",codigoDDivergenteTema2, if (codigoDDivergenteCodigo1 = "", codigoDDivergenteTema2, codigoDDivergenteTema1)))</f>
        <v>class preparation</v>
      </c>
    </row>
    <row r="67">
      <c r="A67" s="44">
        <f>IFERROR(__xludf.DUMMYFUNCTION("""COMPUTED_VALUE"""),72.0)</f>
        <v>72</v>
      </c>
      <c r="B67" s="44" t="str">
        <f>IFERROR(__xludf.DUMMYFUNCTION("""COMPUTED_VALUE"""),"R1 / R3")</f>
        <v>R1 / R3</v>
      </c>
      <c r="C67" s="44" t="str">
        <f>IFERROR(__xludf.DUMMYFUNCTION("""COMPUTED_VALUE"""),"challenge")</f>
        <v>challenge</v>
      </c>
      <c r="D67" s="24" t="str">
        <f>IFERROR(__xludf.DUMMYFUNCTION("""COMPUTED_VALUE"""),"Um, but then the preparation for the class itself was a concept class. That's, I've done that. Um, and then adjust, but it's no more difficult than any other class. It depends what you know, and what you do as a job. Right? And that's part of my job to do"&amp;" it. So I feel comfortable")</f>
        <v>Um, but then the preparation for the class itself was a concept class. That's, I've done that. Um, and then adjust, but it's no more difficult than any other class. It depends what you know, and what you do as a job. Right? And that's part of my job to do it. So I feel comfortable</v>
      </c>
      <c r="E67" s="24" t="str">
        <f>IFERROR(__xludf.DUMMYFUNCTION("""COMPUTED_VALUE"""),"Teach DevOps requires much knowledge from the professor who could not be familiar with it.")</f>
        <v>Teach DevOps requires much knowledge from the professor who could not be familiar with it.</v>
      </c>
      <c r="F67" s="24"/>
      <c r="G67" s="45" t="str">
        <f>if(codigoDDivergenteJuiz = "first",codigoDDivergenteCodigo1,if (codigoDDivergenteJuiz = "second",codigoDDivergenteCodigo2, if (codigoDDivergenteCodigo1 = "", codigoDDivergenteCodigo2, codigoDDivergenteCodigo1)))</f>
        <v>requirement of teaching a lot of DevOps knowledge from the professor perspective</v>
      </c>
      <c r="H67" s="45" t="str">
        <f>if(codigoDDivergenteJuiz = "first",codigoDDivergenteTema1,if (codigoDDivergenteJuiz = "second",codigoDDivergenteTema2, if (codigoDDivergenteCodigo1 = "", codigoDDivergenteTema2, codigoDDivergenteTema1)))</f>
        <v>class preparation</v>
      </c>
    </row>
    <row r="68">
      <c r="A68" s="44">
        <f>IFERROR(__xludf.DUMMYFUNCTION("""COMPUTED_VALUE"""),73.0)</f>
        <v>73</v>
      </c>
      <c r="B68" s="44" t="str">
        <f>IFERROR(__xludf.DUMMYFUNCTION("""COMPUTED_VALUE"""),"R2 / R3")</f>
        <v>R2 / R3</v>
      </c>
      <c r="C68" s="44" t="str">
        <f>IFERROR(__xludf.DUMMYFUNCTION("""COMPUTED_VALUE"""),"challenge")</f>
        <v>challenge</v>
      </c>
      <c r="D68" s="24" t="str">
        <f>IFERROR(__xludf.DUMMYFUNCTION("""COMPUTED_VALUE"""),"I check out the code of every group. And I look at the commits who has done what I look at. How has it been coded, easy to blatant copy paste of somebody else's code? Is it innovative? I run all the scripts. I ask them to provide me with scripts that are "&amp;"portable, that will run on my computer. Um, and there has to be a bill script or run script, uh, scenario, script, et cetera. And I run them on my computer. It takes four it's very long. Uh, but it's an effective way of checking what they've done.")</f>
        <v>I check out the code of every group. And I look at the commits who has done what I look at. How has it been coded, easy to blatant copy paste of somebody else's code? Is it innovative? I run all the scripts. I ask them to provide me with scripts that are portable, that will run on my computer. Um, and there has to be a bill script or run script, uh, scenario, script, et cetera. And I run them on my computer. It takes four it's very long. Uh, but it's an effective way of checking what they've done.</v>
      </c>
      <c r="E68" s="24" t="str">
        <f>IFERROR(__xludf.DUMMYFUNCTION("""COMPUTED_VALUE"""),"It is arduous to analyse the code and run scripts for each project.")</f>
        <v>It is arduous to analyse the code and run scripts for each project.</v>
      </c>
      <c r="F68" s="24"/>
      <c r="G68" s="45" t="str">
        <f>if(codigoDDivergenteJuiz = "first",codigoDDivergenteCodigo1,if (codigoDDivergenteJuiz = "second",codigoDDivergenteCodigo2, if (codigoDDivergenteCodigo1 = "", codigoDDivergenteCodigo2, codigoDDivergenteCodigo1)))</f>
        <v>arduous analysis for each project</v>
      </c>
      <c r="H68" s="45" t="str">
        <f>if(codigoDDivergenteJuiz = "first",codigoDDivergenteTema1,if (codigoDDivergenteJuiz = "second",codigoDDivergenteTema2, if (codigoDDivergenteCodigo1 = "", codigoDDivergenteTema2, codigoDDivergenteTema1)))</f>
        <v>assessment</v>
      </c>
    </row>
    <row r="69">
      <c r="A69" s="44">
        <f>IFERROR(__xludf.DUMMYFUNCTION("""COMPUTED_VALUE"""),74.0)</f>
        <v>74</v>
      </c>
      <c r="B69" s="44" t="str">
        <f>IFERROR(__xludf.DUMMYFUNCTION("""COMPUTED_VALUE"""),"R1 / R2")</f>
        <v>R1 / R2</v>
      </c>
      <c r="C69" s="44" t="str">
        <f>IFERROR(__xludf.DUMMYFUNCTION("""COMPUTED_VALUE"""),"challenge")</f>
        <v>challenge</v>
      </c>
      <c r="D69" s="24" t="str">
        <f>IFERROR(__xludf.DUMMYFUNCTION("""COMPUTED_VALUE"""),"We show them Kubernetes, um, but they don't really have time to practice on Kubernetes.")</f>
        <v>We show them Kubernetes, um, but they don't really have time to practice on Kubernetes.</v>
      </c>
      <c r="E69" s="24" t="str">
        <f>IFERROR(__xludf.DUMMYFUNCTION("""COMPUTED_VALUE"""),"They don't have time to practice on Kubernetes because it is lot of work.")</f>
        <v>They don't have time to practice on Kubernetes because it is lot of work.</v>
      </c>
      <c r="F69" s="24"/>
      <c r="G69" s="45" t="str">
        <f>if(codigoDDivergenteJuiz = "first",codigoDDivergenteCodigo1,if (codigoDDivergenteJuiz = "second",codigoDDivergenteCodigo2, if (codigoDDivergenteCodigo1 = "", codigoDDivergenteCodigo2, codigoDDivergenteCodigo1)))</f>
        <v>without time to practice Kubernetes</v>
      </c>
      <c r="H69" s="45" t="str">
        <f>if(codigoDDivergenteJuiz = "first",codigoDDivergenteTema1,if (codigoDDivergenteJuiz = "second",codigoDDivergenteTema2, if (codigoDDivergenteCodigo1 = "", codigoDDivergenteTema2, codigoDDivergenteTema1)))</f>
        <v>curriculum</v>
      </c>
    </row>
    <row r="70">
      <c r="A70" s="44">
        <f>IFERROR(__xludf.DUMMYFUNCTION("""COMPUTED_VALUE"""),75.0)</f>
        <v>75</v>
      </c>
      <c r="B70" s="44" t="str">
        <f>IFERROR(__xludf.DUMMYFUNCTION("""COMPUTED_VALUE"""),"R1 / R3")</f>
        <v>R1 / R3</v>
      </c>
      <c r="C70" s="44" t="str">
        <f>IFERROR(__xludf.DUMMYFUNCTION("""COMPUTED_VALUE"""),"challenge")</f>
        <v>challenge</v>
      </c>
      <c r="D70" s="24" t="str">
        <f>IFERROR(__xludf.DUMMYFUNCTION("""COMPUTED_VALUE"""),"And as I said, we, students are doing other things. So this means we are limited in what we can ask them.")</f>
        <v>And as I said, we, students are doing other things. So this means we are limited in what we can ask them.</v>
      </c>
      <c r="E70" s="24" t="str">
        <f>IFERROR(__xludf.DUMMYFUNCTION("""COMPUTED_VALUE"""),"There is a limitation of what is appropriate to ask the students because they are doing a lot of other activities.")</f>
        <v>There is a limitation of what is appropriate to ask the students because they are doing a lot of other activities.</v>
      </c>
      <c r="F70" s="24"/>
      <c r="G70" s="45" t="str">
        <f>if(codigoDDivergenteJuiz = "first",codigoDDivergenteCodigo1,if (codigoDDivergenteJuiz = "second",codigoDDivergenteCodigo2, if (codigoDDivergenteCodigo1 = "", codigoDDivergenteCodigo2, codigoDDivergenteCodigo1)))</f>
        <v>limitation of about professor´s asks due many activities</v>
      </c>
      <c r="H70" s="45" t="str">
        <f>if(codigoDDivergenteJuiz = "first",codigoDDivergenteTema1,if (codigoDDivergenteJuiz = "second",codigoDDivergenteTema2, if (codigoDDivergenteCodigo1 = "", codigoDDivergenteTema2, codigoDDivergenteTema1)))</f>
        <v>strategies in course execution</v>
      </c>
    </row>
    <row r="71">
      <c r="A71" s="44">
        <f>IFERROR(__xludf.DUMMYFUNCTION("""COMPUTED_VALUE"""),76.0)</f>
        <v>76</v>
      </c>
      <c r="B71" s="44" t="str">
        <f>IFERROR(__xludf.DUMMYFUNCTION("""COMPUTED_VALUE"""),"R2 / R3")</f>
        <v>R2 / R3</v>
      </c>
      <c r="C71" s="44" t="str">
        <f>IFERROR(__xludf.DUMMYFUNCTION("""COMPUTED_VALUE"""),"challenge")</f>
        <v>challenge</v>
      </c>
      <c r="D71" s="24" t="str">
        <f>IFERROR(__xludf.DUMMYFUNCTION("""COMPUTED_VALUE"""),"For us as educators, we need to find a way where we can make it interesting.
You can make the lectures more interactive, but to make the lecture attractive students have to willing to interact. Right. Which is very difficult to do.")</f>
        <v>For us as educators, we need to find a way where we can make it interesting.
You can make the lectures more interactive, but to make the lecture attractive students have to willing to interact. Right. Which is very difficult to do.</v>
      </c>
      <c r="E71" s="24" t="str">
        <f>IFERROR(__xludf.DUMMYFUNCTION("""COMPUTED_VALUE"""),"Make a DevOps course attractive to the students is challenging.
Make the lectures attractive is difficult.")</f>
        <v>Make a DevOps course attractive to the students is challenging.
Make the lectures attractive is difficult.</v>
      </c>
      <c r="F71" s="24" t="str">
        <f>IFERROR(__xludf.DUMMYFUNCTION("""COMPUTED_VALUE"""),"Make a DevOps course attractive to the students is challenging.")</f>
        <v>Make a DevOps course attractive to the students is challenging.</v>
      </c>
      <c r="G71" s="45" t="str">
        <f>if(codigoDDivergenteJuiz = "first",codigoDDivergenteCodigo1,if (codigoDDivergenteJuiz = "second",codigoDDivergenteCodigo2, if (codigoDDivergenteCodigo1 = "", codigoDDivergenteCodigo2, codigoDDivergenteCodigo1)))</f>
        <v>Challenge of creation of an attractive DevOps course</v>
      </c>
      <c r="H71" s="45" t="str">
        <f>if(codigoDDivergenteJuiz = "first",codigoDDivergenteTema1,if (codigoDDivergenteJuiz = "second",codigoDDivergenteTema2, if (codigoDDivergenteCodigo1 = "", codigoDDivergenteTema2, codigoDDivergenteTema1)))</f>
        <v>class preparation</v>
      </c>
    </row>
    <row r="72">
      <c r="A72" s="44">
        <f>IFERROR(__xludf.DUMMYFUNCTION("""COMPUTED_VALUE"""),77.0)</f>
        <v>77</v>
      </c>
      <c r="B72" s="44" t="str">
        <f>IFERROR(__xludf.DUMMYFUNCTION("""COMPUTED_VALUE"""),"R1 / R2")</f>
        <v>R1 / R2</v>
      </c>
      <c r="C72" s="44" t="str">
        <f>IFERROR(__xludf.DUMMYFUNCTION("""COMPUTED_VALUE"""),"challenge")</f>
        <v>challenge</v>
      </c>
      <c r="D72" s="24" t="str">
        <f>IFERROR(__xludf.DUMMYFUNCTION("""COMPUTED_VALUE"""),"The biggest challenge is this, like, what goes in, you know? People do lots of things in the DevOps Pipeline these days, which doesn't necessarily go into a DevOps course, right?
I would say at the end of the fall, or maybe at the beginning of 2019, we s"&amp;"tarted to plan this course. And for the longest time I was really questioning myself. Like, what do you teach in a DevOps course?
Now we're questioning ourselves. What else did we bring in? We may add some things about a bit of telemetry. So they have a "&amp;"bit of telemetry because they have lives, but we put some emphasis on it.")</f>
        <v>The biggest challenge is this, like, what goes in, you know? People do lots of things in the DevOps Pipeline these days, which doesn't necessarily go into a DevOps course, right?
I would say at the end of the fall, or maybe at the beginning of 2019, we started to plan this course. And for the longest time I was really questioning myself. Like, what do you teach in a DevOps course?
Now we're questioning ourselves. What else did we bring in? We may add some things about a bit of telemetry. So they have a bit of telemetry because they have lives, but we put some emphasis on it.</v>
      </c>
      <c r="E72" s="24" t="str">
        <f>IFERROR(__xludf.DUMMYFUNCTION("""COMPUTED_VALUE"""),"There is no convention as to what are the main DevOps concepts that should be taught.
It's difficult to decide what will be taught in a DevOps course.
Hard to decide whether to teach telemetry or not.")</f>
        <v>There is no convention as to what are the main DevOps concepts that should be taught.
It's difficult to decide what will be taught in a DevOps course.
Hard to decide whether to teach telemetry or not.</v>
      </c>
      <c r="F72" s="24" t="str">
        <f>IFERROR(__xludf.DUMMYFUNCTION("""COMPUTED_VALUE"""),"There is no convention as to what are the main DevOps concepts that should be taught.")</f>
        <v>There is no convention as to what are the main DevOps concepts that should be taught.</v>
      </c>
      <c r="G72" s="45" t="str">
        <f>if(codigoDDivergenteJuiz = "first",codigoDDivergenteCodigo1,if (codigoDDivergenteJuiz = "second",codigoDDivergenteCodigo2, if (codigoDDivergenteCodigo1 = "", codigoDDivergenteCodigo2, codigoDDivergenteCodigo1)))</f>
        <v>no convention about DevOps course curriculum</v>
      </c>
      <c r="H72" s="45" t="str">
        <f>if(codigoDDivergenteJuiz = "first",codigoDDivergenteTema1,if (codigoDDivergenteJuiz = "second",codigoDDivergenteTema2, if (codigoDDivergenteCodigo1 = "", codigoDDivergenteTema2, codigoDDivergenteTema1)))</f>
        <v>curriculum</v>
      </c>
    </row>
    <row r="73">
      <c r="A73" s="44">
        <f>IFERROR(__xludf.DUMMYFUNCTION("""COMPUTED_VALUE"""),78.0)</f>
        <v>78</v>
      </c>
      <c r="B73" s="44" t="str">
        <f>IFERROR(__xludf.DUMMYFUNCTION("""COMPUTED_VALUE"""),"R1 / R3")</f>
        <v>R1 / R3</v>
      </c>
      <c r="C73" s="44" t="str">
        <f>IFERROR(__xludf.DUMMYFUNCTION("""COMPUTED_VALUE"""),"challenge")</f>
        <v>challenge</v>
      </c>
      <c r="D73" s="24" t="str">
        <f>IFERROR(__xludf.DUMMYFUNCTION("""COMPUTED_VALUE"""),"The, the overall context will change the process they use will have to change, to adapt, to become better, to, to stay at the top too, you know, they have to, so they have to recognize first that technologies will change, but the foundation, the fundament"&amp;"als will remain,")</f>
        <v>The, the overall context will change the process they use will have to change, to adapt, to become better, to, to stay at the top too, you know, they have to, so they have to recognize first that technologies will change, but the foundation, the fundamentals will remain,</v>
      </c>
      <c r="E73" s="24" t="str">
        <f>IFERROR(__xludf.DUMMYFUNCTION("""COMPUTED_VALUE"""),"It's hard to make clear to students and make them understand the fact that technologies will change with time, but the fundamentals will remain.")</f>
        <v>It's hard to make clear to students and make them understand the fact that technologies will change with time, but the fundamentals will remain.</v>
      </c>
      <c r="F73" s="24"/>
      <c r="G73" s="45" t="str">
        <f>if(codigoDDivergenteJuiz = "first",codigoDDivergenteCodigo1,if (codigoDDivergenteJuiz = "second",codigoDDivergenteCodigo2, if (codigoDDivergenteCodigo1 = "", codigoDDivergenteCodigo2, codigoDDivergenteCodigo1)))</f>
        <v>Students' understanding of the importance of DevOps concepts over the tools</v>
      </c>
      <c r="H73" s="45" t="str">
        <f>if(codigoDDivergenteJuiz = "first",codigoDDivergenteTema1,if (codigoDDivergenteJuiz = "second",codigoDDivergenteTema2, if (codigoDDivergenteCodigo1 = "", codigoDDivergenteTema2, codigoDDivergenteTema1)))</f>
        <v>devops concepts</v>
      </c>
    </row>
    <row r="74">
      <c r="A74" s="44">
        <f>IFERROR(__xludf.DUMMYFUNCTION("""COMPUTED_VALUE"""),79.0)</f>
        <v>79</v>
      </c>
      <c r="B74" s="44" t="str">
        <f>IFERROR(__xludf.DUMMYFUNCTION("""COMPUTED_VALUE"""),"R2 / R3")</f>
        <v>R2 / R3</v>
      </c>
      <c r="C74" s="44" t="str">
        <f>IFERROR(__xludf.DUMMYFUNCTION("""COMPUTED_VALUE"""),"challenge")</f>
        <v>challenge</v>
      </c>
      <c r="D74" s="24" t="str">
        <f>IFERROR(__xludf.DUMMYFUNCTION("""COMPUTED_VALUE"""),"JIRA is quite difficult to use in industry context, um, just because of the license model then. So it's, it's too complex.")</f>
        <v>JIRA is quite difficult to use in industry context, um, just because of the license model then. So it's, it's too complex.</v>
      </c>
      <c r="E74" s="24" t="str">
        <f>IFERROR(__xludf.DUMMYFUNCTION("""COMPUTED_VALUE"""),"It's difficult to use Jira lifecycle management tool because of its licence model.")</f>
        <v>It's difficult to use Jira lifecycle management tool because of its licence model.</v>
      </c>
      <c r="F74" s="24"/>
      <c r="G74" s="45" t="str">
        <f>if(codigoDDivergenteJuiz = "first",codigoDDivergenteCodigo1,if (codigoDDivergenteJuiz = "second",codigoDDivergenteCodigo2, if (codigoDDivergenteCodigo1 = "", codigoDDivergenteCodigo2, codigoDDivergenteCodigo1)))</f>
        <v>arduous manage of Jira lifecycles licence</v>
      </c>
      <c r="H74" s="45" t="str">
        <f>if(codigoDDivergenteJuiz = "first",codigoDDivergenteTema1,if (codigoDDivergenteJuiz = "second",codigoDDivergenteTema2, if (codigoDDivergenteCodigo1 = "", codigoDDivergenteTema2, codigoDDivergenteTema1)))</f>
        <v>tool / technology</v>
      </c>
    </row>
    <row r="75">
      <c r="A75" s="44">
        <f>IFERROR(__xludf.DUMMYFUNCTION("""COMPUTED_VALUE"""),80.0)</f>
        <v>80</v>
      </c>
      <c r="B75" s="44" t="str">
        <f>IFERROR(__xludf.DUMMYFUNCTION("""COMPUTED_VALUE"""),"R1 / R2")</f>
        <v>R1 / R2</v>
      </c>
      <c r="C75" s="44" t="str">
        <f>IFERROR(__xludf.DUMMYFUNCTION("""COMPUTED_VALUE"""),"challenge")</f>
        <v>challenge</v>
      </c>
      <c r="D75" s="24" t="str">
        <f>IFERROR(__xludf.DUMMYFUNCTION("""COMPUTED_VALUE"""),"So one of the challenge from an environment point of view is to get something that students can relate to.")</f>
        <v>So one of the challenge from an environment point of view is to get something that students can relate to.</v>
      </c>
      <c r="E75" s="24" t="str">
        <f>IFERROR(__xludf.DUMMYFUNCTION("""COMPUTED_VALUE"""),"It's hard to find something students can relate to, from a environment point of view.")</f>
        <v>It's hard to find something students can relate to, from a environment point of view.</v>
      </c>
      <c r="F75" s="24"/>
      <c r="G75" s="45" t="str">
        <f>if(codigoDDivergenteJuiz = "first",codigoDDivergenteCodigo1,if (codigoDDivergenteJuiz = "second",codigoDDivergenteCodigo2, if (codigoDDivergenteCodigo1 = "", codigoDDivergenteCodigo2, codigoDDivergenteCodigo1)))</f>
        <v>difficulty students in relationship with an environment point of view</v>
      </c>
      <c r="H75" s="45" t="str">
        <f>if(codigoDDivergenteJuiz = "first",codigoDDivergenteTema1,if (codigoDDivergenteJuiz = "second",codigoDDivergenteTema2, if (codigoDDivergenteCodigo1 = "", codigoDDivergenteTema2, codigoDDivergenteTema1)))</f>
        <v>strategies in course execution</v>
      </c>
    </row>
    <row r="76">
      <c r="A76" s="44">
        <f>IFERROR(__xludf.DUMMYFUNCTION("""COMPUTED_VALUE"""),81.0)</f>
        <v>81</v>
      </c>
      <c r="B76" s="44" t="str">
        <f>IFERROR(__xludf.DUMMYFUNCTION("""COMPUTED_VALUE"""),"R1 / R3")</f>
        <v>R1 / R3</v>
      </c>
      <c r="C76" s="44" t="str">
        <f>IFERROR(__xludf.DUMMYFUNCTION("""COMPUTED_VALUE"""),"challenge")</f>
        <v>challenge</v>
      </c>
      <c r="D76" s="24" t="str">
        <f>IFERROR(__xludf.DUMMYFUNCTION("""COMPUTED_VALUE"""),"We hear from our industrial partners and from industry in general is there's this HUGE gap right? Between what the industry needs and what university provides.")</f>
        <v>We hear from our industrial partners and from industry in general is there's this HUGE gap right? Between what the industry needs and what university provides.</v>
      </c>
      <c r="E76" s="24" t="str">
        <f>IFERROR(__xludf.DUMMYFUNCTION("""COMPUTED_VALUE"""),"There is a lack between what the industry wants from students about DevOps and what the university teaches.")</f>
        <v>There is a lack between what the industry wants from students about DevOps and what the university teaches.</v>
      </c>
      <c r="F76" s="24"/>
      <c r="G76" s="45" t="str">
        <f>if(codigoDDivergenteJuiz = "first",codigoDDivergenteCodigo1,if (codigoDDivergenteJuiz = "second",codigoDDivergenteCodigo2, if (codigoDDivergenteCodigo1 = "", codigoDDivergenteCodigo2, codigoDDivergenteCodigo1)))</f>
        <v>difference between industry desire about student knowledge of DevOps and DevOps academic teaching</v>
      </c>
      <c r="H76" s="45" t="str">
        <f>if(codigoDDivergenteJuiz = "first",codigoDDivergenteTema1,if (codigoDDivergenteJuiz = "second",codigoDDivergenteTema2, if (codigoDDivergenteCodigo1 = "", codigoDDivergenteTema2, codigoDDivergenteTema1)))</f>
        <v>curriculum</v>
      </c>
    </row>
    <row r="77">
      <c r="A77" s="44">
        <f>IFERROR(__xludf.DUMMYFUNCTION("""COMPUTED_VALUE"""),82.0)</f>
        <v>82</v>
      </c>
      <c r="B77" s="44" t="str">
        <f>IFERROR(__xludf.DUMMYFUNCTION("""COMPUTED_VALUE"""),"R2 / R3")</f>
        <v>R2 / R3</v>
      </c>
      <c r="C77" s="44" t="str">
        <f>IFERROR(__xludf.DUMMYFUNCTION("""COMPUTED_VALUE"""),"challenge")</f>
        <v>challenge</v>
      </c>
      <c r="D77" s="24" t="str">
        <f>IFERROR(__xludf.DUMMYFUNCTION("""COMPUTED_VALUE"""),"It didn't work for some specific tools that they wanted to present using this a katacoda, uh, website.")</f>
        <v>It didn't work for some specific tools that they wanted to present using this a katacoda, uh, website.</v>
      </c>
      <c r="E77" s="24" t="str">
        <f>IFERROR(__xludf.DUMMYFUNCTION("""COMPUTED_VALUE"""),"Katacoda does not work for some specific tools.")</f>
        <v>Katacoda does not work for some specific tools.</v>
      </c>
      <c r="F77" s="24"/>
      <c r="G77" s="45" t="str">
        <f>if(codigoDDivergenteJuiz = "first",codigoDDivergenteCodigo1,if (codigoDDivergenteJuiz = "second",codigoDDivergenteCodigo2, if (codigoDDivergenteCodigo1 = "", codigoDDivergenteCodigo2, codigoDDivergenteCodigo1)))</f>
        <v>spacific tools do not woth with katacoda</v>
      </c>
      <c r="H77" s="45" t="str">
        <f>if(codigoDDivergenteJuiz = "first",codigoDDivergenteTema1,if (codigoDDivergenteJuiz = "second",codigoDDivergenteTema2, if (codigoDDivergenteCodigo1 = "", codigoDDivergenteTema2, codigoDDivergenteTema1)))</f>
        <v>tool / technology</v>
      </c>
    </row>
    <row r="78">
      <c r="A78" s="44">
        <f>IFERROR(__xludf.DUMMYFUNCTION("""COMPUTED_VALUE"""),83.0)</f>
        <v>83</v>
      </c>
      <c r="B78" s="44" t="str">
        <f>IFERROR(__xludf.DUMMYFUNCTION("""COMPUTED_VALUE"""),"R1 / R2")</f>
        <v>R1 / R2</v>
      </c>
      <c r="C78" s="44" t="str">
        <f>IFERROR(__xludf.DUMMYFUNCTION("""COMPUTED_VALUE"""),"challenge")</f>
        <v>challenge</v>
      </c>
      <c r="D78" s="24" t="str">
        <f>IFERROR(__xludf.DUMMYFUNCTION("""COMPUTED_VALUE"""),"Since the students were free to use any technology and present it ...  it was hard to stay as objective as possible and to have, uh, have the same criteria and metric for, uh, scoring different students, because someone was working on this project, someon"&amp;"e was working on that project.")</f>
        <v>Since the students were free to use any technology and present it ...  it was hard to stay as objective as possible and to have, uh, have the same criteria and metric for, uh, scoring different students, because someone was working on this project, someone was working on that project.</v>
      </c>
      <c r="E78" s="24" t="str">
        <f>IFERROR(__xludf.DUMMYFUNCTION("""COMPUTED_VALUE"""),"It was hard to have the same criteria and metric for scoring different students because they were free to use any technology and present it.")</f>
        <v>It was hard to have the same criteria and metric for scoring different students because they were free to use any technology and present it.</v>
      </c>
      <c r="F78" s="24"/>
      <c r="G78" s="45" t="str">
        <f>if(codigoDDivergenteJuiz = "first",codigoDDivergenteCodigo1,if (codigoDDivergenteJuiz = "second",codigoDDivergenteCodigo2, if (codigoDDivergenteCodigo1 = "", codigoDDivergenteCodigo2, codigoDDivergenteCodigo1)))</f>
        <v>challenging evaluation with the same criteria a classroom with different technologies</v>
      </c>
      <c r="H78" s="45" t="str">
        <f>if(codigoDDivergenteJuiz = "first",codigoDDivergenteTema1,if (codigoDDivergenteJuiz = "second",codigoDDivergenteTema2, if (codigoDDivergenteCodigo1 = "", codigoDDivergenteTema2, codigoDDivergenteTema1)))</f>
        <v>assessment</v>
      </c>
    </row>
    <row r="79">
      <c r="A79" s="44">
        <f>IFERROR(__xludf.DUMMYFUNCTION("""COMPUTED_VALUE"""),84.0)</f>
        <v>84</v>
      </c>
      <c r="B79" s="44" t="str">
        <f>IFERROR(__xludf.DUMMYFUNCTION("""COMPUTED_VALUE"""),"R1 / R3")</f>
        <v>R1 / R3</v>
      </c>
      <c r="C79" s="44" t="str">
        <f>IFERROR(__xludf.DUMMYFUNCTION("""COMPUTED_VALUE"""),"challenge")</f>
        <v>challenge</v>
      </c>
      <c r="D79" s="24" t="str">
        <f>IFERROR(__xludf.DUMMYFUNCTION("""COMPUTED_VALUE"""),"It was a bit risk because if they had contributed to something that, uh, that the developers didn't merge they wouldn't get, uh, get the score.")</f>
        <v>It was a bit risk because if they had contributed to something that, uh, that the developers didn't merge they wouldn't get, uh, get the score.</v>
      </c>
      <c r="E79" s="24" t="str">
        <f>IFERROR(__xludf.DUMMYFUNCTION("""COMPUTED_VALUE"""),"The students wouldn't get the score if they had contributed to some open source project that the developers didn't merge on github.")</f>
        <v>The students wouldn't get the score if they had contributed to some open source project that the developers didn't merge on github.</v>
      </c>
      <c r="F79" s="24"/>
      <c r="G79" s="45" t="str">
        <f>if(codigoDDivergenteJuiz = "first",codigoDDivergenteCodigo1,if (codigoDDivergenteJuiz = "second",codigoDDivergenteCodigo2, if (codigoDDivergenteCodigo1 = "", codigoDDivergenteCodigo2, codigoDDivergenteCodigo1)))</f>
        <v>student scores based on Github commit approval</v>
      </c>
      <c r="H79" s="45" t="str">
        <f>if(codigoDDivergenteJuiz = "first",codigoDDivergenteTema1,if (codigoDDivergenteJuiz = "second",codigoDDivergenteTema2, if (codigoDDivergenteCodigo1 = "", codigoDDivergenteTema2, codigoDDivergenteTema1)))</f>
        <v>assessment</v>
      </c>
    </row>
    <row r="80">
      <c r="A80" s="44">
        <f>IFERROR(__xludf.DUMMYFUNCTION("""COMPUTED_VALUE"""),85.0)</f>
        <v>85</v>
      </c>
      <c r="B80" s="44" t="str">
        <f>IFERROR(__xludf.DUMMYFUNCTION("""COMPUTED_VALUE"""),"R2 / R3")</f>
        <v>R2 / R3</v>
      </c>
      <c r="C80" s="44" t="str">
        <f>IFERROR(__xludf.DUMMYFUNCTION("""COMPUTED_VALUE"""),"challenge")</f>
        <v>challenge</v>
      </c>
      <c r="D80" s="24" t="str">
        <f>IFERROR(__xludf.DUMMYFUNCTION("""COMPUTED_VALUE"""),"How this practitioner really works, because if you're not doing this, then you will stay at a very technical level. Like you deploy a pipeline and you're doing DevOps, which is absolutely not the case. And that's absolutely not the, uh, understanding of w"&amp;"hat DevOps is.")</f>
        <v>How this practitioner really works, because if you're not doing this, then you will stay at a very technical level. Like you deploy a pipeline and you're doing DevOps, which is absolutely not the case. And that's absolutely not the, uh, understanding of what DevOps is.</v>
      </c>
      <c r="E80" s="24" t="str">
        <f>IFERROR(__xludf.DUMMYFUNCTION("""COMPUTED_VALUE"""),"It is difficult to students understand how the pipeline deployment works and not just running it.")</f>
        <v>It is difficult to students understand how the pipeline deployment works and not just running it.</v>
      </c>
      <c r="F80" s="24"/>
      <c r="G80" s="45" t="str">
        <f>if(codigoDDivergenteJuiz = "first",codigoDDivergenteCodigo1,if (codigoDDivergenteJuiz = "second",codigoDDivergenteCodigo2, if (codigoDDivergenteCodigo1 = "", codigoDDivergenteCodigo2, codigoDDivergenteCodigo1)))</f>
        <v>how pipeline deployment works</v>
      </c>
      <c r="H80" s="45" t="str">
        <f>if(codigoDDivergenteJuiz = "first",codigoDDivergenteTema1,if (codigoDDivergenteJuiz = "second",codigoDDivergenteTema2, if (codigoDDivergenteCodigo1 = "", codigoDDivergenteTema2, codigoDDivergenteTema1)))</f>
        <v>devops concepts</v>
      </c>
    </row>
    <row r="81">
      <c r="A81" s="44">
        <f>IFERROR(__xludf.DUMMYFUNCTION("""COMPUTED_VALUE"""),86.0)</f>
        <v>86</v>
      </c>
      <c r="B81" s="44" t="str">
        <f>IFERROR(__xludf.DUMMYFUNCTION("""COMPUTED_VALUE"""),"R1 / R2")</f>
        <v>R1 / R2</v>
      </c>
      <c r="C81" s="44" t="str">
        <f>IFERROR(__xludf.DUMMYFUNCTION("""COMPUTED_VALUE"""),"challenge")</f>
        <v>challenge</v>
      </c>
      <c r="D81" s="24" t="str">
        <f>IFERROR(__xludf.DUMMYFUNCTION("""COMPUTED_VALUE"""),"We try to use, um, like remote services to relieve the burden of setup saying that, okay, you're going to use Jenkins on the cloud. Then you're going to use, we have this partnership with IBM. So we're using to use the bluemix platform from, uh, IBM that "&amp;"was supporting this kind of thing, um, disaster, because in the end it was really complicated to debug what was happening because you don't have the access go on the what's happening.
I think that that's one of the course that costed me the most in terms"&amp;" of, uh, frustrating time I've spent, uh, debugging lab sessions, ")</f>
        <v>We try to use, um, like remote services to relieve the burden of setup saying that, okay, you're going to use Jenkins on the cloud. Then you're going to use, we have this partnership with IBM. So we're using to use the bluemix platform from, uh, IBM that was supporting this kind of thing, um, disaster, because in the end it was really complicated to debug what was happening because you don't have the access go on the what's happening.
I think that that's one of the course that costed me the most in terms of, uh, frustrating time I've spent, uh, debugging lab sessions, </v>
      </c>
      <c r="E81" s="24" t="str">
        <f>IFERROR(__xludf.DUMMYFUNCTION("""COMPUTED_VALUE"""),"Using remote services is really complicated to debug because you don't have the access on the what's happening.
Debugging lab sessions are frustating.")</f>
        <v>Using remote services is really complicated to debug because you don't have the access on the what's happening.
Debugging lab sessions are frustating.</v>
      </c>
      <c r="F81" s="24" t="str">
        <f>IFERROR(__xludf.DUMMYFUNCTION("""COMPUTED_VALUE"""),"Debugging lab sessions are very difficult.")</f>
        <v>Debugging lab sessions are very difficult.</v>
      </c>
      <c r="G81" s="45" t="str">
        <f>if(codigoDDivergenteJuiz = "first",codigoDDivergenteCodigo1,if (codigoDDivergenteJuiz = "second",codigoDDivergenteCodigo2, if (codigoDDivergenteCodigo1 = "", codigoDDivergenteCodigo2, codigoDDivergenteCodigo1)))</f>
        <v>difficulty in debugging of lab sessions</v>
      </c>
      <c r="H81" s="45" t="str">
        <f>if(codigoDDivergenteJuiz = "first",codigoDDivergenteTema1,if (codigoDDivergenteJuiz = "second",codigoDDivergenteTema2, if (codigoDDivergenteCodigo1 = "", codigoDDivergenteTema2, codigoDDivergenteTema1)))</f>
        <v>environment setup</v>
      </c>
    </row>
    <row r="82">
      <c r="A82" s="44">
        <f>IFERROR(__xludf.DUMMYFUNCTION("""COMPUTED_VALUE"""),87.0)</f>
        <v>87</v>
      </c>
      <c r="B82" s="44" t="str">
        <f>IFERROR(__xludf.DUMMYFUNCTION("""COMPUTED_VALUE"""),"R1 / R3")</f>
        <v>R1 / R3</v>
      </c>
      <c r="C82" s="44" t="str">
        <f>IFERROR(__xludf.DUMMYFUNCTION("""COMPUTED_VALUE"""),"challenge")</f>
        <v>challenge</v>
      </c>
      <c r="D82" s="24" t="str">
        <f>IFERROR(__xludf.DUMMYFUNCTION("""COMPUTED_VALUE"""),"Your Bamboo continuous to, uh, integration will just collapse because there's way too much students. My cohorts were 120 students a year. So when you have 120 students who all try to start their pipeline at the very same time, uh, in the last two days, an"&amp;"d it's just a catastrophe and I mean, this thing will always happen.")</f>
        <v>Your Bamboo continuous to, uh, integration will just collapse because there's way too much students. My cohorts were 120 students a year. So when you have 120 students who all try to start their pipeline at the very same time, uh, in the last two days, and it's just a catastrophe and I mean, this thing will always happen.</v>
      </c>
      <c r="E82" s="24" t="str">
        <f>IFERROR(__xludf.DUMMYFUNCTION("""COMPUTED_VALUE"""),"Bamboo continuous integration does not work with 120 students running pipeline at the same time.")</f>
        <v>Bamboo continuous integration does not work with 120 students running pipeline at the same time.</v>
      </c>
      <c r="F82" s="24"/>
      <c r="G82" s="45" t="str">
        <f>if(codigoDDivergenteJuiz = "first",codigoDDivergenteCodigo1,if (codigoDDivergenteJuiz = "second",codigoDDivergenteCodigo2, if (codigoDDivergenteCodigo1 = "", codigoDDivergenteCodigo2, codigoDDivergenteCodigo1)))</f>
        <v>problems with a lot of pipelines in Bambo</v>
      </c>
      <c r="H82" s="45" t="str">
        <f>if(codigoDDivergenteJuiz = "first",codigoDDivergenteTema1,if (codigoDDivergenteJuiz = "second",codigoDDivergenteTema2, if (codigoDDivergenteCodigo1 = "", codigoDDivergenteTema2, codigoDDivergenteTema1)))</f>
        <v>tool / technology</v>
      </c>
    </row>
    <row r="83">
      <c r="A83" s="44">
        <f>IFERROR(__xludf.DUMMYFUNCTION("""COMPUTED_VALUE"""),88.0)</f>
        <v>88</v>
      </c>
      <c r="B83" s="44" t="str">
        <f>IFERROR(__xludf.DUMMYFUNCTION("""COMPUTED_VALUE"""),"R2 / R3")</f>
        <v>R2 / R3</v>
      </c>
      <c r="C83" s="44" t="str">
        <f>IFERROR(__xludf.DUMMYFUNCTION("""COMPUTED_VALUE"""),"challenge")</f>
        <v>challenge</v>
      </c>
      <c r="D83" s="24" t="str">
        <f>IFERROR(__xludf.DUMMYFUNCTION("""COMPUTED_VALUE"""),"He grade scale was half description, half justification, and that's helped a lot, but it's always, um, qualitative in this way. It's, it's, it's really difficult to be quantitative and to have this, uh, uh, grade scale that is by the, uh, by the point.")</f>
        <v>He grade scale was half description, half justification, and that's helped a lot, but it's always, um, qualitative in this way. It's, it's, it's really difficult to be quantitative and to have this, uh, uh, grade scale that is by the, uh, by the point.</v>
      </c>
      <c r="E83" s="24" t="str">
        <f>IFERROR(__xludf.DUMMYFUNCTION("""COMPUTED_VALUE"""),"It is really difficult to quantitative grade scale on the description and the justification of case studies.")</f>
        <v>It is really difficult to quantitative grade scale on the description and the justification of case studies.</v>
      </c>
      <c r="F83" s="24"/>
      <c r="G83" s="45" t="str">
        <f>if(codigoDDivergenteJuiz = "first",codigoDDivergenteCodigo1,if (codigoDDivergenteJuiz = "second",codigoDDivergenteCodigo2, if (codigoDDivergenteCodigo1 = "", codigoDDivergenteCodigo2, codigoDDivergenteCodigo1)))</f>
        <v>quantitative grade scale on description and case study</v>
      </c>
      <c r="H83" s="45" t="str">
        <f>if(codigoDDivergenteJuiz = "first",codigoDDivergenteTema1,if (codigoDDivergenteJuiz = "second",codigoDDivergenteTema2, if (codigoDDivergenteCodigo1 = "", codigoDDivergenteTema2, codigoDDivergenteTema1)))</f>
        <v>assessment</v>
      </c>
    </row>
    <row r="84">
      <c r="A84" s="44">
        <f>IFERROR(__xludf.DUMMYFUNCTION("""COMPUTED_VALUE"""),90.0)</f>
        <v>90</v>
      </c>
      <c r="B84" s="44" t="str">
        <f>IFERROR(__xludf.DUMMYFUNCTION("""COMPUTED_VALUE"""),"R1 / R3")</f>
        <v>R1 / R3</v>
      </c>
      <c r="C84" s="44" t="str">
        <f>IFERROR(__xludf.DUMMYFUNCTION("""COMPUTED_VALUE"""),"challenge")</f>
        <v>challenge</v>
      </c>
      <c r="D84" s="24" t="str">
        <f>IFERROR(__xludf.DUMMYFUNCTION("""COMPUTED_VALUE"""),"Like, do you have to go through this course to if you're doing a master or a bachelor in software engineering, is it mandatory to go through DevOps or is it like an option that an optional path that you're following is this kind of, uh, there is no consen"&amp;"sus on, on those kinds of, um, uh, things.")</f>
        <v>Like, do you have to go through this course to if you're doing a master or a bachelor in software engineering, is it mandatory to go through DevOps or is it like an option that an optional path that you're following is this kind of, uh, there is no consensus on, on those kinds of, um, uh, things.</v>
      </c>
      <c r="E84" s="24" t="str">
        <f>IFERROR(__xludf.DUMMYFUNCTION("""COMPUTED_VALUE"""),"There is no consensus if DevOps course should be mandatory or optional.")</f>
        <v>There is no consensus if DevOps course should be mandatory or optional.</v>
      </c>
      <c r="F84" s="24"/>
      <c r="G84" s="45" t="str">
        <f>if(codigoDDivergenteJuiz = "first",codigoDDivergenteCodigo1,if (codigoDDivergenteJuiz = "second",codigoDDivergenteCodigo2, if (codigoDDivergenteCodigo1 = "", codigoDDivergenteCodigo2, codigoDDivergenteCodigo1)))</f>
        <v>no consensual about DevOps discipline mandatory</v>
      </c>
      <c r="H84" s="45" t="str">
        <f>if(codigoDDivergenteJuiz = "first",codigoDDivergenteTema1,if (codigoDDivergenteJuiz = "second",codigoDDivergenteTema2, if (codigoDDivergenteCodigo1 = "", codigoDDivergenteTema2, codigoDDivergenteTema1)))</f>
        <v>curriculum</v>
      </c>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4.14"/>
    <col customWidth="1" min="2" max="2" width="24.43"/>
    <col customWidth="1" min="3" max="3" width="87.57"/>
    <col customWidth="1" min="4" max="5" width="59.0"/>
    <col customWidth="1" min="6" max="6" width="28.71"/>
    <col customWidth="1" min="7" max="7" width="31.86"/>
    <col customWidth="1" min="8" max="8" width="47.43"/>
  </cols>
  <sheetData>
    <row r="1">
      <c r="A1" s="1" t="s">
        <v>0</v>
      </c>
      <c r="B1" s="2" t="s">
        <v>1</v>
      </c>
      <c r="C1" s="3" t="s">
        <v>2</v>
      </c>
      <c r="D1" s="4" t="s">
        <v>3</v>
      </c>
      <c r="E1" s="4" t="s">
        <v>4</v>
      </c>
      <c r="F1" s="5" t="s">
        <v>5</v>
      </c>
      <c r="G1" s="6" t="s">
        <v>6</v>
      </c>
      <c r="H1" s="6" t="s">
        <v>7</v>
      </c>
    </row>
    <row r="2">
      <c r="A2" s="7">
        <v>1.0</v>
      </c>
      <c r="B2" s="8" t="s">
        <v>191</v>
      </c>
      <c r="C2" s="7" t="str">
        <f>IFERROR(__xludf.DUMMYFUNCTION("filter('Imported Recommendations'!B:D,'Imported Recommendations'!A:A=A2)"),"Amazon sometimes has some agreements, which I think now that the Federal Institute is doing, that it makes this student accounts available that they could test it for a period.
Most of these tools have free layers, in the case of Cloud providers. All thr"&amp;"ee of the main ones have an education-oriented version, and that is very good. This for the teacher is a very great facilitator.
I recommend [...] Moving all teaching to a cloud. [...] contact AWS. They have a student program, or Google, with Ali Baba, A"&amp;"zure, and IBM Cloud.
There were times when I combined a set of free services to be used, Heroku. I combined some free services to run these things. I already had a partnership to use closed [...] there is Red Hat Academy, right, where you can use OpenShi"&amp;"ft and everything else in the context of the effort you want to make. So, this kind of thing helps a lot.
They have a real experience with respect to Amazon, it's pretty simple, and you can get a free Amazon, you just have to register. ")</f>
        <v>Amazon sometimes has some agreements, which I think now that the Federal Institute is doing, that it makes this student accounts available that they could test it for a period.
Most of these tools have free layers, in the case of Cloud providers. All three of the main ones have an education-oriented version, and that is very good. This for the teacher is a very great facilitator.
I recommend [...] Moving all teaching to a cloud. [...] contact AWS. They have a student program, or Google, with Ali Baba, Azure, and IBM Cloud.
There were times when I combined a set of free services to be used, Heroku. I combined some free services to run these things. I already had a partnership to use closed [...] there is Red Hat Academy, right, where you can use OpenShift and everything else in the context of the effort you want to make. So, this kind of thing helps a lot.
They have a real experience with respect to Amazon, it's pretty simple, and you can get a free Amazon, you just have to register. </v>
      </c>
      <c r="D2" s="7" t="str">
        <f>IFERROR(__xludf.DUMMYFUNCTION("""COMPUTED_VALUE"""),"Cloud service companies such as AWS, through a contract with an educational institution, can provide the computing resource for the student's use.
All three main cloud providers have an education-oriented version.
Use student program cloud services like"&amp;" AWS, Google, Azure or IBM Cloud to eliminate hardware and network limitation for students.
Use private cloud services through academia-industry partnerships such as Red Hat Academy.
Amazon cloud provider has a free plan helpful to students.")</f>
        <v>Cloud service companies such as AWS, through a contract with an educational institution, can provide the computing resource for the student's use.
All three main cloud providers have an education-oriented version.
Use student program cloud services like AWS, Google, Azure or IBM Cloud to eliminate hardware and network limitation for students.
Use private cloud services through academia-industry partnerships such as Red Hat Academy.
Amazon cloud provider has a free plan helpful to students.</v>
      </c>
      <c r="E2" s="7" t="str">
        <f>IFERROR(__xludf.DUMMYFUNCTION("""COMPUTED_VALUE"""),"Use cloud provider services with students plans.")</f>
        <v>Use cloud provider services with students plans.</v>
      </c>
      <c r="F2" s="9" t="s">
        <v>192</v>
      </c>
      <c r="G2" s="9" t="s">
        <v>12</v>
      </c>
      <c r="H2" s="9"/>
    </row>
    <row r="3" ht="69.75" customHeight="1">
      <c r="A3" s="7">
        <v>2.0</v>
      </c>
      <c r="B3" s="8" t="s">
        <v>191</v>
      </c>
      <c r="C3" s="7" t="str">
        <f>IFERROR(__xludf.DUMMYFUNCTION("filter('Imported Recommendations'!B:D,'Imported Recommendations'!A:A=A3)"),"Set up scenarios that they can run on their computer.
Sometimes give up certain things you would like to teach [...] to the detriment of the student not having the ability to perform.
Solutions that the student can run on his computer. [...] adapt to so"&amp;"mething perhaps with less computational demand.")</f>
        <v>Set up scenarios that they can run on their computer.
Sometimes give up certain things you would like to teach [...] to the detriment of the student not having the ability to perform.
Solutions that the student can run on his computer. [...] adapt to something perhaps with less computational demand.</v>
      </c>
      <c r="D3" s="7" t="str">
        <f>IFERROR(__xludf.DUMMYFUNCTION("""COMPUTED_VALUE"""),"Build scenarios that students can run on their own computer.
Give up teaching content that the student cannot run on their machine.
Take advantage of the student's own computational resource and adapt to something that requires less computational demand"&amp;".")</f>
        <v>Build scenarios that students can run on their own computer.
Give up teaching content that the student cannot run on their machine.
Take advantage of the student's own computational resource and adapt to something that requires less computational demand.</v>
      </c>
      <c r="E3" s="7" t="str">
        <f>IFERROR(__xludf.DUMMYFUNCTION("""COMPUTED_VALUE"""),"Build scenarios that students can run on their own computer.")</f>
        <v>Build scenarios that students can run on their own computer.</v>
      </c>
      <c r="F3" s="9" t="s">
        <v>193</v>
      </c>
      <c r="G3" s="9" t="s">
        <v>12</v>
      </c>
      <c r="H3" s="9"/>
    </row>
    <row r="4" ht="115.5" customHeight="1">
      <c r="A4" s="7">
        <v>4.0</v>
      </c>
      <c r="B4" s="8" t="s">
        <v>191</v>
      </c>
      <c r="C4" s="7" t="str">
        <f>IFERROR(__xludf.DUMMYFUNCTION("filter('Imported Recommendations'!B:D,'Imported Recommendations'!A:A=A4)"),"This was somehow harmonized.")</f>
        <v>This was somehow harmonized.</v>
      </c>
      <c r="D4" s="7" t="str">
        <f>IFERROR(__xludf.DUMMYFUNCTION("""COMPUTED_VALUE"""),"Define what are the devops concepts.")</f>
        <v>Define what are the devops concepts.</v>
      </c>
      <c r="E4" s="7"/>
      <c r="F4" s="9" t="s">
        <v>194</v>
      </c>
      <c r="G4" s="19" t="s">
        <v>16</v>
      </c>
      <c r="H4" s="9"/>
    </row>
    <row r="5" ht="134.25" customHeight="1">
      <c r="A5" s="7">
        <v>5.0</v>
      </c>
      <c r="B5" s="8" t="s">
        <v>191</v>
      </c>
      <c r="C5" s="7" t="str">
        <f>IFERROR(__xludf.DUMMYFUNCTION("filter('Imported Recommendations'!B:D,'Imported Recommendations'!A:A=A5)"),"You can't evaluate with proof; you have to assess with projects with some activity.
With some practical activity.
Taking a test, simply evaluating him, is even a way of doing this, but in this more practical approach, I believe that the student is bette"&amp;"r prepared and we are able to evaluate, in fact, the most important aspects of his education [.. .] If he is really acquiring that knowledge, what we really wanted to convey in that particular topic, in that particular subject.
We have adopted project-ba"&amp;"sed assessment a lot [...] the assessment of this project puts a student in his context to test in practice or simulate, in practice, a little of what he saw during classes.
From a practical point of view, I simply pass on the exercise.
I think that pro"&amp;"of would not be a nice deal, but it would be more or less certification from AWS, for example, from Azure, Google, and that is not the purpose. [...] Taking the test, written, open, I do not like it, I do not like the test model as an assessment, I do not"&amp;" think it is cool, I prefer to work with more practical things.
You propose a practical challenge to solve a problem. I think the students end up learning more.")</f>
        <v>You can't evaluate with proof; you have to assess with projects with some activity.
With some practical activity.
Taking a test, simply evaluating him, is even a way of doing this, but in this more practical approach, I believe that the student is better prepared and we are able to evaluate, in fact, the most important aspects of his education [.. .] If he is really acquiring that knowledge, what we really wanted to convey in that particular topic, in that particular subject.
We have adopted project-based assessment a lot [...] the assessment of this project puts a student in his context to test in practice or simulate, in practice, a little of what he saw during classes.
From a practical point of view, I simply pass on the exercise.
I think that proof would not be a nice deal, but it would be more or less certification from AWS, for example, from Azure, Google, and that is not the purpose. [...] Taking the test, written, open, I do not like it, I do not like the test model as an assessment, I do not think it is cool, I prefer to work with more practical things.
You propose a practical challenge to solve a problem. I think the students end up learning more.</v>
      </c>
      <c r="D5" s="7" t="str">
        <f>IFERROR(__xludf.DUMMYFUNCTION("""COMPUTED_VALUE"""),"You can't assess students' DevOps learning with a test, it's necessary to assess with projects, with some kind of hands-on activity.
DevOps teaching with practical activities.
Prefer practical assessments to written tests in order to verify student lear"&amp;"ning on the subject.
Prefer assessment based on practical projects.
Evaluate through practical exercises.
The assessment must be practical.
Evaluate through practical challenges.")</f>
        <v>You can't assess students' DevOps learning with a test, it's necessary to assess with projects, with some kind of hands-on activity.
DevOps teaching with practical activities.
Prefer practical assessments to written tests in order to verify student learning on the subject.
Prefer assessment based on practical projects.
Evaluate through practical exercises.
The assessment must be practical.
Evaluate through practical challenges.</v>
      </c>
      <c r="E5" s="7" t="str">
        <f>IFERROR(__xludf.DUMMYFUNCTION("""COMPUTED_VALUE"""),"The assess should be with hands-on activity.")</f>
        <v>The assess should be with hands-on activity.</v>
      </c>
      <c r="F5" s="9" t="s">
        <v>195</v>
      </c>
      <c r="G5" s="9" t="s">
        <v>29</v>
      </c>
      <c r="H5" s="9"/>
    </row>
    <row r="6" ht="221.25" customHeight="1">
      <c r="A6" s="7">
        <v>7.0</v>
      </c>
      <c r="B6" s="8" t="s">
        <v>191</v>
      </c>
      <c r="C6" s="7" t="str">
        <f>IFERROR(__xludf.DUMMYFUNCTION("filter('Imported Recommendations'!B:D,'Imported Recommendations'!A:A=A6)"),"I think a potential candidate is GNS3.")</f>
        <v>I think a potential candidate is GNS3.</v>
      </c>
      <c r="D6" s="7" t="str">
        <f>IFERROR(__xludf.DUMMYFUNCTION("""COMPUTED_VALUE"""),"The GNS3 tool is a potential candidate as a tool for teaching DevOps.")</f>
        <v>The GNS3 tool is a potential candidate as a tool for teaching DevOps.</v>
      </c>
      <c r="E6" s="7"/>
      <c r="F6" s="9" t="s">
        <v>196</v>
      </c>
      <c r="G6" s="9" t="s">
        <v>18</v>
      </c>
      <c r="H6" s="9"/>
    </row>
    <row r="7" ht="134.25" customHeight="1">
      <c r="A7" s="7">
        <v>8.0</v>
      </c>
      <c r="B7" s="8" t="s">
        <v>191</v>
      </c>
      <c r="C7" s="7" t="str">
        <f>IFERROR(__xludf.DUMMYFUNCTION("filter('Imported Recommendations'!B:D,'Imported Recommendations'!A:A=A7)"),"All the DevOps tooling behind it like [...] the ansible or terraform here, or any of those other flavors of automation and deployment and stuff like that you can use.")</f>
        <v>All the DevOps tooling behind it like [...] the ansible or terraform here, or any of those other flavors of automation and deployment and stuff like that you can use.</v>
      </c>
      <c r="D7" s="7" t="str">
        <f>IFERROR(__xludf.DUMMYFUNCTION("""COMPUTED_VALUE"""),"Ansible as deployment automation tools can be used in teaching DevOps.")</f>
        <v>Ansible as deployment automation tools can be used in teaching DevOps.</v>
      </c>
      <c r="E7" s="7"/>
      <c r="F7" s="9" t="s">
        <v>197</v>
      </c>
      <c r="G7" s="9" t="s">
        <v>18</v>
      </c>
      <c r="H7" s="9"/>
    </row>
    <row r="8" ht="134.25" customHeight="1">
      <c r="A8" s="7">
        <v>9.0</v>
      </c>
      <c r="B8" s="8" t="s">
        <v>191</v>
      </c>
      <c r="C8" s="7" t="str">
        <f>IFERROR(__xludf.DUMMYFUNCTION("filter('Imported Recommendations'!B:D,'Imported Recommendations'!A:A=A8)"),"For me, the approach, from the point of view of the teaching method, would be based on projects and practical activities throughout the course.
It will always be project-based.
Being able to evaluate the actions has to be a script of practical actions t"&amp;"hat the student has to carry out, and you will evaluate while that student is doing that there.
So, I think it's more fruitful, didactically, pedagogically, teaching in this way, with the most practical approach.
Development classes [...] want to unders"&amp;"tand better the issue of DevOps related to continuous delivery processes or how it translates into practice and into delivery tools and models that streamline application building.
Teach DevOps [...] how it applies in practice.
I cannot see a discipline"&amp;", a DevOps teaching that is not hands-on [...] That is not getting hands-on and making people at least exercise the tools.
There is much technology on the market [...] you cannot cover everything, right? However, at the same time, just giving the concept"&amp;", I do not think it is enough. So you have to make a choice. I will teach this here.
It needed to be some practical project [...] Not to be just in the theory part.
You cannot teach DevOps only in theory. You have to experience it. You have to have prac"&amp;"tical experimentation for that.
Build this entire journey based on practical, incremental activities or missions that are all correlated so that the lessons learned during these practical activities and revisiting the theory of knowledge can flow into a "&amp;"project that involves a set of decision-making, which also in addition to the subjects theoretically covered in the room.
I've tried to be very incremental. Um, first teach the value of tests, then write the script to build everything on your desk. You d"&amp;"on't need any you're alone. ... Then break it down into several components and build them one by one, then put an Artifactory in the middle. So you have the dependency. ... So you can imagine that each people in the group is like a different team in the w"&amp;"orld.")</f>
        <v>For me, the approach, from the point of view of the teaching method, would be based on projects and practical activities throughout the course.
It will always be project-based.
Being able to evaluate the actions has to be a script of practical actions that the student has to carry out, and you will evaluate while that student is doing that there.
So, I think it's more fruitful, didactically, pedagogically, teaching in this way, with the most practical approach.
Development classes [...] want to understand better the issue of DevOps related to continuous delivery processes or how it translates into practice and into delivery tools and models that streamline application building.
Teach DevOps [...] how it applies in practice.
I cannot see a discipline, a DevOps teaching that is not hands-on [...] That is not getting hands-on and making people at least exercise the tools.
There is much technology on the market [...] you cannot cover everything, right? However, at the same time, just giving the concept, I do not think it is enough. So you have to make a choice. I will teach this here.
It needed to be some practical project [...] Not to be just in the theory part.
You cannot teach DevOps only in theory. You have to experience it. You have to have practical experimentation for that.
Build this entire journey based on practical, incremental activities or missions that are all correlated so that the lessons learned during these practical activities and revisiting the theory of knowledge can flow into a project that involves a set of decision-making, which also in addition to the subjects theoretically covered in the room.
I've tried to be very incremental. Um, first teach the value of tests, then write the script to build everything on your desk. You don't need any you're alone. ... Then break it down into several components and build them one by one, then put an Artifactory in the middle. So you have the dependency. ... So you can imagine that each people in the group is like a different team in the world.</v>
      </c>
      <c r="D8" s="7" t="str">
        <f>IFERROR(__xludf.DUMMYFUNCTION("""COMPUTED_VALUE"""),"Incremental teaching method based on projects and practical activities.
DevOps teaching should be project-based.
Create script for practical devops activities.
Use a practical approach.
Teach continuous delivery in a more practical context for develop"&amp;"ment classes, using tools and delivery models.
Teach devops in a practical way by applying it.
DevOps disciplines should use hands-on activities.
Teaching must be practical, not just theoretical.
Teaching needs a practical project, not just theoretica"&amp;"l teaching.
Teaching devops should be practical, not just theoretical.
Build an incremental teaching journey based on activities and missions, always combining practical activities with theoretical knowledge.
Try to be very incremental. Everything on y"&amp;"our desk first. Splits into several components. Build them one by one. Start working in group.")</f>
        <v>Incremental teaching method based on projects and practical activities.
DevOps teaching should be project-based.
Create script for practical devops activities.
Use a practical approach.
Teach continuous delivery in a more practical context for development classes, using tools and delivery models.
Teach devops in a practical way by applying it.
DevOps disciplines should use hands-on activities.
Teaching must be practical, not just theoretical.
Teaching needs a practical project, not just theoretical teaching.
Teaching devops should be practical, not just theoretical.
Build an incremental teaching journey based on activities and missions, always combining practical activities with theoretical knowledge.
Try to be very incremental. Everything on your desk first. Splits into several components. Build them one by one. Start working in group.</v>
      </c>
      <c r="E8" s="7" t="str">
        <f>IFERROR(__xludf.DUMMYFUNCTION("""COMPUTED_VALUE"""),"Teaching method based on practical activities.")</f>
        <v>Teaching method based on practical activities.</v>
      </c>
      <c r="F8" s="9" t="s">
        <v>198</v>
      </c>
      <c r="G8" s="9" t="s">
        <v>199</v>
      </c>
      <c r="H8" s="9"/>
    </row>
    <row r="9" ht="134.25" customHeight="1">
      <c r="A9" s="7">
        <v>10.0</v>
      </c>
      <c r="B9" s="8" t="s">
        <v>191</v>
      </c>
      <c r="C9" s="7" t="str">
        <f>IFERROR(__xludf.DUMMYFUNCTION("filter('Imported Recommendations'!B:D,'Imported Recommendations'!A:A=A9)"),"The practice that should occupy eighty percent of the class there, at least.
The practical discipline has a balance between concept and practice, with the practice being the most important.
The concepts need to be objectively presented, but there is not"&amp;" much discussion about.
My classes are about an hour lecture. And then the other hour and a half is lab it's hands-on, you know, I give them a concept, let's go do it. And by doing it, that's where it really sticks.
First year I did a lot of concept on "&amp;"the whiteboard, um, and then went to exercise for the students to practice. It's not efficient.
That's why we build a class where we have a ratio of about one hour of classroom concept teaching on the whiteboard or something at three hours where they act"&amp;"ually type on the keyboard of practical session. I think that's important. Otherwise they don't see it. 
So all of us, we covered a bit in really in the course, but also the, I mean, the lectures, but also they practice that in the lab.")</f>
        <v>The practice that should occupy eighty percent of the class there, at least.
The practical discipline has a balance between concept and practice, with the practice being the most important.
The concepts need to be objectively presented, but there is not much discussion about.
My classes are about an hour lecture. And then the other hour and a half is lab it's hands-on, you know, I give them a concept, let's go do it. And by doing it, that's where it really sticks.
First year I did a lot of concept on the whiteboard, um, and then went to exercise for the students to practice. It's not efficient.
That's why we build a class where we have a ratio of about one hour of classroom concept teaching on the whiteboard or something at three hours where they actually type on the keyboard of practical session. I think that's important. Otherwise they don't see it. 
So all of us, we covered a bit in really in the course, but also the, I mean, the lectures, but also they practice that in the lab.</v>
      </c>
      <c r="D9" s="7" t="str">
        <f>IFERROR(__xludf.DUMMYFUNCTION("""COMPUTED_VALUE"""),"The practical part must occupy at least 80% of the class.
Balance the presentation of the concepts and the practicals.
Do not delve so deeply into discussions about the theoretical part of devops.
Teach each DevOps concept using one hour lecture follow"&amp;"ed by one hour and a half lab hands-on.
Is not efficient to have more theoretical part than practice part during the course.
One hour of classrom concept teaching and three hours of practical session.
Make use of labs and lectures.")</f>
        <v>The practical part must occupy at least 80% of the class.
Balance the presentation of the concepts and the practicals.
Do not delve so deeply into discussions about the theoretical part of devops.
Teach each DevOps concept using one hour lecture followed by one hour and a half lab hands-on.
Is not efficient to have more theoretical part than practice part during the course.
One hour of classrom concept teaching and three hours of practical session.
Make use of labs and lectures.</v>
      </c>
      <c r="E9" s="7" t="str">
        <f>IFERROR(__xludf.DUMMYFUNCTION("""COMPUTED_VALUE"""),"Focus more on the practical part compared to the theoretical part of DevOps.")</f>
        <v>Focus more on the practical part compared to the theoretical part of DevOps.</v>
      </c>
      <c r="F9" s="9" t="s">
        <v>200</v>
      </c>
      <c r="G9" s="9" t="s">
        <v>199</v>
      </c>
      <c r="H9" s="9"/>
    </row>
    <row r="10" ht="123.75" customHeight="1">
      <c r="A10" s="7">
        <v>11.0</v>
      </c>
      <c r="B10" s="8" t="s">
        <v>191</v>
      </c>
      <c r="C10" s="7" t="str">
        <f>IFERROR(__xludf.DUMMYFUNCTION("filter('Imported Recommendations'!B:D,'Imported Recommendations'!A:A=A10)"),"The strategy we used was to divide the workload in half, divide the workload in half [...] and occupy half of this workload with content that is more suited to the area of networks [...] And half of this with the one with content that has more aptitude fo"&amp;"r the programming area.
I believe that for DevOps, you have this balance [...] if you go to a course, that the focus is more development [...] Taking students there to see the other side [...] See Ops and the guys over there from Ops when you can have th"&amp;"e opportunity to see more of the Dev too.")</f>
        <v>The strategy we used was to divide the workload in half, divide the workload in half [...] and occupy half of this workload with content that is more suited to the area of networks [...] And half of this with the one with content that has more aptitude for the programming area.
I believe that for DevOps, you have this balance [...] if you go to a course, that the focus is more development [...] Taking students there to see the other side [...] See Ops and the guys over there from Ops when you can have the opportunity to see more of the Dev too.</v>
      </c>
      <c r="D10" s="7" t="str">
        <f>IFERROR(__xludf.DUMMYFUNCTION("""COMPUTED_VALUE"""),"Divide the workload of subjects that are related to networking and programming.
Seeking balance in teaching development and operation.")</f>
        <v>Divide the workload of subjects that are related to networking and programming.
Seeking balance in teaching development and operation.</v>
      </c>
      <c r="E10" s="7" t="str">
        <f>IFERROR(__xludf.DUMMYFUNCTION("""COMPUTED_VALUE"""),"Divide the workload of subjects that are related to networking and programming.")</f>
        <v>Divide the workload of subjects that are related to networking and programming.</v>
      </c>
      <c r="F10" s="9" t="s">
        <v>201</v>
      </c>
      <c r="G10" s="9" t="s">
        <v>10</v>
      </c>
      <c r="H10" s="9"/>
    </row>
    <row r="11" ht="123.75" customHeight="1">
      <c r="A11" s="7">
        <v>12.0</v>
      </c>
      <c r="B11" s="8" t="s">
        <v>191</v>
      </c>
      <c r="C11" s="7" t="str">
        <f>IFERROR(__xludf.DUMMYFUNCTION("filter('Imported Recommendations'!B:D,'Imported Recommendations'!A:A=A11)"),"I had to delegate this responsibility to the student.
When you do not have resources in the structure you are linked to, as an institution, you have to delegate that the student really finds his ways.")</f>
        <v>I had to delegate this responsibility to the student.
When you do not have resources in the structure you are linked to, as an institution, you have to delegate that the student really finds his ways.</v>
      </c>
      <c r="D11" s="7" t="str">
        <f>IFERROR(__xludf.DUMMYFUNCTION("""COMPUTED_VALUE"""),"Delegating the responsibility for finding adequate infrastructure for the student when it is not possible to obtain the necessary resources from the institution.
Delegate responsibility to the student.")</f>
        <v>Delegating the responsibility for finding adequate infrastructure for the student when it is not possible to obtain the necessary resources from the institution.
Delegate responsibility to the student.</v>
      </c>
      <c r="E11" s="7" t="str">
        <f>IFERROR(__xludf.DUMMYFUNCTION("""COMPUTED_VALUE"""),"Delegate the responsibility for finding adequate infrastructure for the student.")</f>
        <v>Delegate the responsibility for finding adequate infrastructure for the student.</v>
      </c>
      <c r="F11" s="9" t="s">
        <v>202</v>
      </c>
      <c r="G11" s="9" t="s">
        <v>12</v>
      </c>
      <c r="H11" s="9"/>
    </row>
    <row r="12" ht="123.75" customHeight="1">
      <c r="A12" s="7">
        <v>13.0</v>
      </c>
      <c r="B12" s="8" t="s">
        <v>191</v>
      </c>
      <c r="C12" s="7" t="str">
        <f>IFERROR(__xludf.DUMMYFUNCTION("filter('Imported Recommendations'!B:D,'Imported Recommendations'!A:A=A12)"),"I like to base it on a textbook because I think a sequence is evident for the students, right? We can even choose some chapters, even making an essential part of this material [...] we research several things to set up our class. Still, having a backbone "&amp;"formed by literature I think it's always important.
 I was looking for books to use. And, um, you know, I started to look at the books from Jane Kim. Um, and essentially I found this DevOps handbook, which has really not written as a textbook, but it's, "&amp;"it covers it's, it's built around the three ways of DevOps. So the first way is the notion of flow. The second way is the notion of, um, feedback. And the third way is continual learning and experimentation.
So this book [DevOps Handbook] is very well do"&amp;"ne in this sense [...] it goes to the foundations of devops and gets to the different key ideas, right?
The lectures, um, for the first part it's okay. I think for, until the midterm to have just get essentially through the book.
The book has a lot of c"&amp;"ase study and examples like Facebook, Google, LinkedIn, uh, Netflix.")</f>
        <v>I like to base it on a textbook because I think a sequence is evident for the students, right? We can even choose some chapters, even making an essential part of this material [...] we research several things to set up our class. Still, having a backbone formed by literature I think it's always important.
 I was looking for books to use. And, um, you know, I started to look at the books from Jane Kim. Um, and essentially I found this DevOps handbook, which has really not written as a textbook, but it's, it covers it's, it's built around the three ways of DevOps. So the first way is the notion of flow. The second way is the notion of, um, feedback. And the third way is continual learning and experimentation.
So this book [DevOps Handbook] is very well done in this sense [...] it goes to the foundations of devops and gets to the different key ideas, right?
The lectures, um, for the first part it's okay. I think for, until the midterm to have just get essentially through the book.
The book has a lot of case study and examples like Facebook, Google, LinkedIn, uh, Netflix.</v>
      </c>
      <c r="D12" s="7" t="str">
        <f>IFERROR(__xludf.DUMMYFUNCTION("""COMPUTED_VALUE"""),"Using a textbook as a basis and to give students a better idea of the sequence of the course contents.
Take Gene Kim's book DevOps Handbook as a reference to prepare a DevOps class.
Devops Handbook goes to the foundations of DevOps and gets to the diffe"&amp;"rent key ideas.
Use DevOps Handbook to create the lectures.
Find books like DevOps Handbook that have industrial case studies about Facebook, Google, etc.")</f>
        <v>Using a textbook as a basis and to give students a better idea of the sequence of the course contents.
Take Gene Kim's book DevOps Handbook as a reference to prepare a DevOps class.
Devops Handbook goes to the foundations of DevOps and gets to the different key ideas.
Use DevOps Handbook to create the lectures.
Find books like DevOps Handbook that have industrial case studies about Facebook, Google, etc.</v>
      </c>
      <c r="E12" s="7" t="str">
        <f>IFERROR(__xludf.DUMMYFUNCTION("""COMPUTED_VALUE"""),"Use a textbook as a basis to guide the course classes.")</f>
        <v>Use a textbook as a basis to guide the course classes.</v>
      </c>
      <c r="F12" s="9" t="s">
        <v>203</v>
      </c>
      <c r="G12" s="9" t="s">
        <v>24</v>
      </c>
      <c r="H12" s="9"/>
    </row>
    <row r="13" ht="123.75" customHeight="1">
      <c r="A13" s="7">
        <v>14.0</v>
      </c>
      <c r="B13" s="8" t="s">
        <v>191</v>
      </c>
      <c r="C13" s="7" t="str">
        <f>IFERROR(__xludf.DUMMYFUNCTION("filter('Imported Recommendations'!B:D,'Imported Recommendations'!A:A=A13)"),"There are a [...] series of features to be developed, and [...] the student has been trained for this. But other aspects related more to putting the system into production, to be careful [...] after the procedure is operational, not focusing on factors re"&amp;"lated to the system's functionalities anymore, but directing to non-functional aspects, then the students they need to have a better sense of it.")</f>
        <v>There are a [...] series of features to be developed, and [...] the student has been trained for this. But other aspects related more to putting the system into production, to be careful [...] after the procedure is operational, not focusing on factors related to the system's functionalities anymore, but directing to non-functional aspects, then the students they need to have a better sense of it.</v>
      </c>
      <c r="D13" s="7" t="str">
        <f>IFERROR(__xludf.DUMMYFUNCTION("""COMPUTED_VALUE"""),"Work on improving students' skills related to non-functional requirements.")</f>
        <v>Work on improving students' skills related to non-functional requirements.</v>
      </c>
      <c r="E13" s="7"/>
      <c r="F13" s="9" t="s">
        <v>204</v>
      </c>
      <c r="G13" s="19" t="s">
        <v>10</v>
      </c>
      <c r="H13" s="19"/>
    </row>
    <row r="14" ht="123.75" customHeight="1">
      <c r="A14" s="7">
        <v>15.0</v>
      </c>
      <c r="B14" s="8" t="s">
        <v>191</v>
      </c>
      <c r="C14" s="7" t="str">
        <f>IFERROR(__xludf.DUMMYFUNCTION("filter('Imported Recommendations'!B:D,'Imported Recommendations'!A:A=A14)"),"The microservices tool is one of the tools I have been using with them. A device, an environment in which we put the students' solutions there and they can see more of the Continuous Integration part there.
These systems being made available and then wit"&amp;"h the creation of the DevOps tool from the IFRN cloud, the microservices system there, it was then possible for us to have this more practical view of the process as a whole. So, I have adopted it in all semesters, including, I have always asked students "&amp;"to work with this tool.
Having this system already in the air, I also believe that it is another gain, why? Because as you advance in the themes, you can already put ""look, this aspect here that we are working on, you will have already contemplated in t"&amp;"he system through this, this and this"".
When it comes to teaching devops concepts, like, continuous integration, there will be a tool.")</f>
        <v>The microservices tool is one of the tools I have been using with them. A device, an environment in which we put the students' solutions there and they can see more of the Continuous Integration part there.
These systems being made available and then with the creation of the DevOps tool from the IFRN cloud, the microservices system there, it was then possible for us to have this more practical view of the process as a whole. So, I have adopted it in all semesters, including, I have always asked students to work with this tool.
Having this system already in the air, I also believe that it is another gain, why? Because as you advance in the themes, you can already put "look, this aspect here that we are working on, you will have already contemplated in the system through this, this and this".
When it comes to teaching devops concepts, like, continuous integration, there will be a tool.</v>
      </c>
      <c r="D14" s="7" t="str">
        <f>IFERROR(__xludf.DUMMYFUNCTION("""COMPUTED_VALUE"""),"Use of a learning tool to facilitate understanding of the concept of Continuous Integration.
Using a learning tool helps in DevOps teaching.
Using a learning tool helps in DevOps teaching.
Use tools while explaining the continuous integration concept.")</f>
        <v>Use of a learning tool to facilitate understanding of the concept of Continuous Integration.
Using a learning tool helps in DevOps teaching.
Using a learning tool helps in DevOps teaching.
Use tools while explaining the continuous integration concept.</v>
      </c>
      <c r="E14" s="7" t="str">
        <f>IFERROR(__xludf.DUMMYFUNCTION("""COMPUTED_VALUE"""),"Use a learning tool to easy the DevOps teaching.")</f>
        <v>Use a learning tool to easy the DevOps teaching.</v>
      </c>
      <c r="F14" s="9" t="s">
        <v>205</v>
      </c>
      <c r="G14" s="19" t="s">
        <v>16</v>
      </c>
      <c r="H14" s="19"/>
    </row>
    <row r="15">
      <c r="A15" s="7">
        <v>16.0</v>
      </c>
      <c r="B15" s="8" t="s">
        <v>191</v>
      </c>
      <c r="C15" s="7" t="str">
        <f>IFERROR(__xludf.DUMMYFUNCTION("filter('Imported Recommendations'!B:D,'Imported Recommendations'!A:A=A15)"),"The importance of actually having a discipline like this in the curriculum talking about these themes.
We are going through a matrix reformulation process,[...] this part of the workload and this discipline, really, the usefulness and one of the defenses"&amp;" that were made, was precisely that the discipline existed in the course, precisely because at another time, these topics would not be considered. So that's why it's important to have a discipline like that in the curriculum talking about these themes.
I"&amp;"n a course like ours, in development, having a discipline like this, I think it is important indeed.
")</f>
        <v>The importance of actually having a discipline like this in the curriculum talking about these themes.
We are going through a matrix reformulation process,[...] this part of the workload and this discipline, really, the usefulness and one of the defenses that were made, was precisely that the discipline existed in the course, precisely because at another time, these topics would not be considered. So that's why it's important to have a discipline like that in the curriculum talking about these themes.
In a course like ours, in development, having a discipline like this, I think it is important indeed.
</v>
      </c>
      <c r="D15" s="7" t="str">
        <f>IFERROR(__xludf.DUMMYFUNCTION("""COMPUTED_VALUE"""),"DevOps deserves a discipline in the curriculum.
Be concerned with the course's curriculum, maintaining and creating DevOps disciplines.
DevOps deserves a discipline in the curriculum of courses focused on software development.")</f>
        <v>DevOps deserves a discipline in the curriculum.
Be concerned with the course's curriculum, maintaining and creating DevOps disciplines.
DevOps deserves a discipline in the curriculum of courses focused on software development.</v>
      </c>
      <c r="E15" s="7" t="str">
        <f>IFERROR(__xludf.DUMMYFUNCTION("""COMPUTED_VALUE"""),"DevOps deserves a discipline in the curriculum.")</f>
        <v>DevOps deserves a discipline in the curriculum.</v>
      </c>
      <c r="F15" s="9" t="s">
        <v>206</v>
      </c>
      <c r="G15" s="19" t="s">
        <v>10</v>
      </c>
      <c r="H15" s="6"/>
    </row>
    <row r="16">
      <c r="A16" s="7">
        <v>17.0</v>
      </c>
      <c r="B16" s="8" t="s">
        <v>191</v>
      </c>
      <c r="C16" s="7" t="str">
        <f>IFERROR(__xludf.DUMMYFUNCTION("filter('Imported Recommendations'!B:D,'Imported Recommendations'!A:A=A16)"),"We can assess teamwork in students, like those who are collaborating, those who are more overloaded, those who are perhaps less overloaded, those who develop and deliver more features, those who do not cooperate with teamwork.
The evaluation part [...] t"&amp;"he recommendation would be to try to come up [...] some project or some challenge in the project itself that involves collaboration between people. Be able to divide the class there, the students into groups and each one will attack a problem and then eve"&amp;"rything has to come together, right? So, watch them.")</f>
        <v>We can assess teamwork in students, like those who are collaborating, those who are more overloaded, those who are perhaps less overloaded, those who develop and deliver more features, those who do not cooperate with teamwork.
The evaluation part [...] the recommendation would be to try to come up [...] some project or some challenge in the project itself that involves collaboration between people. Be able to divide the class there, the students into groups and each one will attack a problem and then everything has to come together, right? So, watch them.</v>
      </c>
      <c r="D16" s="7" t="str">
        <f>IFERROR(__xludf.DUMMYFUNCTION("""COMPUTED_VALUE"""),"Evaluate level of participation and difficulty of students in teamwork.
Assess students through project and group exercises, more specifically the collaboration of each one within the group.")</f>
        <v>Evaluate level of participation and difficulty of students in teamwork.
Assess students through project and group exercises, more specifically the collaboration of each one within the group.</v>
      </c>
      <c r="E16" s="7" t="str">
        <f>IFERROR(__xludf.DUMMYFUNCTION("""COMPUTED_VALUE"""),"Evaluate level of participation and difficulty of students in teamwork.")</f>
        <v>Evaluate level of participation and difficulty of students in teamwork.</v>
      </c>
      <c r="F16" s="9" t="s">
        <v>207</v>
      </c>
      <c r="G16" s="9" t="s">
        <v>29</v>
      </c>
      <c r="H16" s="9"/>
    </row>
    <row r="17">
      <c r="A17" s="7">
        <v>19.0</v>
      </c>
      <c r="B17" s="8" t="s">
        <v>191</v>
      </c>
      <c r="C17" s="7" t="str">
        <f>IFERROR(__xludf.DUMMYFUNCTION("filter('Imported Recommendations'!B:D,'Imported Recommendations'!A:A=A17)"),"Usually, they already arrive with the system, sometimes deployed in another environment, which is quite common for them to use this environment. Then we have to bring them in, asking them to use ours.")</f>
        <v>Usually, they already arrive with the system, sometimes deployed in another environment, which is quite common for them to use this environment. Then we have to bring them in, asking them to use ours.</v>
      </c>
      <c r="D17" s="7" t="str">
        <f>IFERROR(__xludf.DUMMYFUNCTION("""COMPUTED_VALUE"""),"Ask students to adopt the tools used by instructors.")</f>
        <v>Ask students to adopt the tools used by instructors.</v>
      </c>
      <c r="E17" s="7"/>
      <c r="F17" s="9" t="s">
        <v>208</v>
      </c>
      <c r="G17" s="9" t="s">
        <v>209</v>
      </c>
      <c r="H17" s="9"/>
    </row>
    <row r="18">
      <c r="A18" s="7">
        <v>20.0</v>
      </c>
      <c r="B18" s="8" t="s">
        <v>191</v>
      </c>
      <c r="C18" s="7" t="str">
        <f>IFERROR(__xludf.DUMMYFUNCTION("filter('Imported Recommendations'!B:D,'Imported Recommendations'!A:A=A18)"),"Suppose the course is a development course or one that involves the operation part. In that case, it is essential to have a discipline that centralizes this information, a domain, perhaps, later on, that gathers these concepts, already preparing the stude"&amp;"nt more for the market.[...] a rather considerable workload to have this dynamic with the students.")</f>
        <v>Suppose the course is a development course or one that involves the operation part. In that case, it is essential to have a discipline that centralizes this information, a domain, perhaps, later on, that gathers these concepts, already preparing the student more for the market.[...] a rather considerable workload to have this dynamic with the students.</v>
      </c>
      <c r="D18" s="7" t="str">
        <f>IFERROR(__xludf.DUMMYFUNCTION("""COMPUTED_VALUE"""),"A discipline must have a considerable workload to centralize and harmonize development and operation information.")</f>
        <v>A discipline must have a considerable workload to centralize and harmonize development and operation information.</v>
      </c>
      <c r="E18" s="7"/>
      <c r="F18" s="9" t="s">
        <v>210</v>
      </c>
      <c r="G18" s="9" t="s">
        <v>10</v>
      </c>
      <c r="H18" s="9"/>
    </row>
    <row r="19">
      <c r="A19" s="7">
        <v>22.0</v>
      </c>
      <c r="B19" s="8" t="s">
        <v>191</v>
      </c>
      <c r="C19" s="7" t="str">
        <f>IFERROR(__xludf.DUMMYFUNCTION("filter('Imported Recommendations'!B:D,'Imported Recommendations'!A:A=A19)"),"They choose to [...] put this system on the air for a customer to see, right? In this aspect, the client is the teachers themselves who are evaluating.")</f>
        <v>They choose to [...] put this system on the air for a customer to see, right? In this aspect, the client is the teachers themselves who are evaluating.</v>
      </c>
      <c r="D19" s="7" t="str">
        <f>IFERROR(__xludf.DUMMYFUNCTION("""COMPUTED_VALUE"""),"Adopt a more professional approach in which teachers act as clients.")</f>
        <v>Adopt a more professional approach in which teachers act as clients.</v>
      </c>
      <c r="E19" s="7"/>
      <c r="F19" s="9" t="s">
        <v>211</v>
      </c>
      <c r="G19" s="9" t="s">
        <v>199</v>
      </c>
      <c r="H19" s="12"/>
    </row>
    <row r="20">
      <c r="A20" s="7">
        <v>23.0</v>
      </c>
      <c r="B20" s="8" t="s">
        <v>191</v>
      </c>
      <c r="C20" s="7" t="str">
        <f>IFERROR(__xludf.DUMMYFUNCTION("filter('Imported Recommendations'!B:D,'Imported Recommendations'!A:A=A20)"),"The aspects that we address about continuous integration, [...] use of the tools we use in the environment, on a day-to-day basis, facilitate development that speeds up delivery; this is one of the topics we have. In the discipline, I believe that these t"&amp;"hemes should be part of their curriculum; they should contact this theme there.")</f>
        <v>The aspects that we address about continuous integration, [...] use of the tools we use in the environment, on a day-to-day basis, facilitate development that speeds up delivery; this is one of the topics we have. In the discipline, I believe that these themes should be part of their curriculum; they should contact this theme there.</v>
      </c>
      <c r="D20" s="7" t="str">
        <f>IFERROR(__xludf.DUMMYFUNCTION("""COMPUTED_VALUE"""),"The Continuous Integration and industry tools must be in the curricula.")</f>
        <v>The Continuous Integration and industry tools must be in the curricula.</v>
      </c>
      <c r="E20" s="7"/>
      <c r="F20" s="9" t="s">
        <v>212</v>
      </c>
      <c r="G20" s="9" t="s">
        <v>10</v>
      </c>
      <c r="H20" s="9"/>
    </row>
    <row r="21">
      <c r="A21" s="7">
        <v>24.0</v>
      </c>
      <c r="B21" s="8" t="s">
        <v>191</v>
      </c>
      <c r="C21" s="7" t="str">
        <f>IFERROR(__xludf.DUMMYFUNCTION("filter('Imported Recommendations'!B:D,'Imported Recommendations'!A:A=A21)"),"But as there isn't, we find different materials; we have several publications.")</f>
        <v>But as there isn't, we find different materials; we have several publications.</v>
      </c>
      <c r="D21" s="7" t="str">
        <f>IFERROR(__xludf.DUMMYFUNCTION("""COMPUTED_VALUE"""),"Combine the various materials and publications available to make up for the lack of a unified, complete, and high-level material.")</f>
        <v>Combine the various materials and publications available to make up for the lack of a unified, complete, and high-level material.</v>
      </c>
      <c r="E21" s="7"/>
      <c r="F21" s="9" t="s">
        <v>213</v>
      </c>
      <c r="G21" s="9" t="s">
        <v>24</v>
      </c>
      <c r="H21" s="9"/>
    </row>
    <row r="22">
      <c r="A22" s="7">
        <v>25.0</v>
      </c>
      <c r="B22" s="8" t="s">
        <v>191</v>
      </c>
      <c r="C22" s="7" t="str">
        <f>IFERROR(__xludf.DUMMYFUNCTION("filter('Imported Recommendations'!B:D,'Imported Recommendations'!A:A=A22)"),"[...] With the addition of our Project of Software Development team of professor Sales, he has access, so, more within the tool, he already knows the most diverse aspects. It was already possible for us to solve several difficulties.[...]")</f>
        <v>[...] With the addition of our Project of Software Development team of professor Sales, he has access, so, more within the tool, he already knows the most diverse aspects. It was already possible for us to solve several difficulties.[...]</v>
      </c>
      <c r="D22" s="7" t="str">
        <f>IFERROR(__xludf.DUMMYFUNCTION("""COMPUTED_VALUE"""),"When using a tool to help teach, you must have a good command of it and the necessary permissions/accompaniment of someone with such permissions to deal well with the possible difficulties during its use in the discipline.")</f>
        <v>When using a tool to help teach, you must have a good command of it and the necessary permissions/accompaniment of someone with such permissions to deal well with the possible difficulties during its use in the discipline.</v>
      </c>
      <c r="E22" s="7"/>
      <c r="F22" s="9" t="s">
        <v>214</v>
      </c>
      <c r="G22" s="9" t="s">
        <v>18</v>
      </c>
      <c r="H22" s="9"/>
    </row>
    <row r="23">
      <c r="A23" s="7">
        <v>26.0</v>
      </c>
      <c r="B23" s="8" t="s">
        <v>191</v>
      </c>
      <c r="C23" s="7" t="str">
        <f>IFERROR(__xludf.DUMMYFUNCTION("filter('Imported Recommendations'!B:D,'Imported Recommendations'!A:A=A23)"),"The same DevOps discipline now applies at the institution where I teach concerning classes focused on security and vulnerability management and courses focused on application development and construction.")</f>
        <v>The same DevOps discipline now applies at the institution where I teach concerning classes focused on security and vulnerability management and courses focused on application development and construction.</v>
      </c>
      <c r="D23" s="7" t="str">
        <f>IFERROR(__xludf.DUMMYFUNCTION("""COMPUTED_VALUE"""),"You can use the same discipline of DevOps for operation groups focused on safety and development groups.")</f>
        <v>You can use the same discipline of DevOps for operation groups focused on safety and development groups.</v>
      </c>
      <c r="E23" s="7"/>
      <c r="F23" s="9" t="s">
        <v>215</v>
      </c>
      <c r="G23" s="9" t="s">
        <v>10</v>
      </c>
      <c r="H23" s="9"/>
    </row>
    <row r="24">
      <c r="A24" s="7">
        <v>29.0</v>
      </c>
      <c r="B24" s="8" t="s">
        <v>191</v>
      </c>
      <c r="C24" s="7" t="str">
        <f>IFERROR(__xludf.DUMMYFUNCTION("filter('Imported Recommendations'!B:D,'Imported Recommendations'!A:A=A24)"),"The recommendation is to understand the learning context of the class.
Adapt the menu according to the student profile you have.")</f>
        <v>The recommendation is to understand the learning context of the class.
Adapt the menu according to the student profile you have.</v>
      </c>
      <c r="D24" s="7" t="str">
        <f>IFERROR(__xludf.DUMMYFUNCTION("""COMPUTED_VALUE"""),"Identify the most compatible DevOps scope for each class.
Adapt the course according to the profile of students.")</f>
        <v>Identify the most compatible DevOps scope for each class.
Adapt the course according to the profile of students.</v>
      </c>
      <c r="E24" s="7" t="str">
        <f>IFERROR(__xludf.DUMMYFUNCTION("""COMPUTED_VALUE"""),"Identify the most compatible DevOps scope for each class.")</f>
        <v>Identify the most compatible DevOps scope for each class.</v>
      </c>
      <c r="F24" s="9" t="s">
        <v>216</v>
      </c>
      <c r="G24" s="9" t="s">
        <v>24</v>
      </c>
      <c r="H24" s="9"/>
    </row>
    <row r="25">
      <c r="A25" s="7">
        <v>32.0</v>
      </c>
      <c r="B25" s="8" t="s">
        <v>191</v>
      </c>
      <c r="C25" s="7" t="str">
        <f>IFERROR(__xludf.DUMMYFUNCTION("filter('Imported Recommendations'!B:D,'Imported Recommendations'!A:A=A25)"),"Present concepts that are well established in the community, such as axes, [...] in the DevOps process.
I simply want them to be able to set up some kind of a pipeline and understand how it works.")</f>
        <v>Present concepts that are well established in the community, such as axes, [...] in the DevOps process.
I simply want them to be able to set up some kind of a pipeline and understand how it works.</v>
      </c>
      <c r="D25" s="7" t="str">
        <f>IFERROR(__xludf.DUMMYFUNCTION("""COMPUTED_VALUE"""),"Introduce well-established concepts by the DevOps community, such as the DevOps pipeline process.
Teach how to set up a pipeline and explain how it works.")</f>
        <v>Introduce well-established concepts by the DevOps community, such as the DevOps pipeline process.
Teach how to set up a pipeline and explain how it works.</v>
      </c>
      <c r="E25" s="7" t="str">
        <f>IFERROR(__xludf.DUMMYFUNCTION("""COMPUTED_VALUE"""),"Introduce well-established concepts by the DevOps community, such as the DevOps pipeline process.")</f>
        <v>Introduce well-established concepts by the DevOps community, such as the DevOps pipeline process.</v>
      </c>
      <c r="F25" s="9" t="s">
        <v>217</v>
      </c>
      <c r="G25" s="9" t="s">
        <v>16</v>
      </c>
      <c r="H25" s="9"/>
    </row>
    <row r="26" ht="57.0" customHeight="1">
      <c r="A26" s="7">
        <v>34.0</v>
      </c>
      <c r="B26" s="8" t="s">
        <v>191</v>
      </c>
      <c r="C26" s="15" t="str">
        <f>IFERROR(__xludf.DUMMYFUNCTION("filter('Imported Recommendations'!B:D,'Imported Recommendations'!A:A=A26)"),"Always start with culture before moving on to teaching or tool-based demonstration.")</f>
        <v>Always start with culture before moving on to teaching or tool-based demonstration.</v>
      </c>
      <c r="D26" s="15" t="str">
        <f>IFERROR(__xludf.DUMMYFUNCTION("""COMPUTED_VALUE"""),"Start teaching DevOps from the culture. Only then demonstrate with tools.")</f>
        <v>Start teaching DevOps from the culture. Only then demonstrate with tools.</v>
      </c>
      <c r="E26" s="15"/>
      <c r="F26" s="9" t="s">
        <v>218</v>
      </c>
      <c r="G26" s="9" t="s">
        <v>24</v>
      </c>
      <c r="H26" s="9"/>
    </row>
    <row r="27">
      <c r="A27" s="7">
        <v>35.0</v>
      </c>
      <c r="B27" s="8" t="s">
        <v>191</v>
      </c>
      <c r="C27" s="15" t="str">
        <f>IFERROR(__xludf.DUMMYFUNCTION("filter('Imported Recommendations'!B:D,'Imported Recommendations'!A:A=A27)"),"Build a cohesive [...] laboratory in a specific setting that can better demonstrate the concept being taught there.
So, the recommendation is to abuse the use of online solutions, which facilitate this process, but at the same time, stop the journey [..."&amp;"] So, the recommendation is to abuse the use of online solutions, which facilitate this process, but at the same time, stop the journey.")</f>
        <v>Build a cohesive [...] laboratory in a specific setting that can better demonstrate the concept being taught there.
So, the recommendation is to abuse the use of online solutions, which facilitate this process, but at the same time, stop the journey [...] So, the recommendation is to abuse the use of online solutions, which facilitate this process, but at the same time, stop the journey.</v>
      </c>
      <c r="D27" s="7" t="str">
        <f>IFERROR(__xludf.DUMMYFUNCTION("""COMPUTED_VALUE"""),"Delimit a specific set of tools to build a scenario in order to demonstrate a concept to be taught.
Standardize the use of tools in a well-defined setting.")</f>
        <v>Delimit a specific set of tools to build a scenario in order to demonstrate a concept to be taught.
Standardize the use of tools in a well-defined setting.</v>
      </c>
      <c r="E27" s="7" t="str">
        <f>IFERROR(__xludf.DUMMYFUNCTION("""COMPUTED_VALUE"""),"Delimit a specific set of tools to build a scenario.")</f>
        <v>Delimit a specific set of tools to build a scenario.</v>
      </c>
      <c r="F27" s="9" t="s">
        <v>219</v>
      </c>
      <c r="G27" s="9" t="s">
        <v>18</v>
      </c>
      <c r="H27" s="9"/>
    </row>
    <row r="28">
      <c r="A28" s="7">
        <v>37.0</v>
      </c>
      <c r="B28" s="8" t="s">
        <v>191</v>
      </c>
      <c r="C28" s="7" t="str">
        <f>IFERROR(__xludf.DUMMYFUNCTION("filter('Imported Recommendations'!B:D,'Imported Recommendations'!A:A=A28)"),"Put the student in an efficient context; he can see in class a tool that he has probably seen someone using in the company or has heard of. This makes for much better immersion in class.
So, suppose someone had a more traumatic experience at such a stage"&amp;" of the delivery process. In that case, you know how to use it at the right time with them and impersonate with them, talk, look, as you told me in that part, a solution that might work for you, again, because there is no ready-made solution, it would be "&amp;"to apply this technology to try to mitigate or resolve it.
I prefer to take it out during class to show the day-to-day blocks delivered in the end. However, the recommendation is to use the infrastructure blocks to feed your course, as didactics. Do you "&amp;"speak, look, remember the block we had? The dependency, the software is made in Java 8, and we tried to compile a machine that had Java 15. Do you see this problem? How do we solve it? We analyze, run some process analysis frameworks because we can use an"&amp;"y language as a tool, but use it as an experience.
  I spent a couple of discussing about the concepts discussing about the issues.")</f>
        <v>Put the student in an efficient context; he can see in class a tool that he has probably seen someone using in the company or has heard of. This makes for much better immersion in class.
So, suppose someone had a more traumatic experience at such a stage of the delivery process. In that case, you know how to use it at the right time with them and impersonate with them, talk, look, as you told me in that part, a solution that might work for you, again, because there is no ready-made solution, it would be to apply this technology to try to mitigate or resolve it.
I prefer to take it out during class to show the day-to-day blocks delivered in the end. However, the recommendation is to use the infrastructure blocks to feed your course, as didactics. Do you speak, look, remember the block we had? The dependency, the software is made in Java 8, and we tried to compile a machine that had Java 15. Do you see this problem? How do we solve it? We analyze, run some process analysis frameworks because we can use any language as a tool, but use it as an experience.
  I spent a couple of discussing about the concepts discussing about the issues.</v>
      </c>
      <c r="D28" s="7" t="str">
        <f>IFERROR(__xludf.DUMMYFUNCTION("""COMPUTED_VALUE"""),"Search for references from practical contexts experienced by students to easy the understanding, using popular tools.
During the explanations, make use of the difficulties, opinions and experiences faced by the students, pointing out solutions using Devo"&amp;"ps.
Use the difficulties with infrastructure in favor of learning, conducting discussions among students.
Promotes discussions about DevOps concepts and related issues.")</f>
        <v>Search for references from practical contexts experienced by students to easy the understanding, using popular tools.
During the explanations, make use of the difficulties, opinions and experiences faced by the students, pointing out solutions using Devops.
Use the difficulties with infrastructure in favor of learning, conducting discussions among students.
Promotes discussions about DevOps concepts and related issues.</v>
      </c>
      <c r="E28" s="7" t="str">
        <f>IFERROR(__xludf.DUMMYFUNCTION("""COMPUTED_VALUE"""),"Promotes discussions about DevOps concepts and related issues.")</f>
        <v>Promotes discussions about DevOps concepts and related issues.</v>
      </c>
      <c r="F28" s="9" t="s">
        <v>220</v>
      </c>
      <c r="G28" s="9" t="s">
        <v>199</v>
      </c>
      <c r="H28" s="9"/>
    </row>
    <row r="29">
      <c r="A29" s="7">
        <v>38.0</v>
      </c>
      <c r="B29" s="8" t="s">
        <v>191</v>
      </c>
      <c r="C29" s="7" t="str">
        <f>IFERROR(__xludf.DUMMYFUNCTION("filter('Imported Recommendations'!B:D,'Imported Recommendations'!A:A=A29)"),"This menu will have some possibilities to create mutations in this menu because the DevOps concept is very open; right, it encompasses different areas between development, security, and operations.")</f>
        <v>This menu will have some possibilities to create mutations in this menu because the DevOps concept is very open; right, it encompasses different areas between development, security, and operations.</v>
      </c>
      <c r="D29" s="7" t="str">
        <f>IFERROR(__xludf.DUMMYFUNCTION("""COMPUTED_VALUE"""),"Create mutations in the menu due to the breadth of DevOps encompassing the development, operation, and security part.")</f>
        <v>Create mutations in the menu due to the breadth of DevOps encompassing the development, operation, and security part.</v>
      </c>
      <c r="E29" s="7"/>
      <c r="F29" s="9" t="s">
        <v>221</v>
      </c>
      <c r="G29" s="9" t="s">
        <v>10</v>
      </c>
      <c r="H29" s="9"/>
    </row>
    <row r="30">
      <c r="A30" s="7">
        <v>40.0</v>
      </c>
      <c r="B30" s="8" t="s">
        <v>191</v>
      </c>
      <c r="C30" s="7" t="str">
        <f>IFERROR(__xludf.DUMMYFUNCTION("filter('Imported Recommendations'!B:D,'Imported Recommendations'!A:A=A30)"),"For a project management class [...], I often had to introduce [...] based on direct analogies or analogies with other scenarios he has already encountered in the product management part to understand what I was speaking.")</f>
        <v>For a project management class [...], I often had to introduce [...] based on direct analogies or analogies with other scenarios he has already encountered in the product management part to understand what I was speaking.</v>
      </c>
      <c r="D30" s="7" t="str">
        <f>IFERROR(__xludf.DUMMYFUNCTION("""COMPUTED_VALUE"""),"For project management class, it is necessary to introduce DevOps through direct analogies or using scenarios known to them during teaching.")</f>
        <v>For project management class, it is necessary to introduce DevOps through direct analogies or using scenarios known to them during teaching.</v>
      </c>
      <c r="E30" s="7"/>
      <c r="F30" s="9" t="s">
        <v>222</v>
      </c>
      <c r="G30" s="9" t="s">
        <v>199</v>
      </c>
      <c r="H30" s="9"/>
    </row>
    <row r="31">
      <c r="A31" s="7">
        <v>41.0</v>
      </c>
      <c r="B31" s="8" t="s">
        <v>191</v>
      </c>
      <c r="C31" s="15" t="str">
        <f>IFERROR(__xludf.DUMMYFUNCTION("filter('Imported Recommendations'!B:D,'Imported Recommendations'!A:A=A31)"),"Always focus on culture, the tools are excellent, they attract a student, they create a practical scenario, but oh, DevOps implementation errors in practice are mainly caused by companies and professionals who do not interpret this as a culture.
More imp"&amp;"ortant [...] is to understand that concepts such as observability, development culture, communication, sharing are core. They are the core of what is proposed in relation to DevOps.
Teach the DevOps culture: respect the individualities of your team, not "&amp;"looking to blame anyone but for solutions.
The only way to teach culture, the only way to experience culture is to immerse the students in the culture. [...] one of the examples I give to my students is I say, you know, I took three years of Spanish in h"&amp;"igh school and I don't speak a word of Spanish, but I bet if I spent a summer in Spain, I would come back speaking, fluent Spanish. So I tell them: ""this class is your summer in Spain"", right? We are going to live DevOps. We're going to experience DevOp"&amp;"s. And that's the only way you can properly teach it.
Working as an agile team and using the DevOps tools, but most importantly, living the DevOps culture.
Like, what do you teach in a DevOps course? Like, do you teach just technologies like Kubernetes "&amp;"and Docker? And, and I kept saying, no, this is not why I went back to university. I don't want to be just teaching techniques and tools because these will change over time.
")</f>
        <v>Always focus on culture, the tools are excellent, they attract a student, they create a practical scenario, but oh, DevOps implementation errors in practice are mainly caused by companies and professionals who do not interpret this as a culture.
More important [...] is to understand that concepts such as observability, development culture, communication, sharing are core. They are the core of what is proposed in relation to DevOps.
Teach the DevOps culture: respect the individualities of your team, not looking to blame anyone but for solutions.
The only way to teach culture, the only way to experience culture is to immerse the students in the culture. [...] one of the examples I give to my students is I say, you know, I took three years of Spanish in high school and I don't speak a word of Spanish, but I bet if I spent a summer in Spain, I would come back speaking, fluent Spanish. So I tell them: "this class is your summer in Spain", right? We are going to live DevOps. We're going to experience DevOps. And that's the only way you can properly teach it.
Working as an agile team and using the DevOps tools, but most importantly, living the DevOps culture.
Like, what do you teach in a DevOps course? Like, do you teach just technologies like Kubernetes and Docker? And, and I kept saying, no, this is not why I went back to university. I don't want to be just teaching techniques and tools because these will change over time.
</v>
      </c>
      <c r="D31" s="15" t="str">
        <f>IFERROR(__xludf.DUMMYFUNCTION("""COMPUTED_VALUE"""),"Emphasize the importance of the DevOps culture and propagate it.
It is important to teach concepts such as observability and other cultural aspects such as sharing and communication.
Teach the DevOps culture: respect the individualities of your team, no"&amp;"t looking for blame, but for solutions.
Live DevOps and its culture is the best way to learn it.
Living DevOps culture is more important than just learning DevOps tools.
Don't teach a DevOps course only focusing on tools and technologies because it cha"&amp;"nges over time.")</f>
        <v>Emphasize the importance of the DevOps culture and propagate it.
It is important to teach concepts such as observability and other cultural aspects such as sharing and communication.
Teach the DevOps culture: respect the individualities of your team, not looking for blame, but for solutions.
Live DevOps and its culture is the best way to learn it.
Living DevOps culture is more important than just learning DevOps tools.
Don't teach a DevOps course only focusing on tools and technologies because it changes over time.</v>
      </c>
      <c r="E31" s="15" t="str">
        <f>IFERROR(__xludf.DUMMYFUNCTION("""COMPUTED_VALUE"""),"Teach the DevOps mindset.")</f>
        <v>Teach the DevOps mindset.</v>
      </c>
      <c r="F31" s="9" t="s">
        <v>223</v>
      </c>
      <c r="G31" s="9" t="s">
        <v>16</v>
      </c>
      <c r="H31" s="9"/>
    </row>
    <row r="32">
      <c r="A32" s="7">
        <v>43.0</v>
      </c>
      <c r="B32" s="8" t="s">
        <v>191</v>
      </c>
      <c r="C32" s="7" t="str">
        <f>IFERROR(__xludf.DUMMYFUNCTION("filter('Imported Recommendations'!B:D,'Imported Recommendations'!A:A=A32)"),"And DevOps a lot in seeing this; they have different backgrounds, have other life stories, experiences that marked them in different ways and knowing when to present a new tool, listen to what these people have.
So I let them know that if you asked me th"&amp;"e same question a second time, I promise I won't answer it the same way. I'll try to find some different way to make that connection with you. Right? So that you understand it, given the background that you have. Given the skills that you have. Uh, so aga"&amp;"in, I try to immerse them in this culture.")</f>
        <v>And DevOps a lot in seeing this; they have different backgrounds, have other life stories, experiences that marked them in different ways and knowing when to present a new tool, listen to what these people have.
So I let them know that if you asked me the same question a second time, I promise I won't answer it the same way. I'll try to find some different way to make that connection with you. Right? So that you understand it, given the background that you have. Given the skills that you have. Uh, so again, I try to immerse them in this culture.</v>
      </c>
      <c r="D32" s="7" t="str">
        <f>IFERROR(__xludf.DUMMYFUNCTION("""COMPUTED_VALUE"""),"We seek a communication between students and teachers, where attention is paid to the students' opinions.
Teaching customized based on students background.")</f>
        <v>We seek a communication between students and teachers, where attention is paid to the students' opinions.
Teaching customized based on students background.</v>
      </c>
      <c r="E32" s="7" t="str">
        <f>IFERROR(__xludf.DUMMYFUNCTION("""COMPUTED_VALUE"""),"Customize the teaching based on students background.")</f>
        <v>Customize the teaching based on students background.</v>
      </c>
      <c r="F32" s="9" t="s">
        <v>224</v>
      </c>
      <c r="G32" s="25" t="s">
        <v>225</v>
      </c>
      <c r="H32" s="25"/>
    </row>
    <row r="33">
      <c r="A33" s="7">
        <v>44.0</v>
      </c>
      <c r="B33" s="8" t="s">
        <v>191</v>
      </c>
      <c r="C33" s="7" t="str">
        <f>IFERROR(__xludf.DUMMYFUNCTION("filter('Imported Recommendations'!B:D,'Imported Recommendations'!A:A=A33)"),"Nor use VM virtual machines because the virtual machine demands hardware resources. And it's not always that you have availability to upload two virtual machines on the student's device.")</f>
        <v>Nor use VM virtual machines because the virtual machine demands hardware resources. And it's not always that you have availability to upload two virtual machines on the student's device.</v>
      </c>
      <c r="D33" s="7" t="str">
        <f>IFERROR(__xludf.DUMMYFUNCTION("""COMPUTED_VALUE"""),"Avoid using virtual machines because they demand hardware resources, which are not always available on the students' devices.")</f>
        <v>Avoid using virtual machines because they demand hardware resources, which are not always available on the students' devices.</v>
      </c>
      <c r="E33" s="7"/>
      <c r="F33" s="9" t="s">
        <v>226</v>
      </c>
      <c r="G33" s="9" t="s">
        <v>12</v>
      </c>
      <c r="H33" s="9"/>
    </row>
    <row r="34">
      <c r="A34" s="7">
        <v>46.0</v>
      </c>
      <c r="B34" s="8" t="s">
        <v>191</v>
      </c>
      <c r="C34" s="7" t="str">
        <f>IFERROR(__xludf.DUMMYFUNCTION("filter('Imported Recommendations'!B:D,'Imported Recommendations'!A:A=A34)"),"To put your hand on something, at least once every, depends a lot [...] on the schedule, but every, I'll put it every eight hours is a very subjective metric, but if you give something practical every eight hours with examples for the student to interact,"&amp;" so you don't stay in a lecture for hours on end talking, it's essential to know how to divide and balance.
He has up to twenty, twenty-five minutes, he has your attention. So, if you cannot break that, alternate the tone of voice you speak, interact wit"&amp;"h him. If you just talk, you quickly lose the student after twenty minutes.
We need to adapt to the environment and try, every twenty to thirty minutes, to interact with the student so that he does something to keep his attention [...] Always propose cha"&amp;"llenges.")</f>
        <v>To put your hand on something, at least once every, depends a lot [...] on the schedule, but every, I'll put it every eight hours is a very subjective metric, but if you give something practical every eight hours with examples for the student to interact, so you don't stay in a lecture for hours on end talking, it's essential to know how to divide and balance.
He has up to twenty, twenty-five minutes, he has your attention. So, if you cannot break that, alternate the tone of voice you speak, interact with him. If you just talk, you quickly lose the student after twenty minutes.
We need to adapt to the environment and try, every twenty to thirty minutes, to interact with the student so that he does something to keep his attention [...] Always propose challenges.</v>
      </c>
      <c r="D34" s="8" t="str">
        <f>IFERROR(__xludf.DUMMYFUNCTION("""COMPUTED_VALUE"""),"Use practical examples regularly for the student to interact.
Interact with the student and break the tone of voice every 20 minutes, inhibiting their loss of attention.
Interact with the student to keep him alert, proposing challenges, for example.")</f>
        <v>Use practical examples regularly for the student to interact.
Interact with the student and break the tone of voice every 20 minutes, inhibiting their loss of attention.
Interact with the student to keep him alert, proposing challenges, for example.</v>
      </c>
      <c r="E34" s="8" t="str">
        <f>IFERROR(__xludf.DUMMYFUNCTION("""COMPUTED_VALUE"""),"Interact with the students.")</f>
        <v>Interact with the students.</v>
      </c>
      <c r="F34" s="9" t="s">
        <v>227</v>
      </c>
      <c r="G34" s="9" t="s">
        <v>199</v>
      </c>
      <c r="H34" s="9"/>
    </row>
    <row r="35">
      <c r="A35" s="7">
        <v>49.0</v>
      </c>
      <c r="B35" s="8" t="s">
        <v>191</v>
      </c>
      <c r="C35" s="7" t="str">
        <f>IFERROR(__xludf.DUMMYFUNCTION("filter('Imported Recommendations'!B:D,'Imported Recommendations'!A:A=A35)"),"Suppose it's a class that, specifically, we were given the needs and characteristics before, such as access limitations, limited software installation on the machine. In that case, I prepare the class, and we have the schedule as a whole, which is ready; "&amp;"it has a beginning, middle, and an end.
If you are going to teach a software build class, for example, or unit testing, you need to assume that your class is in a certain place, let us say. You need to assume that your class is made up of developers, has"&amp;" a bit of knowledge and such, or you need to assume that your class does not have that much experience.")</f>
        <v>Suppose it's a class that, specifically, we were given the needs and characteristics before, such as access limitations, limited software installation on the machine. In that case, I prepare the class, and we have the schedule as a whole, which is ready; it has a beginning, middle, and an end.
If you are going to teach a software build class, for example, or unit testing, you need to assume that your class is in a certain place, let us say. You need to assume that your class is made up of developers, has a bit of knowledge and such, or you need to assume that your class does not have that much experience.</v>
      </c>
      <c r="D35" s="7" t="str">
        <f>IFERROR(__xludf.DUMMYFUNCTION("""COMPUTED_VALUE"""),"Seek to know in advance the needs and limitations of the class, such as installing software, for example, to create a more efficient schedule.
Identify the students' initial level of knowledge to do the course. For example, check if students can run unit"&amp;" tests that will be used in the software build class.")</f>
        <v>Seek to know in advance the needs and limitations of the class, such as installing software, for example, to create a more efficient schedule.
Identify the students' initial level of knowledge to do the course. For example, check if students can run unit tests that will be used in the software build class.</v>
      </c>
      <c r="E35" s="7" t="str">
        <f>IFERROR(__xludf.DUMMYFUNCTION("""COMPUTED_VALUE"""),"Seek to know in advance the needs and limitations of the class.")</f>
        <v>Seek to know in advance the needs and limitations of the class.</v>
      </c>
      <c r="F35" s="9" t="s">
        <v>228</v>
      </c>
      <c r="G35" s="9" t="s">
        <v>24</v>
      </c>
      <c r="H35" s="9"/>
    </row>
    <row r="36">
      <c r="A36" s="7">
        <v>52.0</v>
      </c>
      <c r="B36" s="8" t="s">
        <v>191</v>
      </c>
      <c r="C36" s="15" t="str">
        <f>IFERROR(__xludf.DUMMYFUNCTION("filter('Imported Recommendations'!B:D,'Imported Recommendations'!A:A=A36)"),"These are documents that we send in separate stages of the course [...]. We break the infrastructure documents to do the Kaisen process within Lean-to unify the documentation so that the student understands the difficulty he faced and the problem he faces"&amp;" daily.
But it's been billed according to the right guidelines that we want them to use. So they can borrow heavily from the sample. They can see sample testifies, sample integration test, sample Docker files, componentization, et cetera.
We're building"&amp;" a couple of tutorials so that, you know, the ones that have less experience with certainly the testing can look at it.")</f>
        <v>These are documents that we send in separate stages of the course [...]. We break the infrastructure documents to do the Kaisen process within Lean-to unify the documentation so that the student understands the difficulty he faced and the problem he faces daily.
But it's been billed according to the right guidelines that we want them to use. So they can borrow heavily from the sample. They can see sample testifies, sample integration test, sample Docker files, componentization, et cetera.
We're building a couple of tutorials so that, you know, the ones that have less experience with certainly the testing can look at it.</v>
      </c>
      <c r="D36" s="15" t="str">
        <f>IFERROR(__xludf.DUMMYFUNCTION("""COMPUTED_VALUE"""),"Create student support examples and guidelines, breaks into parts to go through the steps gradually.
Create examples and guidelines to help students develop their solution based on it.
We're building a couple of tutorials so that the ones that have less"&amp;" experience can look at it.")</f>
        <v>Create student support examples and guidelines, breaks into parts to go through the steps gradually.
Create examples and guidelines to help students develop their solution based on it.
We're building a couple of tutorials so that the ones that have less experience can look at it.</v>
      </c>
      <c r="E36" s="15" t="str">
        <f>IFERROR(__xludf.DUMMYFUNCTION("""COMPUTED_VALUE"""),"Create tutorials to help students.")</f>
        <v>Create tutorials to help students.</v>
      </c>
      <c r="F36" s="9" t="s">
        <v>229</v>
      </c>
      <c r="G36" s="9" t="s">
        <v>12</v>
      </c>
      <c r="H36" s="9"/>
    </row>
    <row r="37">
      <c r="A37" s="7">
        <v>53.0</v>
      </c>
      <c r="B37" s="8" t="s">
        <v>191</v>
      </c>
      <c r="C37" s="15" t="str">
        <f>IFERROR(__xludf.DUMMYFUNCTION("filter('Imported Recommendations'!B:D,'Imported Recommendations'!A:A=A37)"),"So we break the infrastructure documents to do the Kaisen process within Lean-to unify the documentation so that the student understands the difficulty he faced and the difficulty he will meet daily.
So we employ someone in our team, a couple of people w"&amp;"ho work on implementing that, and we created some issues in the application, like some bugs.")</f>
        <v>So we break the infrastructure documents to do the Kaisen process within Lean-to unify the documentation so that the student understands the difficulty he faced and the difficulty he will meet daily.
So we employ someone in our team, a couple of people who work on implementing that, and we created some issues in the application, like some bugs.</v>
      </c>
      <c r="D37" s="15" t="str">
        <f>IFERROR(__xludf.DUMMYFUNCTION("""COMPUTED_VALUE"""),"Simulate real problems that the student will likely face in their daily lives.
Try to simulate a real scenario employing someone in the group to insert issues and bugs in students project.")</f>
        <v>Simulate real problems that the student will likely face in their daily lives.
Try to simulate a real scenario employing someone in the group to insert issues and bugs in students project.</v>
      </c>
      <c r="E37" s="15" t="str">
        <f>IFERROR(__xludf.DUMMYFUNCTION("""COMPUTED_VALUE"""),"Simulate real problems with the students.")</f>
        <v>Simulate real problems with the students.</v>
      </c>
      <c r="F37" s="9" t="s">
        <v>230</v>
      </c>
      <c r="G37" s="9" t="s">
        <v>199</v>
      </c>
      <c r="H37" s="9"/>
    </row>
    <row r="38">
      <c r="A38" s="7">
        <v>55.0</v>
      </c>
      <c r="B38" s="8" t="s">
        <v>191</v>
      </c>
      <c r="C38" s="15" t="str">
        <f>IFERROR(__xludf.DUMMYFUNCTION("filter('Imported Recommendations'!B:D,'Imported Recommendations'!A:A=A38)"),"Realize how much you deviate because the student has a particular problem and loses his didactics a little. So, knowing how to limit it too, then work with the student, talk, look, and talk more calmly, because this situation is particular. There has to b"&amp;"e a breakpoint because otherwise, you'll lose the other students.")</f>
        <v>Realize how much you deviate because the student has a particular problem and loses his didactics a little. So, knowing how to limit it too, then work with the student, talk, look, and talk more calmly, because this situation is particular. There has to be a breakpoint because otherwise, you'll lose the other students.</v>
      </c>
      <c r="D38" s="15" t="str">
        <f>IFERROR(__xludf.DUMMYFUNCTION("""COMPUTED_VALUE"""),"Avoid messing around with specific problems faced by students, dealing in a personalized way at the right time.")</f>
        <v>Avoid messing around with specific problems faced by students, dealing in a personalized way at the right time.</v>
      </c>
      <c r="E38" s="15"/>
      <c r="F38" s="9" t="s">
        <v>231</v>
      </c>
      <c r="G38" s="9" t="s">
        <v>199</v>
      </c>
      <c r="H38" s="9"/>
    </row>
    <row r="39">
      <c r="A39" s="7">
        <v>56.0</v>
      </c>
      <c r="B39" s="8" t="s">
        <v>191</v>
      </c>
      <c r="C39" s="15" t="str">
        <f>IFERROR(__xludf.DUMMYFUNCTION("filter('Imported Recommendations'!B:D,'Imported Recommendations'!A:A=A39)"),"A task tracking tool. Then it can be Notion or Trello; I think it's essential.")</f>
        <v>A task tracking tool. Then it can be Notion or Trello; I think it's essential.</v>
      </c>
      <c r="D39" s="15" t="str">
        <f>IFERROR(__xludf.DUMMYFUNCTION("""COMPUTED_VALUE"""),"Use a task tracking tool like Trello or Notion.")</f>
        <v>Use a task tracking tool like Trello or Notion.</v>
      </c>
      <c r="E39" s="15"/>
      <c r="F39" s="9" t="s">
        <v>232</v>
      </c>
      <c r="G39" s="9" t="s">
        <v>18</v>
      </c>
      <c r="H39" s="9"/>
    </row>
    <row r="40">
      <c r="A40" s="7">
        <v>58.0</v>
      </c>
      <c r="B40" s="8" t="s">
        <v>191</v>
      </c>
      <c r="C40" s="15" t="str">
        <f>IFERROR(__xludf.DUMMYFUNCTION("filter('Imported Recommendations'!B:D,'Imported Recommendations'!A:A=A40)"),"I prefer Notion even though I work for Trello's company; I prefer Notion for a reason. I can export it in Markdown and directly version all documentation. So, for each day of the course, all the commands that we run or the additional content, I list them,"&amp;" interact with them, and interact together.")</f>
        <v>I prefer Notion even though I work for Trello's company; I prefer Notion for a reason. I can export it in Markdown and directly version all documentation. So, for each day of the course, all the commands that we run or the additional content, I list them, interact with them, and interact together.</v>
      </c>
      <c r="D40" s="15" t="str">
        <f>IFERROR(__xludf.DUMMYFUNCTION("""COMPUTED_VALUE"""),"The Notion tool allows exporting to Markdown, enabling the versioning of documentation for each day of the course: all executed commands and additional content.")</f>
        <v>The Notion tool allows exporting to Markdown, enabling the versioning of documentation for each day of the course: all executed commands and additional content.</v>
      </c>
      <c r="E40" s="15"/>
      <c r="F40" s="9" t="s">
        <v>233</v>
      </c>
      <c r="G40" s="9" t="s">
        <v>18</v>
      </c>
      <c r="H40" s="9"/>
    </row>
    <row r="41">
      <c r="A41" s="7">
        <v>59.0</v>
      </c>
      <c r="B41" s="8" t="s">
        <v>191</v>
      </c>
      <c r="C41" s="15" t="str">
        <f>IFERROR(__xludf.DUMMYFUNCTION("filter('Imported Recommendations'!B:D,'Imported Recommendations'!A:A=A41)"),"And a code repository, you can GitLab, Github, which you can share with students, this situation.
They use GitHub. .. The only thing we really need is that the students give us, uh, access to their accounts.
This course has a very specific structure, wh"&amp;"ich is not usual. Uh, the structure is that, uh, everything. Um, I think you have access to our GitHub repository and everything is, uh, available.
Everything in this course was, uh, was, uh, done through the GitHub repository, there are many issues, the"&amp;"re are many pull requests and the discussions between TAs and the students and grading everything is there.
The student had to have the code that goes so git as a version control system, uh, GitHub GitLab, the, we had a Bitbucket on-premise also, uh, dep"&amp;"loyed inside the school.")</f>
        <v>And a code repository, you can GitLab, Github, which you can share with students, this situation.
They use GitHub. .. The only thing we really need is that the students give us, uh, access to their accounts.
This course has a very specific structure, which is not usual. Uh, the structure is that, uh, everything. Um, I think you have access to our GitHub repository and everything is, uh, available.
Everything in this course was, uh, was, uh, done through the GitHub repository, there are many issues, there are many pull requests and the discussions between TAs and the students and grading everything is there.
The student had to have the code that goes so git as a version control system, uh, GitHub GitLab, the, we had a Bitbucket on-premise also, uh, deployed inside the school.</v>
      </c>
      <c r="D41" s="15" t="str">
        <f>IFERROR(__xludf.DUMMYFUNCTION("""COMPUTED_VALUE"""),"Use a code repository tool like Gitlab or Github.
Use Github with access to students accounts repositories.
Make public access the content of the course using the GitHub.
Use Github to record grading, pull requests and discussions between teacher assis"&amp;"tants and the students.
Use github, gitlab or bitbucket as version control system tools adopted by the course.")</f>
        <v>Use a code repository tool like Gitlab or Github.
Use Github with access to students accounts repositories.
Make public access the content of the course using the GitHub.
Use Github to record grading, pull requests and discussions between teacher assistants and the students.
Use github, gitlab or bitbucket as version control system tools adopted by the course.</v>
      </c>
      <c r="E41" s="15" t="str">
        <f>IFERROR(__xludf.DUMMYFUNCTION("""COMPUTED_VALUE"""),"Use a code repository tool like Github.")</f>
        <v>Use a code repository tool like Github.</v>
      </c>
      <c r="F41" s="9" t="s">
        <v>234</v>
      </c>
      <c r="G41" s="9" t="s">
        <v>18</v>
      </c>
      <c r="H41" s="9"/>
    </row>
    <row r="42">
      <c r="A42" s="7">
        <v>61.0</v>
      </c>
      <c r="B42" s="8" t="s">
        <v>191</v>
      </c>
      <c r="C42" s="15" t="str">
        <f>IFERROR(__xludf.DUMMYFUNCTION("filter('Imported Recommendations'!B:D,'Imported Recommendations'!A:A=A42)"),"Notion or Trello [...], you need to have a two-way tool where you and the student interact. Not a Gist, for example, because the Gist, although you can only release it because the student needs to put their feedback there too. [...] There are some tasks t"&amp;"hat we set up there, a post mortem of the process that fails; I need a feedback tool that the student can also interact with.")</f>
        <v>Notion or Trello [...], you need to have a two-way tool where you and the student interact. Not a Gist, for example, because the Gist, although you can only release it because the student needs to put their feedback there too. [...] There are some tasks that we set up there, a post mortem of the process that fails; I need a feedback tool that the student can also interact with.</v>
      </c>
      <c r="D42" s="15" t="str">
        <f>IFERROR(__xludf.DUMMYFUNCTION("""COMPUTED_VALUE"""),"Notion and Trello allow student and teacher interaction in two ways. Gist does not allow it.")</f>
        <v>Notion and Trello allow student and teacher interaction in two ways. Gist does not allow it.</v>
      </c>
      <c r="E42" s="15"/>
      <c r="F42" s="9" t="s">
        <v>235</v>
      </c>
      <c r="G42" s="9" t="s">
        <v>18</v>
      </c>
      <c r="H42" s="9"/>
    </row>
    <row r="43">
      <c r="A43" s="7">
        <v>62.0</v>
      </c>
      <c r="B43" s="8" t="s">
        <v>191</v>
      </c>
      <c r="C43" s="15" t="str">
        <f>IFERROR(__xludf.DUMMYFUNCTION("filter('Imported Recommendations'!B:D,'Imported Recommendations'!A:A=A43)"),"So, I usually recommend it to instructors; I recommend it to students when they share it with me. Decrease the FPF rate of screen sharing because that's a lock. Zoom uses what it can if you don't limit it. So, we restrict ten FPS, for example, so that I d"&amp;"on't consume too much of my or the student's CPU because I sometimes have to correct the exercise on his side.")</f>
        <v>So, I usually recommend it to instructors; I recommend it to students when they share it with me. Decrease the FPF rate of screen sharing because that's a lock. Zoom uses what it can if you don't limit it. So, we restrict ten FPS, for example, so that I don't consume too much of my or the student's CPU because I sometimes have to correct the exercise on his side.</v>
      </c>
      <c r="D43" s="15" t="str">
        <f>IFERROR(__xludf.DUMMYFUNCTION("""COMPUTED_VALUE"""),"Limit the zoom FPS rate to 10, avoiding excessive student and instructor resource consumption.")</f>
        <v>Limit the zoom FPS rate to 10, avoiding excessive student and instructor resource consumption.</v>
      </c>
      <c r="E43" s="15"/>
      <c r="F43" s="9" t="s">
        <v>236</v>
      </c>
      <c r="G43" s="9" t="s">
        <v>18</v>
      </c>
      <c r="H43" s="25"/>
    </row>
    <row r="44">
      <c r="A44" s="7">
        <v>64.0</v>
      </c>
      <c r="B44" s="8" t="s">
        <v>191</v>
      </c>
      <c r="C44" s="15" t="str">
        <f>IFERROR(__xludf.DUMMYFUNCTION("filter('Imported Recommendations'!B:D,'Imported Recommendations'!A:A=A44)"),"They also assess the course at the end; we send you a link and recommend you do this, consider some topics to take the NPS; I think the NPS is the universal metric for assessment, I don't know if you put it under the puts under the radar, the Net Promoter"&amp;" Score, from zero to ten, where zero to zero to seven is Detractor, eight is passive, nine to ten is promoter based on a set of questions that you cannot induce the student.
When people come in to do this, this, this feedback with the students, understan"&amp;"d, the students also talk to a person who is not me, who on the last day, I leave, it is a recommendation I give, I leave the conference to leave the students at ease, talking to this person, they make a mistake during the training and the person got anno"&amp;"yed, and with you inside, they will be a little, a little afraid to expose, although it is also by email.
You need to get the feedback, you don't get the feedback, right? So, and when we, when the students do the student evaluation, of course don't write"&amp;" much. So it's much easier if you can trigger this question.")</f>
        <v>They also assess the course at the end; we send you a link and recommend you do this, consider some topics to take the NPS; I think the NPS is the universal metric for assessment, I don't know if you put it under the puts under the radar, the Net Promoter Score, from zero to ten, where zero to zero to seven is Detractor, eight is passive, nine to ten is promoter based on a set of questions that you cannot induce the student.
When people come in to do this, this, this feedback with the students, understand, the students also talk to a person who is not me, who on the last day, I leave, it is a recommendation I give, I leave the conference to leave the students at ease, talking to this person, they make a mistake during the training and the person got annoyed, and with you inside, they will be a little, a little afraid to expose, although it is also by email.
You need to get the feedback, you don't get the feedback, right? So, and when we, when the students do the student evaluation, of course don't write much. So it's much easier if you can trigger this question.</v>
      </c>
      <c r="D44" s="15" t="str">
        <f>IFERROR(__xludf.DUMMYFUNCTION("""COMPUTED_VALUE"""),"Evaluate the course, performing an NPS (Net Promoter Score) with students.
Teachers and monitors must not be present at the time of course evaluation by students.
Do not try to get feedback before a student assessment, as the student may feel fearful.")</f>
        <v>Evaluate the course, performing an NPS (Net Promoter Score) with students.
Teachers and monitors must not be present at the time of course evaluation by students.
Do not try to get feedback before a student assessment, as the student may feel fearful.</v>
      </c>
      <c r="E44" s="15" t="str">
        <f>IFERROR(__xludf.DUMMYFUNCTION("""COMPUTED_VALUE"""),"Evaluate the course.")</f>
        <v>Evaluate the course.</v>
      </c>
      <c r="F44" s="9" t="s">
        <v>237</v>
      </c>
      <c r="G44" s="9" t="s">
        <v>29</v>
      </c>
      <c r="H44" s="9"/>
    </row>
    <row r="45">
      <c r="A45" s="7">
        <v>67.0</v>
      </c>
      <c r="B45" s="8" t="s">
        <v>191</v>
      </c>
      <c r="C45" s="15" t="str">
        <f>IFERROR(__xludf.DUMMYFUNCTION("filter('Imported Recommendations'!B:D,'Imported Recommendations'!A:A=A45)"),"Mixing, theoretical and practical [...] is essential.")</f>
        <v>Mixing, theoretical and practical [...] is essential.</v>
      </c>
      <c r="D45" s="15" t="str">
        <f>IFERROR(__xludf.DUMMYFUNCTION("""COMPUTED_VALUE"""),"It is essential to mix the teaching of the theoretical part and the practical part of DevOps.")</f>
        <v>It is essential to mix the teaching of the theoretical part and the practical part of DevOps.</v>
      </c>
      <c r="E45" s="15"/>
      <c r="F45" s="9" t="s">
        <v>238</v>
      </c>
      <c r="G45" s="9" t="s">
        <v>199</v>
      </c>
      <c r="H45" s="9"/>
    </row>
    <row r="46">
      <c r="A46" s="7">
        <v>68.0</v>
      </c>
      <c r="B46" s="8" t="s">
        <v>191</v>
      </c>
      <c r="C46" s="15" t="str">
        <f>IFERROR(__xludf.DUMMYFUNCTION("filter('Imported Recommendations'!B:D,'Imported Recommendations'!A:A=A46)"),"We need to talk about the theoretical part about Lean, which is the Toyota method, Kaisen is also very important, Agile which is significantly linked to the DevOps process.")</f>
        <v>We need to talk about the theoretical part about Lean, which is the Toyota method, Kaisen is also very important, Agile which is significantly linked to the DevOps process.</v>
      </c>
      <c r="D46" s="15" t="str">
        <f>IFERROR(__xludf.DUMMYFUNCTION("""COMPUTED_VALUE"""),"In the theoretical part of DevOps, Lean, Kaisen, and Agile should be taught.")</f>
        <v>In the theoretical part of DevOps, Lean, Kaisen, and Agile should be taught.</v>
      </c>
      <c r="E46" s="15"/>
      <c r="F46" s="9" t="s">
        <v>239</v>
      </c>
      <c r="G46" s="9" t="s">
        <v>16</v>
      </c>
      <c r="H46" s="9"/>
    </row>
    <row r="47">
      <c r="A47" s="7">
        <v>70.0</v>
      </c>
      <c r="B47" s="8" t="s">
        <v>191</v>
      </c>
      <c r="C47" s="15" t="str">
        <f>IFERROR(__xludf.DUMMYFUNCTION("filter('Imported Recommendations'!B:D,'Imported Recommendations'!A:A=A47)"),"Software build [...] deliver this to a VM, somehow, in the best way you understand, which is possible in your suite [...] You can provide it with Docker.")</f>
        <v>Software build [...] deliver this to a VM, somehow, in the best way you understand, which is possible in your suite [...] You can provide it with Docker.</v>
      </c>
      <c r="D47" s="15" t="str">
        <f>IFERROR(__xludf.DUMMYFUNCTION("""COMPUTED_VALUE"""),"Perform continuous delivery through virtual machines or with Docker.")</f>
        <v>Perform continuous delivery through virtual machines or with Docker.</v>
      </c>
      <c r="E47" s="15"/>
      <c r="F47" s="9" t="s">
        <v>240</v>
      </c>
      <c r="G47" s="9" t="s">
        <v>18</v>
      </c>
      <c r="H47" s="9"/>
    </row>
    <row r="48">
      <c r="A48" s="7">
        <v>71.0</v>
      </c>
      <c r="B48" s="8" t="s">
        <v>191</v>
      </c>
      <c r="C48" s="15" t="str">
        <f>IFERROR(__xludf.DUMMYFUNCTION("filter('Imported Recommendations'!B:D,'Imported Recommendations'!A:A=A48)"),"The software [...] a monitoring tool, in the end, for you to look at. [...] Look at a Grafana, for example, with Prometheus, which is free software, like that.")</f>
        <v>The software [...] a monitoring tool, in the end, for you to look at. [...] Look at a Grafana, for example, with Prometheus, which is free software, like that.</v>
      </c>
      <c r="D48" s="15" t="str">
        <f>IFERROR(__xludf.DUMMYFUNCTION("""COMPUTED_VALUE"""),"Use Grafana and Prometheus as monitoring tools.")</f>
        <v>Use Grafana and Prometheus as monitoring tools.</v>
      </c>
      <c r="E48" s="15"/>
      <c r="F48" s="9" t="s">
        <v>241</v>
      </c>
      <c r="G48" s="9" t="s">
        <v>18</v>
      </c>
      <c r="H48" s="9"/>
    </row>
    <row r="49">
      <c r="A49" s="7">
        <v>73.0</v>
      </c>
      <c r="B49" s="8" t="s">
        <v>191</v>
      </c>
      <c r="C49" s="15" t="str">
        <f>IFERROR(__xludf.DUMMYFUNCTION("filter('Imported Recommendations'!B:D,'Imported Recommendations'!A:A=A49)"),"So, the first thing, uncouple the database connection that is versioned in the source code. You can still version the String os; although it's not the best practice, you don't have to comment out the code to change the environment because TomCat will read"&amp;" it from there. Versioning in a git, using a continuous integration like Jenkins, for example, and a constant deploy, a continuous delivery with, it can be with an Ansible, it can be with any tool you deliver or in a VM or the Cloud.")</f>
        <v>So, the first thing, uncouple the database connection that is versioned in the source code. You can still version the String os; although it's not the best practice, you don't have to comment out the code to change the environment because TomCat will read it from there. Versioning in a git, using a continuous integration like Jenkins, for example, and a constant deploy, a continuous delivery with, it can be with an Ansible, it can be with any tool you deliver or in a VM or the Cloud.</v>
      </c>
      <c r="D49" s="15" t="str">
        <f>IFERROR(__xludf.DUMMYFUNCTION("""COMPUTED_VALUE"""),"Carry out the following practical activities during the course: the first step is to decouple the database connection from the system code, then version the code with Git, insert continuous integration with Jenkins, and finish with constant delivery using"&amp;" public cloud services or tools with Ansible.")</f>
        <v>Carry out the following practical activities during the course: the first step is to decouple the database connection from the system code, then version the code with Git, insert continuous integration with Jenkins, and finish with constant delivery using public cloud services or tools with Ansible.</v>
      </c>
      <c r="E49" s="15"/>
      <c r="F49" s="9" t="s">
        <v>242</v>
      </c>
      <c r="G49" s="9" t="s">
        <v>10</v>
      </c>
      <c r="H49" s="25"/>
    </row>
    <row r="50">
      <c r="A50" s="7">
        <v>74.0</v>
      </c>
      <c r="B50" s="8" t="s">
        <v>191</v>
      </c>
      <c r="C50" s="15" t="str">
        <f>IFERROR(__xludf.DUMMYFUNCTION("filter('Imported Recommendations'!B:D,'Imported Recommendations'!A:A=A50)"),"Make it very clear, pedagogically, that I think it involves an exemplary sound configuration so that the student can hear you well, always with the camera open, even if the student doesn't open it, because he can't, but let him see you, that he feels this"&amp;" approach as much as possible.")</f>
        <v>Make it very clear, pedagogically, that I think it involves an exemplary sound configuration so that the student can hear you well, always with the camera open, even if the student doesn't open it, because he can't, but let him see you, that he feels this approach as much as possible.</v>
      </c>
      <c r="D50" s="15" t="str">
        <f>IFERROR(__xludf.DUMMYFUNCTION("""COMPUTED_VALUE"""),"Provide a comfortable learning environment for the student, such as remote teaching, which requires adequate audio and video equipment.")</f>
        <v>Provide a comfortable learning environment for the student, such as remote teaching, which requires adequate audio and video equipment.</v>
      </c>
      <c r="E50" s="15"/>
      <c r="F50" s="9" t="s">
        <v>243</v>
      </c>
      <c r="G50" s="9" t="s">
        <v>12</v>
      </c>
      <c r="H50" s="9"/>
    </row>
    <row r="51">
      <c r="A51" s="7">
        <v>76.0</v>
      </c>
      <c r="B51" s="8" t="s">
        <v>191</v>
      </c>
      <c r="C51" s="15" t="str">
        <f>IFERROR(__xludf.DUMMYFUNCTION("filter('Imported Recommendations'!B:D,'Imported Recommendations'!A:A=A51)"),"I ask the students to implement a straightforward system, which will serve the entire subject. In this minor system, we're going to have tested; there's going to be built, there's going to be continuous integration, there's going to be deployment, you kno"&amp;"w?
This part of the system, which I ask them to do to monitor the discipline [...] When you go to configure the tools and such, as you were the one who developed the system, it becomes easier, I believe for you to understand all the automation and such. "&amp;"However, at the same time, I see that the guys have much difficulty in doing it.")</f>
        <v>I ask the students to implement a straightforward system, which will serve the entire subject. In this minor system, we're going to have tested; there's going to be built, there's going to be continuous integration, there's going to be deployment, you know?
This part of the system, which I ask them to do to monitor the discipline [...] When you go to configure the tools and such, as you were the one who developed the system, it becomes easier, I believe for you to understand all the automation and such. However, at the same time, I see that the guys have much difficulty in doing it.</v>
      </c>
      <c r="D51" s="15" t="str">
        <f>IFERROR(__xludf.DUMMYFUNCTION("""COMPUTED_VALUE"""),"Use a simple example system made by students.
Students build their own systems during the course in order to increase their understanding of automation.")</f>
        <v>Use a simple example system made by students.
Students build their own systems during the course in order to increase their understanding of automation.</v>
      </c>
      <c r="E51" s="15" t="str">
        <f>IFERROR(__xludf.DUMMYFUNCTION("""COMPUTED_VALUE"""),"The students could build their own system during the course.")</f>
        <v>The students could build their own system during the course.</v>
      </c>
      <c r="F51" s="9" t="s">
        <v>244</v>
      </c>
      <c r="G51" s="25" t="s">
        <v>245</v>
      </c>
      <c r="H51" s="9"/>
    </row>
    <row r="52">
      <c r="A52" s="7">
        <v>77.0</v>
      </c>
      <c r="B52" s="8" t="s">
        <v>191</v>
      </c>
      <c r="C52" s="15" t="str">
        <f>IFERROR(__xludf.DUMMYFUNCTION("filter('Imported Recommendations'!B:D,'Imported Recommendations'!A:A=A52)"),"The point is to try to exercise as many tools as possible to provide everyone [...] with a range of things to apply in your daily life when you see the need.")</f>
        <v>The point is to try to exercise as many tools as possible to provide everyone [...] with a range of things to apply in your daily life when you see the need.</v>
      </c>
      <c r="D52" s="15" t="str">
        <f>IFERROR(__xludf.DUMMYFUNCTION("""COMPUTED_VALUE"""),"Exercise as many tools as possible.")</f>
        <v>Exercise as many tools as possible.</v>
      </c>
      <c r="E52" s="15"/>
      <c r="F52" s="9" t="s">
        <v>246</v>
      </c>
      <c r="G52" s="9" t="s">
        <v>18</v>
      </c>
      <c r="H52" s="9"/>
    </row>
    <row r="53">
      <c r="A53" s="7">
        <v>79.0</v>
      </c>
      <c r="B53" s="8" t="s">
        <v>191</v>
      </c>
      <c r="C53" s="15" t="str">
        <f>IFERROR(__xludf.DUMMYFUNCTION("filter('Imported Recommendations'!B:D,'Imported Recommendations'!A:A=A53)"),"This part of the system, which I ask them to do to follow the discipline, [...] I'm seriously thinking about the idea of ​​simply giving them a system.
If I make this system, I can pass it on to people in a much simpler way, right? How do they do things "&amp;"and such.")</f>
        <v>This part of the system, which I ask them to do to follow the discipline, [...] I'm seriously thinking about the idea of ​​simply giving them a system.
If I make this system, I can pass it on to people in a much simpler way, right? How do they do things and such.</v>
      </c>
      <c r="D53" s="15" t="str">
        <f>IFERROR(__xludf.DUMMYFUNCTION("""COMPUTED_VALUE"""),"Deliver a ready-made sample system for students to use.
Using an example system designed by the teacher will give more confidence in supporting students during the course.")</f>
        <v>Deliver a ready-made sample system for students to use.
Using an example system designed by the teacher will give more confidence in supporting students during the course.</v>
      </c>
      <c r="E53" s="15" t="str">
        <f>IFERROR(__xludf.DUMMYFUNCTION("""COMPUTED_VALUE"""),"Deliver a ready-made sample system for students to use.")</f>
        <v>Deliver a ready-made sample system for students to use.</v>
      </c>
      <c r="F53" s="9" t="s">
        <v>247</v>
      </c>
      <c r="G53" s="9" t="s">
        <v>199</v>
      </c>
      <c r="H53" s="9"/>
    </row>
    <row r="54">
      <c r="A54" s="7">
        <v>80.0</v>
      </c>
      <c r="B54" s="8" t="s">
        <v>191</v>
      </c>
      <c r="C54" s="15" t="str">
        <f>IFERROR(__xludf.DUMMYFUNCTION("filter('Imported Recommendations'!B:D,'Imported Recommendations'!A:A=A54)"),"Maybe it makes sense for you to provide the environment for the students, right? And this provision, you can use a docker of life, which comes already, right?
I ended up doing was to give each group a big virtual machine. And on that machine, they run th"&amp;"ree or four Docker images. Uh, one with Artifactory, one with Jenkins.")</f>
        <v>Maybe it makes sense for you to provide the environment for the students, right? And this provision, you can use a docker of life, which comes already, right?
I ended up doing was to give each group a big virtual machine. And on that machine, they run three or four Docker images. Uh, one with Artifactory, one with Jenkins.</v>
      </c>
      <c r="D54" s="15" t="str">
        <f>IFERROR(__xludf.DUMMYFUNCTION("""COMPUTED_VALUE"""),"Provide initial environment setup for students.
Give each group a big virtual machine. And on that machine, run three or four Docker images. One with Artifactory, other with Jenkins.")</f>
        <v>Provide initial environment setup for students.
Give each group a big virtual machine. And on that machine, run three or four Docker images. One with Artifactory, other with Jenkins.</v>
      </c>
      <c r="E54" s="15" t="str">
        <f>IFERROR(__xludf.DUMMYFUNCTION("""COMPUTED_VALUE"""),"Provide initial environment setup for students.")</f>
        <v>Provide initial environment setup for students.</v>
      </c>
      <c r="F54" s="9" t="s">
        <v>248</v>
      </c>
      <c r="G54" s="9" t="s">
        <v>12</v>
      </c>
      <c r="H54" s="9"/>
    </row>
    <row r="55">
      <c r="A55" s="7">
        <v>82.0</v>
      </c>
      <c r="B55" s="8" t="s">
        <v>191</v>
      </c>
      <c r="C55" s="15" t="str">
        <f>IFERROR(__xludf.DUMMYFUNCTION("filter('Imported Recommendations'!B:D,'Imported Recommendations'!A:A=A55)"),"Something I don't do. I realize that I will need to do it, but it's precisely documenting, right? Those fonts, in case you need to revisit, eh, eh, because it's so easy, right? You open a blog and stuff, you close the tab, and it died like that. So, someh"&amp;"ow you, you are always documenting, where you got it, where you got it from, keep these links, if you have to, if you need to revisit there in future versions of the course, I don't know.")</f>
        <v>Something I don't do. I realize that I will need to do it, but it's precisely documenting, right? Those fonts, in case you need to revisit, eh, eh, because it's so easy, right? You open a blog and stuff, you close the tab, and it died like that. So, somehow you, you are always documenting, where you got it, where you got it from, keep these links, if you have to, if you need to revisit there in future versions of the course, I don't know.</v>
      </c>
      <c r="D55" s="15" t="str">
        <f>IFERROR(__xludf.DUMMYFUNCTION("""COMPUTED_VALUE"""),"Document the consulted material, facilitating future access.")</f>
        <v>Document the consulted material, facilitating future access.</v>
      </c>
      <c r="E55" s="15"/>
      <c r="F55" s="9" t="s">
        <v>249</v>
      </c>
      <c r="G55" s="9" t="s">
        <v>24</v>
      </c>
      <c r="H55" s="25"/>
    </row>
    <row r="56">
      <c r="A56" s="7">
        <v>83.0</v>
      </c>
      <c r="B56" s="8" t="s">
        <v>191</v>
      </c>
      <c r="C56" s="15" t="str">
        <f>IFERROR(__xludf.DUMMYFUNCTION("filter('Imported Recommendations'!B:D,'Imported Recommendations'!A:A=A56)"),"For this part of continuous integration, [...] When you talk about continuous integration, there are several tools you can use. So, you can use Jenkins; you can use Travis; you can use Circle CI, now Github Actions is here, you know?
And then I teach the"&amp;"m, CI continuous integration. I show them how to use Travis to automatically run the test cases.
From a tooling point of view, um, for the pipeline, we, we recommend Travis CI.
There are many checks in this course, we had to make sure that the students "&amp;"had done this and that, and that these, uh, checks could be, uh, automatized by your students. And they had, they added some GitHub actions and to the repository.
I want the code to go through a pipeline. It could be Jenkins. It could be github actions. "&amp;"It could be gitlab workflow. It could be GitHub action.")</f>
        <v>For this part of continuous integration, [...] When you talk about continuous integration, there are several tools you can use. So, you can use Jenkins; you can use Travis; you can use Circle CI, now Github Actions is here, you know?
And then I teach them, CI continuous integration. I show them how to use Travis to automatically run the test cases.
From a tooling point of view, um, for the pipeline, we, we recommend Travis CI.
There are many checks in this course, we had to make sure that the students had done this and that, and that these, uh, checks could be, uh, automatized by your students. And they had, they added some GitHub actions and to the repository.
I want the code to go through a pipeline. It could be Jenkins. It could be github actions. It could be gitlab workflow. It could be GitHub action.</v>
      </c>
      <c r="D56" s="15" t="str">
        <f>IFERROR(__xludf.DUMMYFUNCTION("""COMPUTED_VALUE"""),"Use Jenkins, Travis CI, Circle CI and Github Actions in teaching continuous integration.
Teach continuous integration using travis to automatically run the test cases.
Use Travis CI for the pipeline.
Do automation with Github actions.
Use Jenkins, Git"&amp;"Lab, or Github Actions as pipeline orchestration tools adopted by the course.")</f>
        <v>Use Jenkins, Travis CI, Circle CI and Github Actions in teaching continuous integration.
Teach continuous integration using travis to automatically run the test cases.
Use Travis CI for the pipeline.
Do automation with Github actions.
Use Jenkins, GitLab, or Github Actions as pipeline orchestration tools adopted by the course.</v>
      </c>
      <c r="E56" s="15" t="str">
        <f>IFERROR(__xludf.DUMMYFUNCTION("""COMPUTED_VALUE"""),"Teach continuous integration and pipeline automation.")</f>
        <v>Teach continuous integration and pipeline automation.</v>
      </c>
      <c r="F56" s="9" t="s">
        <v>250</v>
      </c>
      <c r="G56" s="9" t="s">
        <v>18</v>
      </c>
      <c r="H56" s="9"/>
    </row>
    <row r="57">
      <c r="A57" s="7">
        <v>85.0</v>
      </c>
      <c r="B57" s="8" t="s">
        <v>191</v>
      </c>
      <c r="C57" s="15" t="str">
        <f>IFERROR(__xludf.DUMMYFUNCTION("filter('Imported Recommendations'!B:D,'Imported Recommendations'!A:A=A57)"),"The recommendation would be that it would be to get tools that are minimally relevant, right? And so that you can present the different cost-benefits of each one.
I try to pick a few key ones.")</f>
        <v>The recommendation would be that it would be to get tools that are minimally relevant, right? And so that you can present the different cost-benefits of each one.
I try to pick a few key ones.</v>
      </c>
      <c r="D57" s="15" t="str">
        <f>IFERROR(__xludf.DUMMYFUNCTION("""COMPUTED_VALUE"""),"Introduce students to minimal relevant tools and their tradeoffs.
Use few key tools.")</f>
        <v>Introduce students to minimal relevant tools and their tradeoffs.
Use few key tools.</v>
      </c>
      <c r="E57" s="15" t="str">
        <f>IFERROR(__xludf.DUMMYFUNCTION("""COMPUTED_VALUE"""),"Use few key tools.")</f>
        <v>Use few key tools.</v>
      </c>
      <c r="F57" s="9" t="s">
        <v>251</v>
      </c>
      <c r="G57" s="9" t="s">
        <v>18</v>
      </c>
      <c r="H57" s="9"/>
    </row>
    <row r="58">
      <c r="A58" s="7">
        <v>86.0</v>
      </c>
      <c r="B58" s="8" t="s">
        <v>191</v>
      </c>
      <c r="C58" s="15" t="str">
        <f>IFERROR(__xludf.DUMMYFUNCTION("filter('Imported Recommendations'!B:D,'Imported Recommendations'!A:A=A58)"),"I always pass some written evaluation of the basic concepts [...] I like the students to express in their own words what they understood [...] mainly from the cultural part.
 And the final exam, I keep, I keep the questions mostly conceptual, right. Beca"&amp;"use let's face it. If you understand the concepts, you can Google the details, right. But you don't know the concepts, you don't know what the Google, right. ... I do put some questions in that they would have only learned had they participated in the pro"&amp;"ject.
The exams are really more the conceptual or philosophical elements stuff, where there is a little more of a, a cut and dry response, or at least I try to structure them that way.")</f>
        <v>I always pass some written evaluation of the basic concepts [...] I like the students to express in their own words what they understood [...] mainly from the cultural part.
 And the final exam, I keep, I keep the questions mostly conceptual, right. Because let's face it. If you understand the concepts, you can Google the details, right. But you don't know the concepts, you don't know what the Google, right. ... I do put some questions in that they would have only learned had they participated in the project.
The exams are really more the conceptual or philosophical elements stuff, where there is a little more of a, a cut and dry response, or at least I try to structure them that way.</v>
      </c>
      <c r="D58" s="15" t="str">
        <f>IFERROR(__xludf.DUMMYFUNCTION("""COMPUTED_VALUE"""),"Use assessment writing of basic concepts and DevOps culture so that students can express what they understand in their own words.
Keep the exam questions mostly conceptual and about participation in the project in the final exam. 
The exams have more co"&amp;"nceptual or philosophical elements.")</f>
        <v>Use assessment writing of basic concepts and DevOps culture so that students can express what they understand in their own words.
Keep the exam questions mostly conceptual and about participation in the project in the final exam. 
The exams have more conceptual or philosophical elements.</v>
      </c>
      <c r="E58" s="15" t="str">
        <f>IFERROR(__xludf.DUMMYFUNCTION("""COMPUTED_VALUE"""),"Do exams with more conceptual questions.")</f>
        <v>Do exams with more conceptual questions.</v>
      </c>
      <c r="F58" s="9" t="s">
        <v>252</v>
      </c>
      <c r="G58" s="9" t="s">
        <v>29</v>
      </c>
      <c r="H58" s="9"/>
    </row>
    <row r="59">
      <c r="A59" s="7">
        <v>88.0</v>
      </c>
      <c r="B59" s="8" t="s">
        <v>191</v>
      </c>
      <c r="C59" s="15" t="str">
        <f>IFERROR(__xludf.DUMMYFUNCTION("filter('Imported Recommendations'!B:D,'Imported Recommendations'!A:A=A59)"),"So, there are some things that you cannot miss. All, if you see the cute little DevOps cycle figure there, right? All that part of compiling, testing, making, monitoring, and evaluating, I think all of this needs to be charged in some way; it has to come "&amp;"in somehow.
I would have some more, uh, time for, uh, for basics of, uh, basics of DevOps and the old technologies, and not only focus on the things that are, uh, that are very novel and very being developed right now. So, uh, because that would give stu"&amp;"dents a better opportunity to, uh, understand the, uh, the other things as well.
")</f>
        <v>So, there are some things that you cannot miss. All, if you see the cute little DevOps cycle figure there, right? All that part of compiling, testing, making, monitoring, and evaluating, I think all of this needs to be charged in some way; it has to come in somehow.
I would have some more, uh, time for, uh, for basics of, uh, basics of DevOps and the old technologies, and not only focus on the things that are, uh, that are very novel and very being developed right now. So, uh, because that would give students a better opportunity to, uh, understand the, uh, the other things as well.
</v>
      </c>
      <c r="D59" s="15" t="str">
        <f>IFERROR(__xludf.DUMMYFUNCTION("""COMPUTED_VALUE"""),"The basics of building, testing, deploying, and monitoring should be present in a DevOps course.
Not just focus on the current, but teach the basics of DevOps and older technologies to a better understanding.")</f>
        <v>The basics of building, testing, deploying, and monitoring should be present in a DevOps course.
Not just focus on the current, but teach the basics of DevOps and older technologies to a better understanding.</v>
      </c>
      <c r="E59" s="15" t="str">
        <f>IFERROR(__xludf.DUMMYFUNCTION("""COMPUTED_VALUE"""),"The basics of building, testing, deploying, and monitoring should be present in a DevOps course.")</f>
        <v>The basics of building, testing, deploying, and monitoring should be present in a DevOps course.</v>
      </c>
      <c r="F59" s="9" t="s">
        <v>253</v>
      </c>
      <c r="G59" s="9" t="s">
        <v>10</v>
      </c>
      <c r="H59" s="9"/>
    </row>
    <row r="60">
      <c r="A60" s="7">
        <v>89.0</v>
      </c>
      <c r="B60" s="8" t="s">
        <v>191</v>
      </c>
      <c r="C60" s="15" t="str">
        <f>IFERROR(__xludf.DUMMYFUNCTION("filter('Imported Recommendations'!B:D,'Imported Recommendations'!A:A=A60)"),"During creation [...] Everything is already prepared, and the groups are always the same [...] it is the same booklet, the same content, the same teaching didactics, so there is no preparation for each class, you know? It was just an initial preparation.")</f>
        <v>During creation [...] Everything is already prepared, and the groups are always the same [...] it is the same booklet, the same content, the same teaching didactics, so there is no preparation for each class, you know? It was just an initial preparation.</v>
      </c>
      <c r="D60" s="15" t="str">
        <f>IFERROR(__xludf.DUMMYFUNCTION("""COMPUTED_VALUE"""),"Standardize the teaching material for all classes.")</f>
        <v>Standardize the teaching material for all classes.</v>
      </c>
      <c r="E60" s="15"/>
      <c r="F60" s="9" t="s">
        <v>254</v>
      </c>
      <c r="G60" s="9" t="s">
        <v>24</v>
      </c>
      <c r="H60" s="9"/>
    </row>
    <row r="61">
      <c r="A61" s="7">
        <v>91.0</v>
      </c>
      <c r="B61" s="8" t="s">
        <v>191</v>
      </c>
      <c r="C61" s="15" t="str">
        <f>IFERROR(__xludf.DUMMYFUNCTION("filter('Imported Recommendations'!B:D,'Imported Recommendations'!A:A=A61)"),"the recommendation is to look at the market, search, see on Twitter, discussion groups, see what's hot on Google Trends. To know how to choose a tool that is more popular, right? That it is used more and that more people can enjoy the content there, right"&amp;"? Because they are tools they are already used to using.
The recommendation is to see what the market is using, right? Moreover, trying to go with what is most used, like, it was no use messing with CRIO if everyone uses Docker.
 I also try to use a set"&amp;" of tools that are popular in the industry.
It is very critical to teach them tools that are relevant and tools that will help them get a job.
Setting up good logging monitoring notifications, some of these other open source tools that provide that kind"&amp;" of those kinds of capabilities. ... So I try to pick a representative sample open source, always cause I don't want people to be buying things.
 I try to use as much as possible with tools that people use in industry and companies.
I wanted to go with "&amp;"open source technologies so I can explain later how we build the labs.")</f>
        <v>the recommendation is to look at the market, search, see on Twitter, discussion groups, see what's hot on Google Trends. To know how to choose a tool that is more popular, right? That it is used more and that more people can enjoy the content there, right? Because they are tools they are already used to using.
The recommendation is to see what the market is using, right? Moreover, trying to go with what is most used, like, it was no use messing with CRIO if everyone uses Docker.
 I also try to use a set of tools that are popular in the industry.
It is very critical to teach them tools that are relevant and tools that will help them get a job.
Setting up good logging monitoring notifications, some of these other open source tools that provide that kind of those kinds of capabilities. ... So I try to pick a representative sample open source, always cause I don't want people to be buying things.
 I try to use as much as possible with tools that people use in industry and companies.
I wanted to go with open source technologies so I can explain later how we build the labs.</v>
      </c>
      <c r="D61" s="15" t="str">
        <f>IFERROR(__xludf.DUMMYFUNCTION("""COMPUTED_VALUE"""),"Research market tools on Twitter, discussion groups, Google Trends, as they are probably the tools that students are used to using and will take advantage of in their work.
Use the most relevant tools on the market like Docker.
Use popular industry tool"&amp;"s.
Teach tools that will help to get a job.
Use representative open source industrial tools.
Use as much as possible relevant industry tools.
Prefer to use open source technologies.")</f>
        <v>Research market tools on Twitter, discussion groups, Google Trends, as they are probably the tools that students are used to using and will take advantage of in their work.
Use the most relevant tools on the market like Docker.
Use popular industry tools.
Teach tools that will help to get a job.
Use representative open source industrial tools.
Use as much as possible relevant industry tools.
Prefer to use open source technologies.</v>
      </c>
      <c r="E61" s="15" t="str">
        <f>IFERROR(__xludf.DUMMYFUNCTION("""COMPUTED_VALUE"""),"Use relevant industry tools.")</f>
        <v>Use relevant industry tools.</v>
      </c>
      <c r="F61" s="9" t="s">
        <v>255</v>
      </c>
      <c r="G61" s="9" t="s">
        <v>18</v>
      </c>
      <c r="H61" s="9"/>
    </row>
    <row r="62">
      <c r="A62" s="7">
        <v>92.0</v>
      </c>
      <c r="B62" s="8" t="s">
        <v>191</v>
      </c>
      <c r="C62" s="15" t="str">
        <f>IFERROR(__xludf.DUMMYFUNCTION("filter('Imported Recommendations'!B:D,'Imported Recommendations'!A:A=A62)"),"Of first showing the history, showing the motivation, showing the problem, and making some hooks with possible solutions that Devops was bringing, suitable?")</f>
        <v>Of first showing the history, showing the motivation, showing the problem, and making some hooks with possible solutions that Devops was bringing, suitable?</v>
      </c>
      <c r="D62" s="15" t="str">
        <f>IFERROR(__xludf.DUMMYFUNCTION("""COMPUTED_VALUE"""),"The assembly of classes should follow the following steps to use DevOps: history, motivation, problems that can be solved, and possible solutions with DevOps.")</f>
        <v>The assembly of classes should follow the following steps to use DevOps: history, motivation, problems that can be solved, and possible solutions with DevOps.</v>
      </c>
      <c r="E62" s="15"/>
      <c r="F62" s="9" t="s">
        <v>256</v>
      </c>
      <c r="G62" s="9" t="s">
        <v>24</v>
      </c>
      <c r="H62" s="9"/>
    </row>
    <row r="63">
      <c r="A63" s="7">
        <v>94.0</v>
      </c>
      <c r="B63" s="8" t="s">
        <v>191</v>
      </c>
      <c r="C63" s="15" t="str">
        <f>IFERROR(__xludf.DUMMYFUNCTION("filter('Imported Recommendations'!B:D,'Imported Recommendations'!A:A=A63)"),"Which tool to choose, which one had to see, which was more standard in the market, which was more straightforward, which is even easier to teach, and how to fit it in, right?
You don't know what is Docker yet, but here's a common line. Just run it. And t"&amp;"hen here's a common line to run. Artifactory you don't know what it means, just type it like this. Um, it will give you an Artifactory that's running.")</f>
        <v>Which tool to choose, which one had to see, which was more standard in the market, which was more straightforward, which is even easier to teach, and how to fit it in, right?
You don't know what is Docker yet, but here's a common line. Just run it. And then here's a common line to run. Artifactory you don't know what it means, just type it like this. Um, it will give you an Artifactory that's running.</v>
      </c>
      <c r="D63" s="15" t="str">
        <f>IFERROR(__xludf.DUMMYFUNCTION("""COMPUTED_VALUE"""),"Use the simplest tools chosen by the market as a method of selecting the tools that will be adopted during the course.
Use the tools like Docker and Artifactory in simplest way.")</f>
        <v>Use the simplest tools chosen by the market as a method of selecting the tools that will be adopted during the course.
Use the tools like Docker and Artifactory in simplest way.</v>
      </c>
      <c r="E63" s="15" t="str">
        <f>IFERROR(__xludf.DUMMYFUNCTION("""COMPUTED_VALUE"""),"Use the DevOps tools in simplest way.")</f>
        <v>Use the DevOps tools in simplest way.</v>
      </c>
      <c r="F63" s="9" t="s">
        <v>257</v>
      </c>
      <c r="G63" s="9" t="s">
        <v>18</v>
      </c>
      <c r="H63" s="9"/>
    </row>
    <row r="64">
      <c r="A64" s="7">
        <v>95.0</v>
      </c>
      <c r="B64" s="8" t="s">
        <v>191</v>
      </c>
      <c r="C64" s="15" t="str">
        <f>IFERROR(__xludf.DUMMYFUNCTION("filter('Imported Recommendations'!B:D,'Imported Recommendations'!A:A=A64)"),"We don't evaluate, [...] but we keep observing, right, the students, and such throughout the training.")</f>
        <v>We don't evaluate, [...] but we keep observing, right, the students, and such throughout the training.</v>
      </c>
      <c r="D64" s="15" t="str">
        <f>IFERROR(__xludf.DUMMYFUNCTION("""COMPUTED_VALUE"""),"Monitor student progress throughout training by conducting a traditional assessment.")</f>
        <v>Monitor student progress throughout training by conducting a traditional assessment.</v>
      </c>
      <c r="E64" s="15"/>
      <c r="F64" s="9" t="s">
        <v>258</v>
      </c>
      <c r="G64" s="9" t="s">
        <v>29</v>
      </c>
      <c r="H64" s="9"/>
    </row>
    <row r="65">
      <c r="A65" s="7">
        <v>97.0</v>
      </c>
      <c r="B65" s="8" t="s">
        <v>191</v>
      </c>
      <c r="C65" s="15" t="str">
        <f>IFERROR(__xludf.DUMMYFUNCTION("filter('Imported Recommendations'!B:D,'Imported Recommendations'!A:A=A65)")," I had to show the history somehow... the history of software development, showing about the processes. Cascade, RUP, agile, talk a lot about agile, because it's related and fit these topics, so, more historical, not sound, not technical... And make a par"&amp;"allel, there, with the agile world with the problems that DevOps came to solve, right?
I'm trying to tie the application of the devops principles and techniques and technologies, and to, and to link that together with agile approaches, for example.
We h"&amp;"elp them manage stories, backlog. Uh, so it's more on the front of, we give you requirements.
If you want to be able to experiment and, and to, to, to do the postmortem so that you can learn and you can solve issues and stuff.
I have to do more of this,"&amp;" um, story telling. ... I'm trying to share my experience with the students.")</f>
        <v> I had to show the history somehow... the history of software development, showing about the processes. Cascade, RUP, agile, talk a lot about agile, because it's related and fit these topics, so, more historical, not sound, not technical... And make a parallel, there, with the agile world with the problems that DevOps came to solve, right?
I'm trying to tie the application of the devops principles and techniques and technologies, and to, and to link that together with agile approaches, for example.
We help them manage stories, backlog. Uh, so it's more on the front of, we give you requirements.
If you want to be able to experiment and, and to, to, to do the postmortem so that you can learn and you can solve issues and stuff.
I have to do more of this, um, story telling. ... I'm trying to share my experience with the students.</v>
      </c>
      <c r="D65" s="15" t="str">
        <f>IFERROR(__xludf.DUMMYFUNCTION("""COMPUTED_VALUE"""),"It is important to show the relationship of DevOps with software development models, notably Agile.
Tie application of DevOps principles, techniques and technologies with Agile approaches.
Help students manage stories and backlog.
Make post mortem with"&amp;" the students to solve problems.
Use storytelling to share experience with the students.")</f>
        <v>It is important to show the relationship of DevOps with software development models, notably Agile.
Tie application of DevOps principles, techniques and technologies with Agile approaches.
Help students manage stories and backlog.
Make post mortem with the students to solve problems.
Use storytelling to share experience with the students.</v>
      </c>
      <c r="E65" s="15" t="str">
        <f>IFERROR(__xludf.DUMMYFUNCTION("""COMPUTED_VALUE"""),"Use Agile approaches in DevOps classes.")</f>
        <v>Use Agile approaches in DevOps classes.</v>
      </c>
      <c r="F65" s="9" t="s">
        <v>259</v>
      </c>
      <c r="G65" s="9" t="s">
        <v>16</v>
      </c>
      <c r="H65" s="9"/>
    </row>
    <row r="66">
      <c r="A66" s="7">
        <v>98.0</v>
      </c>
      <c r="B66" s="8" t="s">
        <v>191</v>
      </c>
      <c r="C66" s="15" t="str">
        <f>IFERROR(__xludf.DUMMYFUNCTION("filter('Imported Recommendations'!B:D,'Imported Recommendations'!A:A=A66)"),"To get Everything ready to avoid problems and lose the focus and essence of the group.")</f>
        <v>To get Everything ready to avoid problems and lose the focus and essence of the group.</v>
      </c>
      <c r="D66" s="15" t="str">
        <f>IFERROR(__xludf.DUMMYFUNCTION("""COMPUTED_VALUE"""),"Start a class with a pre-organized structure.")</f>
        <v>Start a class with a pre-organized structure.</v>
      </c>
      <c r="E66" s="15"/>
      <c r="F66" s="9" t="s">
        <v>260</v>
      </c>
      <c r="G66" s="9" t="s">
        <v>12</v>
      </c>
      <c r="H66" s="9"/>
    </row>
    <row r="67">
      <c r="A67" s="7">
        <v>100.0</v>
      </c>
      <c r="B67" s="8" t="s">
        <v>191</v>
      </c>
      <c r="C67" s="15" t="str">
        <f>IFERROR(__xludf.DUMMYFUNCTION("filter('Imported Recommendations'!B:D,'Imported Recommendations'!A:A=A67)"),"Working so hard on the theoretical aspects needed to understand why things in DevOps are in SRE as a whole [...] you have to have that.
Thus, DevOps and SRE are concepts that were born much more strongly in practice than in state of the art, that is, muc"&amp;"h more in the industry than necessarily in the university. So for you to deal with these concepts without making a real explanation, or bringing the main players about how they did it and why they did it, it is essential.")</f>
        <v>Working so hard on the theoretical aspects needed to understand why things in DevOps are in SRE as a whole [...] you have to have that.
Thus, DevOps and SRE are concepts that were born much more strongly in practice than in state of the art, that is, much more in the industry than necessarily in the university. So for you to deal with these concepts without making a real explanation, or bringing the main players about how they did it and why they did it, it is essential.</v>
      </c>
      <c r="D67" s="15" t="str">
        <f>IFERROR(__xludf.DUMMYFUNCTION("""COMPUTED_VALUE"""),"Relate devops to site reliability engineering (sre) for students.
Show the historical importance of DevOps and SRE concepts from the main players in the industry.")</f>
        <v>Relate devops to site reliability engineering (sre) for students.
Show the historical importance of DevOps and SRE concepts from the main players in the industry.</v>
      </c>
      <c r="E67" s="15" t="str">
        <f>IFERROR(__xludf.DUMMYFUNCTION("""COMPUTED_VALUE"""),"Relate devops to site reliability engineering (sre) for students.")</f>
        <v>Relate devops to site reliability engineering (sre) for students.</v>
      </c>
      <c r="F67" s="9" t="s">
        <v>261</v>
      </c>
      <c r="G67" s="9" t="s">
        <v>16</v>
      </c>
      <c r="H67" s="9"/>
    </row>
    <row r="68">
      <c r="A68" s="7">
        <v>103.0</v>
      </c>
      <c r="B68" s="8" t="s">
        <v>191</v>
      </c>
      <c r="C68" s="15" t="str">
        <f>IFERROR(__xludf.DUMMYFUNCTION("filter('Imported Recommendations'!B:D,'Imported Recommendations'!A:A=A68)"),"To bring the concept applied, then use a CDL approach, or PBL, that helps a lot, because then you have to present the problem and then show the idea behind the resolution of that problem.")</f>
        <v>To bring the concept applied, then use a CDL approach, or PBL, that helps a lot, because then you have to present the problem and then show the idea behind the resolution of that problem.</v>
      </c>
      <c r="D68" s="15" t="str">
        <f>IFERROR(__xludf.DUMMYFUNCTION("""COMPUTED_VALUE"""),"Make use of the Comprehensive Distance Learning (CDL) teaching methodology.")</f>
        <v>Make use of the Comprehensive Distance Learning (CDL) teaching methodology.</v>
      </c>
      <c r="E68" s="15"/>
      <c r="F68" s="9" t="s">
        <v>262</v>
      </c>
      <c r="G68" s="9" t="s">
        <v>199</v>
      </c>
      <c r="H68" s="9"/>
    </row>
    <row r="69">
      <c r="A69" s="7">
        <v>104.0</v>
      </c>
      <c r="B69" s="8" t="s">
        <v>191</v>
      </c>
      <c r="C69" s="15" t="str">
        <f>IFERROR(__xludf.DUMMYFUNCTION("filter('Imported Recommendations'!B:D,'Imported Recommendations'!A:A=A69)"),"DevOps comes very close in these quirks of software architecture-like chairs. You can't just stick to the concepts. In theory, you have to show the realization of these things.
You have to learn by doing.
You can't learn the DevOps culture from a book.
"&amp;"
Once you've been to the exercise session, you have to go back to the concept again and display them again because the, some concept only makes sense when you apply them.
I was saying at the beginning is that when you tell them that they're going to get "&amp;"their hands dirty and things that work one day will not work the other day, they start laughing. They don't take it seriously. Um, and then when they, when they building and they build a script to, I don't know, run some integration tests or to magically "&amp;"build Docker images and deploy them, it works on the machine on one guy of the group because they're working group, right? So they talk together. The one guy actually typing on the keyboard, he commits a script and they go, yes, we're done for the day. Le"&amp;"t's go to some of the tasks, right? And then the next day somebody else was in the group wants to use it. And it doesn't work for them because they have a different environment because the script was assuming that the Docker was installed.
If we can have"&amp;" a students together working together and, um, working on the projects and developing projects together at the same time while the teachers are there and they, uh, we can, uh, see what they are doing, that would be better. And I think we will, uh, hopeful"&amp;"ly do this, uh, next year when grown-up situation gets better.")</f>
        <v>DevOps comes very close in these quirks of software architecture-like chairs. You can't just stick to the concepts. In theory, you have to show the realization of these things.
You have to learn by doing.
You can't learn the DevOps culture from a book.
Once you've been to the exercise session, you have to go back to the concept again and display them again because the, some concept only makes sense when you apply them.
I was saying at the beginning is that when you tell them that they're going to get their hands dirty and things that work one day will not work the other day, they start laughing. They don't take it seriously. Um, and then when they, when they building and they build a script to, I don't know, run some integration tests or to magically build Docker images and deploy them, it works on the machine on one guy of the group because they're working group, right? So they talk together. The one guy actually typing on the keyboard, he commits a script and they go, yes, we're done for the day. Let's go to some of the tasks, right? And then the next day somebody else was in the group wants to use it. And it doesn't work for them because they have a different environment because the script was assuming that the Docker was installed.
If we can have a students together working together and, um, working on the projects and developing projects together at the same time while the teachers are there and they, uh, we can, uh, see what they are doing, that would be better. And I think we will, uh, hopefully do this, uh, next year when grown-up situation gets better.</v>
      </c>
      <c r="D69" s="15" t="str">
        <f>IFERROR(__xludf.DUMMYFUNCTION("""COMPUTED_VALUE"""),"It takes practice to understand DevOps concepts.
It is necessary to practice DevOps knowledge.
You can't learn the DevOps culture from a book.
DevOps concepts need to be shown in practice so that students can understand.
Students only understand probl"&amp;"ems of the environment setup when they experiment in the practice.
Promote a moment to students practice while teachers are around to help them.")</f>
        <v>It takes practice to understand DevOps concepts.
It is necessary to practice DevOps knowledge.
You can't learn the DevOps culture from a book.
DevOps concepts need to be shown in practice so that students can understand.
Students only understand problems of the environment setup when they experiment in the practice.
Promote a moment to students practice while teachers are around to help them.</v>
      </c>
      <c r="E69" s="15" t="str">
        <f>IFERROR(__xludf.DUMMYFUNCTION("""COMPUTED_VALUE"""),"It takes practice to understand DevOps concepts.")</f>
        <v>It takes practice to understand DevOps concepts.</v>
      </c>
      <c r="F69" s="9" t="s">
        <v>263</v>
      </c>
      <c r="G69" s="9" t="s">
        <v>199</v>
      </c>
      <c r="H69" s="9"/>
    </row>
    <row r="70">
      <c r="A70" s="7">
        <v>106.0</v>
      </c>
      <c r="B70" s="8" t="s">
        <v>191</v>
      </c>
      <c r="C70" s="15" t="str">
        <f>IFERROR(__xludf.DUMMYFUNCTION("filter('Imported Recommendations'!B:D,'Imported Recommendations'!A:A=A70)"),"You propose the dynamics and have these things move the group because otherwise, it gets so dull.")</f>
        <v>You propose the dynamics and have these things move the group because otherwise, it gets so dull.</v>
      </c>
      <c r="D70" s="15" t="str">
        <f>IFERROR(__xludf.DUMMYFUNCTION("""COMPUTED_VALUE"""),"Use dynamics to inspire the class.")</f>
        <v>Use dynamics to inspire the class.</v>
      </c>
      <c r="E70" s="15"/>
      <c r="F70" s="9" t="s">
        <v>264</v>
      </c>
      <c r="G70" s="9" t="s">
        <v>199</v>
      </c>
      <c r="H70" s="9"/>
    </row>
    <row r="71">
      <c r="A71" s="7">
        <v>109.0</v>
      </c>
      <c r="B71" s="8" t="s">
        <v>191</v>
      </c>
      <c r="C71" s="15" t="str">
        <f>IFERROR(__xludf.DUMMYFUNCTION("filter('Imported Recommendations'!B:D,'Imported Recommendations'!A:A=A71)"),"Some settings you can have for us to help, like, oh, you have the monitors team, for example, this allows you to go to a more excellent practical line because you'll have more arms to help you, evaluate and everything else.
We had to do as TAs and other "&amp;"things I think, uh, we, it's not, uh, only before the lecture, but during the whole, uh, time that this, uh, this course was, uh, going on, we had to check the, uh, check the github. And, um, students had, since they had to make some contributions, uh, we"&amp;" had to make sure that their contributions, uh, could pass all the checks that we had. [...] So we had to check that they were doing what they were supposed to do before the lectures, during the lectures and after it. So that was our, uh, our role in this"&amp;" course.
What we've done in this case was to let the TA grade the projects, um, because then it was way more simple. And as the two props, we were, uh, grading the exams and were like cross validating.")</f>
        <v>Some settings you can have for us to help, like, oh, you have the monitors team, for example, this allows you to go to a more excellent practical line because you'll have more arms to help you, evaluate and everything else.
We had to do as TAs and other things I think, uh, we, it's not, uh, only before the lecture, but during the whole, uh, time that this, uh, this course was, uh, going on, we had to check the, uh, check the github. And, um, students had, since they had to make some contributions, uh, we had to make sure that their contributions, uh, could pass all the checks that we had. [...] So we had to check that they were doing what they were supposed to do before the lectures, during the lectures and after it. So that was our, uh, our role in this course.
What we've done in this case was to let the TA grade the projects, um, because then it was way more simple. And as the two props, we were, uh, grading the exams and were like cross validating.</v>
      </c>
      <c r="D71" s="15" t="str">
        <f>IFERROR(__xludf.DUMMYFUNCTION("""COMPUTED_VALUE"""),"If possible, have a team of monitors to assist in the assessment process.
Teacher assistants check if students contributions pass all the roles of the course.
Teacher assistants grade the projects and the professors grade the exams with cross validating"&amp;".")</f>
        <v>If possible, have a team of monitors to assist in the assessment process.
Teacher assistants check if students contributions pass all the roles of the course.
Teacher assistants grade the projects and the professors grade the exams with cross validating.</v>
      </c>
      <c r="E71" s="15" t="str">
        <f>IFERROR(__xludf.DUMMYFUNCTION("""COMPUTED_VALUE"""),"Teacher assistants help in the assessment process.")</f>
        <v>Teacher assistants help in the assessment process.</v>
      </c>
      <c r="F71" s="9" t="s">
        <v>265</v>
      </c>
      <c r="G71" s="9" t="s">
        <v>29</v>
      </c>
      <c r="H71" s="9"/>
    </row>
    <row r="72">
      <c r="A72" s="7">
        <v>110.0</v>
      </c>
      <c r="B72" s="8" t="s">
        <v>191</v>
      </c>
      <c r="C72" s="15" t="str">
        <f>IFERROR(__xludf.DUMMYFUNCTION("filter('Imported Recommendations'!B:D,'Imported Recommendations'!A:A=A72)"),"Because it is based on the assumption in all my disciplines that, right, knowledge is an open work, right? I'm not the holder of all knowledge [...] So they learn to curate what is relevant, necessary or not, is part of my teaching and learning processes."&amp;"
So, in my activities, I always try to put a decision-making Delta that belongs to the team, right? To the students and who will obviously assess their understanding in all the semester's discussions. So, all decisions are valid, obviously, right?")</f>
        <v>Because it is based on the assumption in all my disciplines that, right, knowledge is an open work, right? I'm not the holder of all knowledge [...] So they learn to curate what is relevant, necessary or not, is part of my teaching and learning processes.
So, in my activities, I always try to put a decision-making Delta that belongs to the team, right? To the students and who will obviously assess their understanding in all the semester's discussions. So, all decisions are valid, obviously, right?</v>
      </c>
      <c r="D72" s="15" t="str">
        <f>IFERROR(__xludf.DUMMYFUNCTION("""COMPUTED_VALUE"""),"Instigate students' critical thinking and encourage the self-taught search for extra-class information.
Promote and evaluate students' independent decision-making in the learning process.")</f>
        <v>Instigate students' critical thinking and encourage the self-taught search for extra-class information.
Promote and evaluate students' independent decision-making in the learning process.</v>
      </c>
      <c r="E72" s="15" t="str">
        <f>IFERROR(__xludf.DUMMYFUNCTION("""COMPUTED_VALUE"""),"Promote students' independent decision-making in the learning process.")</f>
        <v>Promote students' independent decision-making in the learning process.</v>
      </c>
      <c r="F72" s="9" t="s">
        <v>266</v>
      </c>
      <c r="G72" s="25" t="s">
        <v>267</v>
      </c>
      <c r="H72" s="9"/>
    </row>
    <row r="73">
      <c r="A73" s="7">
        <v>112.0</v>
      </c>
      <c r="B73" s="8" t="s">
        <v>191</v>
      </c>
      <c r="C73" s="15" t="str">
        <f>IFERROR(__xludf.DUMMYFUNCTION("filter('Imported Recommendations'!B:D,'Imported Recommendations'!A:A=A73)"),"PBL matches very well with, at least like this, how I see the DevOps signals or architecture, or MicroServices, which is another discipline I have; it's cool because you can start from the problem and show why people are using what are you using. So I thi"&amp;"nk it matches perfectly.
Bringing the concept applied, then use an approach like CDL, or PBL, that helps a lot because then you have a way to present the problem and then show the concept behind the resolution of that problem.
Most of the time to give a"&amp;" problem solving questions where I put a problem and say, okay, and push a student to critically think. ... , I put a problem and then we'll come up with the solutions for the problem. And I haven't been able to find a good way to do that with DevOps, in,"&amp;" uh, in terms of assessment.
We decided to go on a problem-based approach. So having like introductory lecture, giving the context, giving the leads to follow, then getting a problem based on, on, uh, like a long-term project for the whole semester.")</f>
        <v>PBL matches very well with, at least like this, how I see the DevOps signals or architecture, or MicroServices, which is another discipline I have; it's cool because you can start from the problem and show why people are using what are you using. So I think it matches perfectly.
Bringing the concept applied, then use an approach like CDL, or PBL, that helps a lot because then you have a way to present the problem and then show the concept behind the resolution of that problem.
Most of the time to give a problem solving questions where I put a problem and say, okay, and push a student to critically think. ... , I put a problem and then we'll come up with the solutions for the problem. And I haven't been able to find a good way to do that with DevOps, in, uh, in terms of assessment.
We decided to go on a problem-based approach. So having like introductory lecture, giving the context, giving the leads to follow, then getting a problem based on, on, uh, like a long-term project for the whole semester.</v>
      </c>
      <c r="D73" s="15" t="str">
        <f>IFERROR(__xludf.DUMMYFUNCTION("""COMPUTED_VALUE"""),"Make use of Problem-Based Learning (PBL).
Problem-Based Learning (PBL) is great for teaching DevOps.
Use problem solving questions in DevOps assessment. It pushs student to critically think.
Use problem-based approach on the projects of the students.")</f>
        <v>Make use of Problem-Based Learning (PBL).
Problem-Based Learning (PBL) is great for teaching DevOps.
Use problem solving questions in DevOps assessment. It pushs student to critically think.
Use problem-based approach on the projects of the students.</v>
      </c>
      <c r="E73" s="15" t="str">
        <f>IFERROR(__xludf.DUMMYFUNCTION("""COMPUTED_VALUE"""),"Problem-Based Learning (PBL) is great for teaching DevOps.")</f>
        <v>Problem-Based Learning (PBL) is great for teaching DevOps.</v>
      </c>
      <c r="F73" s="9" t="s">
        <v>268</v>
      </c>
      <c r="G73" s="9" t="s">
        <v>199</v>
      </c>
      <c r="H73" s="9"/>
    </row>
    <row r="74">
      <c r="A74" s="7">
        <v>113.0</v>
      </c>
      <c r="B74" s="8" t="s">
        <v>191</v>
      </c>
      <c r="C74" s="15" t="str">
        <f>IFERROR(__xludf.DUMMYFUNCTION("filter('Imported Recommendations'!B:D,'Imported Recommendations'!A:A=A74)"),"Today, I don't use it; I use not only PBL; there is an inverted classroom, right? I think this translation is into Portuguese; I work with missions, right? So, the execution itself is Agile; we always have a post-mortem for each task. My methodology today"&amp;", at work, is a combination of a series of different good practices that come from my professional experience and part of what I learned, seeing that it worked and didn't work while teaching.")</f>
        <v>Today, I don't use it; I use not only PBL; there is an inverted classroom, right? I think this translation is into Portuguese; I work with missions, right? So, the execution itself is Agile; we always have a post-mortem for each task. My methodology today, at work, is a combination of a series of different good practices that come from my professional experience and part of what I learned, seeing that it worked and didn't work while teaching.</v>
      </c>
      <c r="D74" s="15" t="str">
        <f>IFERROR(__xludf.DUMMYFUNCTION("""COMPUTED_VALUE"""),"Merge good practices of Problem-Based Learning (PBL), inverted class and Agile, through classroom experimentation.")</f>
        <v>Merge good practices of Problem-Based Learning (PBL), inverted class and Agile, through classroom experimentation.</v>
      </c>
      <c r="E74" s="15"/>
      <c r="F74" s="9" t="s">
        <v>269</v>
      </c>
      <c r="G74" s="9" t="s">
        <v>199</v>
      </c>
      <c r="H74" s="9"/>
    </row>
    <row r="75">
      <c r="A75" s="46">
        <v>114.0</v>
      </c>
      <c r="B75" s="47" t="s">
        <v>191</v>
      </c>
      <c r="C75" s="15" t="str">
        <f>IFERROR(__xludf.DUMMYFUNCTION("filter('Imported Recommendations'!B:D,'Imported Recommendations'!A:A=A75)"),"I break them up into nine teams of five students each.
For this course, I haven't done as much in terms of team projects, although I'm rolling that around to every, because everybody loves team projects.
 There was something like 17 groups.
I put them "&amp;"by a team of four, six per group, and then we work together and, and that's good also because it may be working in a team.")</f>
        <v>I break them up into nine teams of five students each.
For this course, I haven't done as much in terms of team projects, although I'm rolling that around to every, because everybody loves team projects.
 There was something like 17 groups.
I put them by a team of four, six per group, and then we work together and, and that's good also because it may be working in a team.</v>
      </c>
      <c r="D75" s="48" t="str">
        <f>IFERROR(__xludf.DUMMYFUNCTION("""COMPUTED_VALUE"""),"Organize the students into teams of five.
Students like to work on team projects.
Students organized by groups.
Put students to work by a team of four to six per group.")</f>
        <v>Organize the students into teams of five.
Students like to work on team projects.
Students organized by groups.
Put students to work by a team of four to six per group.</v>
      </c>
      <c r="E75" s="48" t="str">
        <f>IFERROR(__xludf.DUMMYFUNCTION("""COMPUTED_VALUE"""),"Organize the students into teams.")</f>
        <v>Organize the students into teams.</v>
      </c>
      <c r="F75" s="9" t="s">
        <v>270</v>
      </c>
      <c r="G75" s="9" t="s">
        <v>73</v>
      </c>
      <c r="H75" s="25"/>
    </row>
    <row r="76">
      <c r="A76" s="46">
        <v>115.0</v>
      </c>
      <c r="B76" s="47" t="s">
        <v>191</v>
      </c>
      <c r="C76" s="15" t="str">
        <f>IFERROR(__xludf.DUMMYFUNCTION("filter('Imported Recommendations'!B:D,'Imported Recommendations'!A:A=A76)"),"And then I tell them, I am not going to grade you on what you submit. I'm going to grade you on how you got there because getting there is not the point. It's the journey, right? That's the point. It's how you got there. And so, um, I teach my class in sp"&amp;"rints. We do five, two weeks sprints in a 15-week course. And I give them the requirements for each sprint, what I need them to build. And I teach them how to do agile planning. And then they go build an agile plan.
So I try to force them into these situ"&amp;"ations that really drive home the message of how to work as a DevOps team, how to work agile, but you've got to live it.
So we do things in sort of an iterative and incremental model where every week or every sprint, if you will build on the previous one"&amp;".")</f>
        <v>And then I tell them, I am not going to grade you on what you submit. I'm going to grade you on how you got there because getting there is not the point. It's the journey, right? That's the point. It's how you got there. And so, um, I teach my class in sprints. We do five, two weeks sprints in a 15-week course. And I give them the requirements for each sprint, what I need them to build. And I teach them how to do agile planning. And then they go build an agile plan.
So I try to force them into these situations that really drive home the message of how to work as a DevOps team, how to work agile, but you've got to live it.
So we do things in sort of an iterative and incremental model where every week or every sprint, if you will build on the previous one.</v>
      </c>
      <c r="D76" s="48" t="str">
        <f>IFERROR(__xludf.DUMMYFUNCTION("""COMPUTED_VALUE"""),"I teach my class in sprints. We do five, two weeks sprints in a 15-week course. I give them the requirements for each sprint, what I need them to build and I teach them how to do agile planning. Then they go build an agile plan.
Make students experiment "&amp;"situations where they can learn how to work as a DevOps team, how to work agile.
Use an incremental models with sprints.")</f>
        <v>I teach my class in sprints. We do five, two weeks sprints in a 15-week course. I give them the requirements for each sprint, what I need them to build and I teach them how to do agile planning. Then they go build an agile plan.
Make students experiment situations where they can learn how to work as a DevOps team, how to work agile.
Use an incremental models with sprints.</v>
      </c>
      <c r="E76" s="48" t="str">
        <f>IFERROR(__xludf.DUMMYFUNCTION("""COMPUTED_VALUE"""),"Do agile planning with sprints.")</f>
        <v>Do agile planning with sprints.</v>
      </c>
      <c r="F76" s="9" t="s">
        <v>271</v>
      </c>
      <c r="G76" s="9" t="s">
        <v>73</v>
      </c>
      <c r="H76" s="9"/>
    </row>
    <row r="77">
      <c r="A77" s="46">
        <v>117.0</v>
      </c>
      <c r="B77" s="47" t="s">
        <v>191</v>
      </c>
      <c r="C77" s="15" t="str">
        <f>IFERROR(__xludf.DUMMYFUNCTION("filter('Imported Recommendations'!B:D,'Imported Recommendations'!A:A=A77)"),"I teach them how to work as a DevOps team. And we create a slack channel. , and I create a channel for each one of the teams. And they're all collaborating in their channel. They have 24/7 access to me. They can ping me at any time on slack.
You have a q"&amp;"uestion, ask me the question in the moment, right? Because that's when the answer is important to you.
Whenever they have a problem they can come to me. And I tell them, don't spend too much time Googling stuff. If you don't understand something, ask me "&amp;"if, if you don't understand what I presented, then I didn't present it in a way that you could connect with it. [...] Everybody learns differently.
I'm always asking you the last factor. I'm always taking almost an hour to, as a student. Just give me you"&amp;"r feedback. Like, like very openly, right? That's you should all give me a feedback again.
Each week we had, uh, four hours of, uh, lectures and answering questions from students and, and, uh, making, making some points about the course more clear.")</f>
        <v>I teach them how to work as a DevOps team. And we create a slack channel. , and I create a channel for each one of the teams. And they're all collaborating in their channel. They have 24/7 access to me. They can ping me at any time on slack.
You have a question, ask me the question in the moment, right? Because that's when the answer is important to you.
Whenever they have a problem they can come to me. And I tell them, don't spend too much time Googling stuff. If you don't understand something, ask me if, if you don't understand what I presented, then I didn't present it in a way that you could connect with it. [...] Everybody learns differently.
I'm always asking you the last factor. I'm always taking almost an hour to, as a student. Just give me your feedback. Like, like very openly, right? That's you should all give me a feedback again.
Each week we had, uh, four hours of, uh, lectures and answering questions from students and, and, uh, making, making some points about the course more clear.</v>
      </c>
      <c r="D77" s="48" t="str">
        <f>IFERROR(__xludf.DUMMYFUNCTION("""COMPUTED_VALUE"""),"I teach them how to work as a DevOps team. And they're all collaborating in their channel. They have 24/7 access to me. They can ping me at any time on slack.
The student's question should be answered in the moment.
Incentive professor-students interact"&amp;"ion, easing fast solving questions.
Take time to hear student's feedbacks very openly and give them your feedback too.
Separate time to answer students questions, each week, four hours, lectures and answering questions, making some points about the cour"&amp;"se more clear.")</f>
        <v>I teach them how to work as a DevOps team. And they're all collaborating in their channel. They have 24/7 access to me. They can ping me at any time on slack.
The student's question should be answered in the moment.
Incentive professor-students interaction, easing fast solving questions.
Take time to hear student's feedbacks very openly and give them your feedback too.
Separate time to answer students questions, each week, four hours, lectures and answering questions, making some points about the course more clear.</v>
      </c>
      <c r="E77" s="48" t="str">
        <f>IFERROR(__xludf.DUMMYFUNCTION("""COMPUTED_VALUE"""),"Provide fast feedback to the students.")</f>
        <v>Provide fast feedback to the students.</v>
      </c>
      <c r="F77" s="9" t="s">
        <v>272</v>
      </c>
      <c r="G77" s="9" t="s">
        <v>73</v>
      </c>
      <c r="H77" s="9"/>
    </row>
    <row r="78">
      <c r="A78" s="46">
        <v>118.0</v>
      </c>
      <c r="B78" s="47" t="s">
        <v>191</v>
      </c>
      <c r="C78" s="15" t="str">
        <f>IFERROR(__xludf.DUMMYFUNCTION("filter('Imported Recommendations'!B:D,'Imported Recommendations'!A:A=A78)"),"I like to make them feel a little bit of pain before I give them the solution. So I will have them to run their test cases.
The thing I've done to try to avoid a little bit of the mess is I want to go gradual. I want to be gradual in the class. So first "&amp;"I teach compilation and testing. Then I teach continuous integration. team A is going to build one piece team B is going to build another piece that depends upon what team is built.")</f>
        <v>I like to make them feel a little bit of pain before I give them the solution. So I will have them to run their test cases.
The thing I've done to try to avoid a little bit of the mess is I want to go gradual. I want to be gradual in the class. So first I teach compilation and testing. Then I teach continuous integration. team A is going to build one piece team B is going to build another piece that depends upon what team is built.</v>
      </c>
      <c r="D78" s="48" t="str">
        <f>IFERROR(__xludf.DUMMYFUNCTION("""COMPUTED_VALUE"""),"Don't give the solution right away, let them reach it first for themselves.
Teach DevOps giving the content gradually, like first teach compilation and testing, then continuous integration; do not give everything right away so easily.")</f>
        <v>Don't give the solution right away, let them reach it first for themselves.
Teach DevOps giving the content gradually, like first teach compilation and testing, then continuous integration; do not give everything right away so easily.</v>
      </c>
      <c r="E78" s="48" t="str">
        <f>IFERROR(__xludf.DUMMYFUNCTION("""COMPUTED_VALUE"""),"Don't give the solution right away.")</f>
        <v>Don't give the solution right away.</v>
      </c>
      <c r="F78" s="9" t="s">
        <v>273</v>
      </c>
      <c r="G78" s="9" t="s">
        <v>73</v>
      </c>
      <c r="H78" s="25"/>
    </row>
    <row r="79">
      <c r="A79" s="46">
        <v>120.0</v>
      </c>
      <c r="B79" s="47" t="s">
        <v>191</v>
      </c>
      <c r="C79" s="15" t="str">
        <f>IFERROR(__xludf.DUMMYFUNCTION("filter('Imported Recommendations'!B:D,'Imported Recommendations'!A:A=A79)"),"So sometimes a student will say to me: ""professor, what do I do if another student is like not pulling their weight on the team?"", And I say: ""when you go to a job interview, you're going to be asked the question, tell me about a time when a member of "&amp;"your team wasn't pulling their weight. And what did you do to get them excited and to contribute again, today's the day to go write that story. Today's the data to write the answer to that question"".
You need to sit together and experience because if yo"&amp;"u can't work as a team, you're not gonna make it right out in industry because we want team players. I don't want heroes. I don't want people who saved the day. I want people who mentor each other.")</f>
        <v>So sometimes a student will say to me: "professor, what do I do if another student is like not pulling their weight on the team?", And I say: "when you go to a job interview, you're going to be asked the question, tell me about a time when a member of your team wasn't pulling their weight. And what did you do to get them excited and to contribute again, today's the day to go write that story. Today's the data to write the answer to that question".
You need to sit together and experience because if you can't work as a team, you're not gonna make it right out in industry because we want team players. I don't want heroes. I don't want people who saved the day. I want people who mentor each other.</v>
      </c>
      <c r="D79" s="48" t="str">
        <f>IFERROR(__xludf.DUMMYFUNCTION("""COMPUTED_VALUE"""),"Make the group motivation a responsibility of themselves, students should motivate each other.
Teaching how to students mentor each other is one of the most important things and must be a priority.")</f>
        <v>Make the group motivation a responsibility of themselves, students should motivate each other.
Teaching how to students mentor each other is one of the most important things and must be a priority.</v>
      </c>
      <c r="E79" s="48" t="str">
        <f>IFERROR(__xludf.DUMMYFUNCTION("""COMPUTED_VALUE"""),"Make the group motivation a responsibility of themselves.")</f>
        <v>Make the group motivation a responsibility of themselves.</v>
      </c>
      <c r="F79" s="9" t="s">
        <v>274</v>
      </c>
      <c r="G79" s="9" t="s">
        <v>73</v>
      </c>
      <c r="H79" s="9"/>
    </row>
    <row r="80">
      <c r="A80" s="46">
        <v>121.0</v>
      </c>
      <c r="B80" s="47" t="s">
        <v>191</v>
      </c>
      <c r="C80" s="15" t="str">
        <f>IFERROR(__xludf.DUMMYFUNCTION("filter('Imported Recommendations'!B:D,'Imported Recommendations'!A:A=A80)"),"Do they understand what the cloud is? It'd be great if there was a cloud course before mine, but there isn't.
It's an option that we give them the year before too preparing them.")</f>
        <v>Do they understand what the cloud is? It'd be great if there was a cloud course before mine, but there isn't.
It's an option that we give them the year before too preparing them.</v>
      </c>
      <c r="D80" s="48" t="str">
        <f>IFERROR(__xludf.DUMMYFUNCTION("""COMPUTED_VALUE"""),"It'd be great if there was a Cloud course before DevOps course.
Prepare students with previous courses.")</f>
        <v>It'd be great if there was a Cloud course before DevOps course.
Prepare students with previous courses.</v>
      </c>
      <c r="E80" s="48" t="str">
        <f>IFERROR(__xludf.DUMMYFUNCTION("""COMPUTED_VALUE"""),"Prepare students with previous courses that teach related DevOps concepts.")</f>
        <v>Prepare students with previous courses that teach related DevOps concepts.</v>
      </c>
      <c r="F80" s="9" t="s">
        <v>275</v>
      </c>
      <c r="G80" s="9" t="s">
        <v>10</v>
      </c>
      <c r="H80" s="9"/>
    </row>
    <row r="81">
      <c r="A81" s="46">
        <v>123.0</v>
      </c>
      <c r="B81" s="47" t="s">
        <v>191</v>
      </c>
      <c r="C81" s="15" t="str">
        <f>IFERROR(__xludf.DUMMYFUNCTION("filter('Imported Recommendations'!B:D,'Imported Recommendations'!A:A=A81)"),"We use Vagrant and VirtualBox. And so I don't care if you using windows or using Mac or whatever you're using.
I selected Vagrant and virtualbox because they're both free. ... so I had to change the class for them to use Docker and VirtualBox. 
They cal"&amp;"l my repo, Vagrant up and they're up and running. And so that's how I solve that problem. Bigger. It does a very good job of solving that consistent environments for students.")</f>
        <v>We use Vagrant and VirtualBox. And so I don't care if you using windows or using Mac or whatever you're using.
I selected Vagrant and virtualbox because they're both free. ... so I had to change the class for them to use Docker and VirtualBox. 
They call my repo, Vagrant up and they're up and running. And so that's how I solve that problem. Bigger. It does a very good job of solving that consistent environments for students.</v>
      </c>
      <c r="D81" s="49" t="str">
        <f>IFERROR(__xludf.DUMMYFUNCTION("""COMPUTED_VALUE"""),"Vagrant and VirtualBox are useful to create consistent development environment.
I selected Vagrant and virtualbox because they're free.
Make environment setup consistent between students using Vagrant.")</f>
        <v>Vagrant and VirtualBox are useful to create consistent development environment.
I selected Vagrant and virtualbox because they're free.
Make environment setup consistent between students using Vagrant.</v>
      </c>
      <c r="E81" s="50" t="str">
        <f>IFERROR(__xludf.DUMMYFUNCTION("""COMPUTED_VALUE"""),"Vagrant and VirtualBox tools are free and useful to create consistent development environment between students.")</f>
        <v>Vagrant and VirtualBox tools are free and useful to create consistent development environment between students.</v>
      </c>
      <c r="F81" s="9" t="s">
        <v>276</v>
      </c>
      <c r="G81" s="9" t="s">
        <v>18</v>
      </c>
      <c r="H81" s="9"/>
    </row>
    <row r="82">
      <c r="A82" s="46">
        <v>124.0</v>
      </c>
      <c r="B82" s="47" t="s">
        <v>191</v>
      </c>
      <c r="C82" s="15" t="str">
        <f>IFERROR(__xludf.DUMMYFUNCTION("filter('Imported Recommendations'!B:D,'Imported Recommendations'!A:A=A82)"),"I selected Vagrant and virtualbox because they're both free. ... so I had to change the class for them to use Docker and VirtualBox.
We build Docker images.
Let's go for something that we have more control on, uh, using for tools like Jenkins and and a "&amp;"stuff like Docker or Kubernetes was kind of good in a way to, uh, support the deployment and the, uh, like the building plus deployment stuff.
I want to be able to deploy it with containers. So it can be, um, through Kubernetes, it can be through Docker.")</f>
        <v>I selected Vagrant and virtualbox because they're both free. ... so I had to change the class for them to use Docker and VirtualBox.
We build Docker images.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v>
      </c>
      <c r="D82" s="48" t="str">
        <f>IFERROR(__xludf.DUMMYFUNCTION("""COMPUTED_VALUE"""),"I selected docker docker because it is free.
Docker can be chosen as DevOps tool.
Use tools like Docker to have more control on support the deployment.
Use Docker as container deployment tool adopted by the course.")</f>
        <v>I selected docker docker because it is free.
Docker can be chosen as DevOps tool.
Use tools like Docker to have more control on support the deployment.
Use Docker as container deployment tool adopted by the course.</v>
      </c>
      <c r="E82" s="51" t="str">
        <f>IFERROR(__xludf.DUMMYFUNCTION("""COMPUTED_VALUE"""),"Docker can be chosen as DevOps tool.")</f>
        <v>Docker can be chosen as DevOps tool.</v>
      </c>
      <c r="F82" s="9" t="s">
        <v>277</v>
      </c>
      <c r="G82" s="9" t="s">
        <v>18</v>
      </c>
      <c r="H82" s="9"/>
    </row>
    <row r="83">
      <c r="A83" s="46">
        <v>126.0</v>
      </c>
      <c r="B83" s="47" t="s">
        <v>191</v>
      </c>
      <c r="C83" s="15" t="str">
        <f>IFERROR(__xludf.DUMMYFUNCTION("filter('Imported Recommendations'!B:D,'Imported Recommendations'!A:A=A83)"),"Students will ask me, can I use a different test suite? Can I use, you know, something different? And I'll say, well, you can, but then it's up to you to figure out how it integrates back into everything.
 So it's rather simple that we, we let them, of c"&amp;"ourse use the programming language. They want to develop the application. So, you know, the department, I think traditional were quite open with respect to that in the department. Yes. Java is still used, but students, these days, don't like Java. Um, the"&amp;"y prefer Python. They prefer different things. So for us, we don't care, right? The application we give them when we gave them the HVAC application, we give them, uh, I think they have, I should even look myself, but I think we, we created two versions, o"&amp;"ne, it says Java version.
So we support them to the Travis CI. We support them with a certain number of things, but if they want to choose something else, it's okay. I mean, but you know, they have to understand that we won't necessarily support them.
W"&amp;"e asked them to choose a tool, uh, on internet and new tool, and then use that tool and show other students how that works. So, uh, we didn't have some predefined, uh, projects.
Just find whatever they want to find and work on whatever they want to work "&amp;"on and let them be free since that was our goal in this course, uh, we let them choose, um, novel technologies, the technologies and the tools that are being used, uh, today and the tools that are being developed today. 
We decided to let the student cho"&amp;"ose and said, okay, you have your option and do what you want, but you're responsible of doing it.
It was a graduate course, I started not to, uh, enforce given tools ... I want you to have a version control system that should be git, but git up, gitlab "&amp;"Bitbucket, Bitbucket on premises. ...  you can justify and defend each step of what's happening to your code in the context of devops.")</f>
        <v>Students will ask me, can I use a different test suite? Can I use, you know, something different? And I'll say, well, you can, but then it's up to you to figure out how it integrates back into everything.
 So it's rather simple that we, we let them, of course use the programming language. They want to develop the application. So, you know, the department, I think traditional were quite open with respect to that in the department. Yes. Java is still used, but students, these days, don't like Java. Um, they prefer Python. They prefer different things. So for us, we don't care, right? The application we give them when we gave them the HVAC application, we give them, uh, I think they have, I should even look myself, but I think we, we created two versions, one, it says Java version.
So we support them to the Travis CI. We support them with a certain number of things, but if they want to choose something else, it's okay. I mean, but you know, they have to understand that we won't necessarily support them.
We asked them to choose a tool, uh, on internet and new tool, and then use that tool and show other students how that works. So, uh, we didn't have some predefined, uh, projects.
Just find whatever they want to find and work on whatever they want to work on and let them be free since that was our goal in this course, uh, we let them choose, um, novel technologies, the technologies and the tools that are being used, uh, today and the tools that are being developed today. 
We decided to let the student choose and said, okay, you have your option and do what you want, but you're responsible of doing it.
It was a graduate course, I started not to, uh, enforce given tools ... I want you to have a version control system that should be git, but git up, gitlab Bitbucket, Bitbucket on premises. ...  you can justify and defend each step of what's happening to your code in the context of devops.</v>
      </c>
      <c r="D83" s="49" t="str">
        <f>IFERROR(__xludf.DUMMYFUNCTION("""COMPUTED_VALUE"""),"Students could use other tools non-taught without professor support.
Do not force students to use a single language like Java.
Give students the freedom to choose other tools they want, but make it clear that these tools will not be supported by teacher"&amp;"s during the class
The students choose the tools and the projects freely on internet.
Let the students be free about the used tools and technologies.
Give the responsibility to the student to chose the system and also the responsibility of what they ar"&amp;"e doing.
Do not enforce given tools on a graduate course. The students should justify and defend each step of what's happening to their code in the context of devops.")</f>
        <v>Students could use other tools non-taught without professor support.
Do not force students to use a single language like Java.
Give students the freedom to choose other tools they want, but make it clear that these tools will not be supported by teachers during the class
The students choose the tools and the projects freely on internet.
Let the students be free about the used tools and technologies.
Give the responsibility to the student to chose the system and also the responsibility of what they are doing.
Do not enforce given tools on a graduate course. The students should justify and defend each step of what's happening to their code in the context of devops.</v>
      </c>
      <c r="E83" s="49" t="str">
        <f>IFERROR(__xludf.DUMMYFUNCTION("""COMPUTED_VALUE"""),"Do not force the technology stack used by students in their systems.")</f>
        <v>Do not force the technology stack used by students in their systems.</v>
      </c>
      <c r="F83" s="9" t="s">
        <v>278</v>
      </c>
      <c r="G83" s="9" t="s">
        <v>18</v>
      </c>
      <c r="H83" s="9"/>
    </row>
    <row r="84">
      <c r="A84" s="46">
        <v>127.0</v>
      </c>
      <c r="B84" s="47" t="s">
        <v>191</v>
      </c>
      <c r="C84" s="15" t="str">
        <f>IFERROR(__xludf.DUMMYFUNCTION("filter('Imported Recommendations'!B:D,'Imported Recommendations'!A:A=A84)"),"   People use an Argo CD to do continuous delivery. They used to be using Jenkins. So do you still teach Jenkins? Do you teach them Argo? Um, so it's a constant, um, improvement on the tools are what tools are popular, what tools are going to get them a j"&amp;"ob in the industry, right? ")</f>
        <v>   People use an Argo CD to do continuous delivery. They used to be using Jenkins. So do you still teach Jenkins? Do you teach them Argo? Um, so it's a constant, um, improvement on the tools are what tools are popular, what tools are going to get them a job in the industry, right? </v>
      </c>
      <c r="D84" s="48" t="str">
        <f>IFERROR(__xludf.DUMMYFUNCTION("""COMPUTED_VALUE"""),"Argo CD is a more current continuous delivery tool than Jenkins.")</f>
        <v>Argo CD is a more current continuous delivery tool than Jenkins.</v>
      </c>
      <c r="E84" s="48"/>
      <c r="F84" s="9" t="s">
        <v>279</v>
      </c>
      <c r="G84" s="9" t="s">
        <v>18</v>
      </c>
      <c r="H84" s="9"/>
    </row>
    <row r="85">
      <c r="A85" s="46">
        <v>129.0</v>
      </c>
      <c r="B85" s="47" t="s">
        <v>191</v>
      </c>
      <c r="C85" s="15" t="str">
        <f>IFERROR(__xludf.DUMMYFUNCTION("filter('Imported Recommendations'!B:D,'Imported Recommendations'!A:A=A85)"),"I actually last semester I prepared something on Sunday. And when I got Wednesday, when we had the class and I went to the cloud, the cloud had changed. [...] we're pushing to the IBM cloud the other night and it said there's an, there's a new update avai"&amp;"lable for the tool. Uh, you know, version two, it may have breaking changes. And I said, timeout, nobody press, yes, everybody press no, because that's not the version I used on the weekend.
I'm usually maybe a couple of weeks out verifying something for"&amp;" an upcoming, an upcoming session.
The second recommendation is update your exercises often. ... you can get everything set up.
So you have to have your stack ready, but you have to update it with the current version of the software that you intend the "&amp;"students to use fairly close to the beginning of the session, if you don't want to be surprised.")</f>
        <v>I actually last semester I prepared something on Sunday. And when I got Wednesday, when we had the class and I went to the cloud, the cloud had changed. [...] we're pushing to the IBM cloud the other night and it said there's an, there's a new update available for the tool. Uh, you know, version two, it may have breaking changes. And I said, timeout, nobody press, yes, everybody press no, because that's not the version I used on the weekend.
I'm usually maybe a couple of weeks out verifying something for an upcoming, an upcoming session.
The second recommendation is update your exercises often. ... you can get everything set up.
So you have to have your stack ready, but you have to update it with the current version of the software that you intend the students to use fairly close to the beginning of the session, if you don't want to be surprised.</v>
      </c>
      <c r="D85" s="48" t="str">
        <f>IFERROR(__xludf.DUMMYFUNCTION("""COMPUTED_VALUE"""),"Check if the the labs work well always before start the class.
Verify if labs exercises are working before classes.
Update your exercises often to get everything set up.
Update your exercises frequently.")</f>
        <v>Check if the the labs work well always before start the class.
Verify if labs exercises are working before classes.
Update your exercises often to get everything set up.
Update your exercises frequently.</v>
      </c>
      <c r="E85" s="48"/>
      <c r="F85" s="9" t="s">
        <v>280</v>
      </c>
      <c r="G85" s="9" t="s">
        <v>24</v>
      </c>
      <c r="H85" s="9"/>
    </row>
    <row r="86">
      <c r="A86" s="46">
        <v>130.0</v>
      </c>
      <c r="B86" s="47" t="s">
        <v>191</v>
      </c>
      <c r="C86" s="15" t="str">
        <f>IFERROR(__xludf.DUMMYFUNCTION("filter('Imported Recommendations'!B:D,'Imported Recommendations'!A:A=A86)"),"So without having, uh, physically having a technical assistance in the class and I do have TA's on with my zoom and they do help students over slack, uh, to get things going.
We had a long Google doc that the students during the lectures and after the le"&amp;"ctures, students could add their questions there. And then we, the TAs could answer the questions, uh, in the doc. ")</f>
        <v>So without having, uh, physically having a technical assistance in the class and I do have TA's on with my zoom and they do help students over slack, uh, to get things going.
We had a long Google doc that the students during the lectures and after the lectures, students could add their questions there. And then we, the TAs could answer the questions, uh, in the doc. </v>
      </c>
      <c r="D86" s="48" t="str">
        <f>IFERROR(__xludf.DUMMYFUNCTION("""COMPUTED_VALUE"""),"Teacher assistence help students over slack managing questions.
Use Google Docs during the lectures so students could add their questions. Teacher Assistants could answer the questions in the doc.")</f>
        <v>Teacher assistence help students over slack managing questions.
Use Google Docs during the lectures so students could add their questions. Teacher Assistants could answer the questions in the doc.</v>
      </c>
      <c r="E86" s="48" t="str">
        <f>IFERROR(__xludf.DUMMYFUNCTION("""COMPUTED_VALUE"""),"Teacher assistence help students over managing questions.")</f>
        <v>Teacher assistence help students over managing questions.</v>
      </c>
      <c r="F86" s="9" t="s">
        <v>281</v>
      </c>
      <c r="G86" s="9" t="s">
        <v>73</v>
      </c>
      <c r="H86" s="9"/>
    </row>
    <row r="87">
      <c r="A87" s="46">
        <v>132.0</v>
      </c>
      <c r="B87" s="47" t="s">
        <v>191</v>
      </c>
      <c r="C87" s="15" t="str">
        <f>IFERROR(__xludf.DUMMYFUNCTION("filter('Imported Recommendations'!B:D,'Imported Recommendations'!A:A=A87)"),"I try to get the student more engaged.... If they're not having fun, then we're, we're doing it wrong. So, so I'm making sure they're having fun.")</f>
        <v>I try to get the student more engaged.... If they're not having fun, then we're, we're doing it wrong. So, so I'm making sure they're having fun.</v>
      </c>
      <c r="D87" s="48" t="str">
        <f>IFERROR(__xludf.DUMMYFUNCTION("""COMPUTED_VALUE"""),"Try to get the student having fun in order to keep them engaged.")</f>
        <v>Try to get the student having fun in order to keep them engaged.</v>
      </c>
      <c r="E87" s="48"/>
      <c r="F87" s="9" t="s">
        <v>282</v>
      </c>
      <c r="G87" s="9" t="s">
        <v>73</v>
      </c>
      <c r="H87" s="9"/>
    </row>
    <row r="88">
      <c r="A88" s="46">
        <v>133.0</v>
      </c>
      <c r="B88" s="47" t="s">
        <v>191</v>
      </c>
      <c r="C88" s="15" t="str">
        <f>IFERROR(__xludf.DUMMYFUNCTION("filter('Imported Recommendations'!B:D,'Imported Recommendations'!A:A=A88)"),"In that assessment, you know, that they're, um, there are 50 multiple choice questions in each exam, no partial credit. Um, and, and so, and I give, and it's an hour, uh, you know, to go do that exam. ...  we're remote now.
The book I have quiz, uh, agai"&amp;"n, it could be translated and adjusted, but that's the way to, to test in the exams. ...  one part is exactly quiz questions. So they have multiple choices.
If I was asking you the question and say, give me the three benefits of this thought of this, uh,"&amp;" concept, then it's memorization. But if I give them five, if I give you five choices and they could be between zero and five, that are true statements with respect to this concept, it's not about memorization. It's about understanding.
If the exam is in"&amp;" presence, then I don't care that much if, if they do the control that before, because ultimately they have to understand, I think that these quizzes to me have a specific objective.")</f>
        <v>In that assessment, you know, that they're, um, there are 50 multiple choice questions in each exam, no partial credit. Um, and, and so, and I give, and it's an hour, uh, you know, to go do that exam. ...  we're remote now.
The book I have quiz, uh, again, it could be translated and adjusted, but that's the way to, to test in the exams. ...  one part is exactly quiz questions. So they have multiple choices.
If I was asking you the question and say, give me the three benefits of this thought of this, uh, concept, then it's memorization. But if I give them five, if I give you five choices and they could be between zero and five, that are true statements with respect to this concept, it's not about memorization. It's about understanding.
If the exam is in presence, then I don't care that much if, if they do the control that before, because ultimately they have to understand, I think that these quizzes to me have a specific objective.</v>
      </c>
      <c r="D88" s="48" t="str">
        <f>IFERROR(__xludf.DUMMYFUNCTION("""COMPUTED_VALUE"""),"50 multiple choice questions in one hour each exam if you are remote.
Use quiz in the book to test in the exams with multiple choices.
Multiple-choice format questions about DevOps concepts favor the understanding instead of memorization of the students"&amp;".
Quizzes forces students to understand the concepts.")</f>
        <v>50 multiple choice questions in one hour each exam if you are remote.
Use quiz in the book to test in the exams with multiple choices.
Multiple-choice format questions about DevOps concepts favor the understanding instead of memorization of the students.
Quizzes forces students to understand the concepts.</v>
      </c>
      <c r="E88" s="48" t="str">
        <f>IFERROR(__xludf.DUMMYFUNCTION("""COMPUTED_VALUE"""),"Use quiz with multiple choices to assess the students.")</f>
        <v>Use quiz with multiple choices to assess the students.</v>
      </c>
      <c r="F88" s="9" t="s">
        <v>283</v>
      </c>
      <c r="G88" s="9" t="s">
        <v>29</v>
      </c>
      <c r="H88" s="9"/>
    </row>
    <row r="89">
      <c r="A89" s="46">
        <v>136.0</v>
      </c>
      <c r="B89" s="47" t="s">
        <v>191</v>
      </c>
      <c r="C89" s="15" t="str">
        <f>IFERROR(__xludf.DUMMYFUNCTION("filter('Imported Recommendations'!B:D,'Imported Recommendations'!A:A=A89)"),"we had cloud computing, where can easily stand up virtual machines for people and things like that.")</f>
        <v>we had cloud computing, where can easily stand up virtual machines for people and things like that.</v>
      </c>
      <c r="D89" s="48" t="str">
        <f>IFERROR(__xludf.DUMMYFUNCTION("""COMPUTED_VALUE"""),"Cloud computing make easier to stand up virtual machines.")</f>
        <v>Cloud computing make easier to stand up virtual machines.</v>
      </c>
      <c r="E89" s="48"/>
      <c r="F89" s="9" t="s">
        <v>284</v>
      </c>
      <c r="G89" s="9" t="s">
        <v>12</v>
      </c>
      <c r="H89" s="9"/>
    </row>
    <row r="90">
      <c r="A90" s="46">
        <v>138.0</v>
      </c>
      <c r="B90" s="47" t="s">
        <v>191</v>
      </c>
      <c r="C90" s="15" t="str">
        <f>IFERROR(__xludf.DUMMYFUNCTION("filter('Imported Recommendations'!B:D,'Imported Recommendations'!A:A=A90)"),"I'm starting to do is to just build out images, for example, that contain everything that I want them to have. Uh, and that way I can tell them to spin up a virtual machine. ")</f>
        <v>I'm starting to do is to just build out images, for example, that contain everything that I want them to have. Uh, and that way I can tell them to spin up a virtual machine. </v>
      </c>
      <c r="D90" s="48" t="str">
        <f>IFERROR(__xludf.DUMMYFUNCTION("""COMPUTED_VALUE"""),"Use imagens that contain everything that the teacher wants to teach to clone virtual machines.")</f>
        <v>Use imagens that contain everything that the teacher wants to teach to clone virtual machines.</v>
      </c>
      <c r="E90" s="48"/>
      <c r="F90" s="9" t="s">
        <v>285</v>
      </c>
      <c r="G90" s="9" t="s">
        <v>12</v>
      </c>
      <c r="H90" s="9"/>
    </row>
    <row r="91">
      <c r="A91" s="46">
        <v>139.0</v>
      </c>
      <c r="B91" s="47" t="s">
        <v>191</v>
      </c>
      <c r="C91" s="15" t="str">
        <f>IFERROR(__xludf.DUMMYFUNCTION("filter('Imported Recommendations'!B:D,'Imported Recommendations'!A:A=A91)"),"I use GitHub and they have options for professors, you know, for academic use, where you can set up these GitHub classrooms. I use those constantly, um, and they work very, very well because again, I can kind of control who gets what I can see, everything"&amp;" I can help individuals through things works great.")</f>
        <v>I use GitHub and they have options for professors, you know, for academic use, where you can set up these GitHub classrooms. I use those constantly, um, and they work very, very well because again, I can kind of control who gets what I can see, everything I can help individuals through things works great.</v>
      </c>
      <c r="D91" s="48" t="str">
        <f>IFERROR(__xludf.DUMMYFUNCTION("""COMPUTED_VALUE"""),"Use Github for academic use where you can set up GitHub classrooms.")</f>
        <v>Use Github for academic use where you can set up GitHub classrooms.</v>
      </c>
      <c r="E91" s="48"/>
      <c r="F91" s="9" t="s">
        <v>286</v>
      </c>
      <c r="G91" s="9" t="s">
        <v>18</v>
      </c>
      <c r="H91" s="9"/>
    </row>
    <row r="92">
      <c r="A92" s="46">
        <v>141.0</v>
      </c>
      <c r="B92" s="47" t="s">
        <v>191</v>
      </c>
      <c r="C92" s="15" t="str">
        <f>IFERROR(__xludf.DUMMYFUNCTION("filter('Imported Recommendations'!B:D,'Imported Recommendations'!A:A=A92)"),"I try to use cloud providers, you know, kind of cloud SAS providers for that sort of thing, because I don't want people to spend a lot of time getting the stuff stood up.")</f>
        <v>I try to use cloud providers, you know, kind of cloud SAS providers for that sort of thing, because I don't want people to spend a lot of time getting the stuff stood up.</v>
      </c>
      <c r="D92" s="48" t="str">
        <f>IFERROR(__xludf.DUMMYFUNCTION("""COMPUTED_VALUE"""),"Use cloud SAS providers to avoid spending a lot of time installations and configurations.")</f>
        <v>Use cloud SAS providers to avoid spending a lot of time installations and configurations.</v>
      </c>
      <c r="E92" s="48"/>
      <c r="F92" s="9" t="s">
        <v>287</v>
      </c>
      <c r="G92" s="9" t="s">
        <v>12</v>
      </c>
      <c r="H92" s="9"/>
    </row>
    <row r="93">
      <c r="A93" s="46">
        <v>142.0</v>
      </c>
      <c r="B93" s="47" t="s">
        <v>191</v>
      </c>
      <c r="C93" s="15" t="str">
        <f>IFERROR(__xludf.DUMMYFUNCTION("filter('Imported Recommendations'!B:D,'Imported Recommendations'!A:A=A93)"),"I tend to focus on gradle, but I also will link that to say a comparison against Maven and ant to provide some context for how we got here, why we got here")</f>
        <v>I tend to focus on gradle, but I also will link that to say a comparison against Maven and ant to provide some context for how we got here, why we got here</v>
      </c>
      <c r="D93" s="48" t="str">
        <f>IFERROR(__xludf.DUMMYFUNCTION("""COMPUTED_VALUE"""),"Show the evolution of the tools like exposing from ant and maven to gradle tool in build managment.")</f>
        <v>Show the evolution of the tools like exposing from ant and maven to gradle tool in build managment.</v>
      </c>
      <c r="E93" s="48"/>
      <c r="F93" s="9" t="s">
        <v>288</v>
      </c>
      <c r="G93" s="9" t="s">
        <v>18</v>
      </c>
      <c r="H93" s="25"/>
    </row>
    <row r="94">
      <c r="A94" s="46">
        <v>144.0</v>
      </c>
      <c r="B94" s="47" t="s">
        <v>191</v>
      </c>
      <c r="C94" s="15" t="str">
        <f>IFERROR(__xludf.DUMMYFUNCTION("filter('Imported Recommendations'!B:D,'Imported Recommendations'!A:A=A94)"),"And that level of what you're trying to do is to build a business case for why you want that at all. And now you're starting to get a little bit around of the computer science and into around of business and being able to tie those two things together in "&amp;"such a way that you can sell it to an organization that would have to spend resources, people, time, energy, money, building out that kind of a technical pipeline, right? 
 ... you have to somehow sell them on why you should spend your sources doing that "&amp;"versus building a new feature or adding a new product or any one of a number of other competing priorities that the business has.")</f>
        <v>And that level of what you're trying to do is to build a business case for why you want that at all. And now you're starting to get a little bit around of the computer science and into around of business and being able to tie those two things together in such a way that you can sell it to an organization that would have to spend resources, people, time, energy, money, building out that kind of a technical pipeline, right? 
 ... you have to somehow sell them on why you should spend your sources doing that versus building a new feature or adding a new product or any one of a number of other competing priorities that the business has.</v>
      </c>
      <c r="D94" s="48" t="str">
        <f>IFERROR(__xludf.DUMMYFUNCTION("""COMPUTED_VALUE"""),"Teach students to know how to sell DevOps benefits to their directors who are from the business area. For example, pipeline reduce developers work time and save money. You can also build a new feature or add a new product that the business has.")</f>
        <v>Teach students to know how to sell DevOps benefits to their directors who are from the business area. For example, pipeline reduce developers work time and save money. You can also build a new feature or add a new product that the business has.</v>
      </c>
      <c r="E94" s="48"/>
      <c r="F94" s="9" t="s">
        <v>289</v>
      </c>
      <c r="G94" s="9" t="s">
        <v>290</v>
      </c>
      <c r="H94" s="25"/>
    </row>
    <row r="95">
      <c r="A95" s="46">
        <v>145.0</v>
      </c>
      <c r="B95" s="47" t="s">
        <v>191</v>
      </c>
      <c r="C95" s="15" t="str">
        <f>IFERROR(__xludf.DUMMYFUNCTION("filter('Imported Recommendations'!B:D,'Imported Recommendations'!A:A=A95)"),"I don't think the basic skeleton of the class has really changed significantly, maybe a few places, but over the last two or three years, the, the basic structure, the scaffolding I think has held fairly true where we focus on some devops principles. We f"&amp;"ocus on concepts. We focus on goals.")</f>
        <v>I don't think the basic skeleton of the class has really changed significantly, maybe a few places, but over the last two or three years, the, the basic structure, the scaffolding I think has held fairly true where we focus on some devops principles. We focus on concepts. We focus on goals.</v>
      </c>
      <c r="D95" s="48" t="str">
        <f>IFERROR(__xludf.DUMMYFUNCTION("""COMPUTED_VALUE"""),"The basic skeleton of the class does not change significantly because we focus on concepts and we focus on goals.")</f>
        <v>The basic skeleton of the class does not change significantly because we focus on concepts and we focus on goals.</v>
      </c>
      <c r="E95" s="48"/>
      <c r="F95" s="9" t="s">
        <v>291</v>
      </c>
      <c r="G95" s="9" t="s">
        <v>10</v>
      </c>
      <c r="H95" s="9"/>
    </row>
    <row r="96">
      <c r="A96" s="46">
        <v>147.0</v>
      </c>
      <c r="B96" s="47" t="s">
        <v>191</v>
      </c>
      <c r="C96" s="15" t="str">
        <f>IFERROR(__xludf.DUMMYFUNCTION("filter('Imported Recommendations'!B:D,'Imported Recommendations'!A:A=A96)"),"I will try to provide, uh, some kind of, of jump-starting as far as people learning at technology. So for example, here's commonly used commands. Here's why you use them. Here's how you use them.")</f>
        <v>I will try to provide, uh, some kind of, of jump-starting as far as people learning at technology. So for example, here's commonly used commands. Here's why you use them. Here's how you use them.</v>
      </c>
      <c r="D96" s="48" t="str">
        <f>IFERROR(__xludf.DUMMYFUNCTION("""COMPUTED_VALUE"""),"Provide jump-starting examples of commonly used commands of tools.")</f>
        <v>Provide jump-starting examples of commonly used commands of tools.</v>
      </c>
      <c r="E96" s="48"/>
      <c r="F96" s="9" t="s">
        <v>292</v>
      </c>
      <c r="G96" s="9" t="s">
        <v>24</v>
      </c>
      <c r="H96" s="9"/>
    </row>
    <row r="97">
      <c r="A97" s="46">
        <v>148.0</v>
      </c>
      <c r="B97" s="47" t="s">
        <v>191</v>
      </c>
      <c r="C97" s="15" t="str">
        <f>IFERROR(__xludf.DUMMYFUNCTION("filter('Imported Recommendations'!B:D,'Imported Recommendations'!A:A=A97)"),"So being a little bit more forgiving, a lot of the tools that we're using are brand new. For many people, getting them all to work together can be particularly challenging. And so making it a little less stressful, uh, can be helpful.")</f>
        <v>So being a little bit more forgiving, a lot of the tools that we're using are brand new. For many people, getting them all to work together can be particularly challenging. And so making it a little less stressful, uh, can be helpful.</v>
      </c>
      <c r="D97" s="48" t="str">
        <f>IFERROR(__xludf.DUMMYFUNCTION("""COMPUTED_VALUE"""),"Be a little bit more forgivable, understanding that for some people getting all the brand new technologies to work together can be really hard, so make it less stressful")</f>
        <v>Be a little bit more forgivable, understanding that for some people getting all the brand new technologies to work together can be really hard, so make it less stressful</v>
      </c>
      <c r="E97" s="48"/>
      <c r="F97" s="9" t="s">
        <v>293</v>
      </c>
      <c r="G97" s="9" t="s">
        <v>73</v>
      </c>
      <c r="H97" s="9"/>
    </row>
    <row r="98">
      <c r="A98" s="46">
        <v>150.0</v>
      </c>
      <c r="B98" s="47" t="s">
        <v>191</v>
      </c>
      <c r="C98" s="15" t="str">
        <f>IFERROR(__xludf.DUMMYFUNCTION("filter('Imported Recommendations'!B:D,'Imported Recommendations'!A:A=A98)"),"We let the students build only one project, one code base, which is evaluated both on the standpoint of the architecture. ... but also from the angle of continuous integration, do they include build plan?")</f>
        <v>We let the students build only one project, one code base, which is evaluated both on the standpoint of the architecture. ... but also from the angle of continuous integration, do they include build plan?</v>
      </c>
      <c r="D98" s="48" t="str">
        <f>IFERROR(__xludf.DUMMYFUNCTION("""COMPUTED_VALUE"""),"Evaluate the single project of the students on the standpoint of the architecture and also from the angle of continuous integration.")</f>
        <v>Evaluate the single project of the students on the standpoint of the architecture and also from the angle of continuous integration.</v>
      </c>
      <c r="E98" s="48"/>
      <c r="F98" s="9" t="s">
        <v>294</v>
      </c>
      <c r="G98" s="9" t="s">
        <v>29</v>
      </c>
      <c r="H98" s="9"/>
    </row>
    <row r="99">
      <c r="A99" s="46">
        <v>151.0</v>
      </c>
      <c r="B99" s="47" t="s">
        <v>191</v>
      </c>
      <c r="C99" s="15" t="str">
        <f>IFERROR(__xludf.DUMMYFUNCTION("filter('Imported Recommendations'!B:D,'Imported Recommendations'!A:A=A99)"),"So we built a curriculum in just very innovative way, the two classes together, a single project, a single teaching team, but we evaluate on two angles.
The course about, uh, software architecture and DevOps, or we're talking about a different way of arc"&amp;"hitecting software, um, mainly distributed system, because it was easier for the DevOps parts who were triggered challenges was a distributed system.  ... And they had one, one lecture in the morning lecture slash lab and one lecture slash lab in the afte"&amp;"rnoon. And they were really like Friday was dedicated to DevOps slash uh, architecture.")</f>
        <v>So we built a curriculum in just very innovative way, the two classes together, a single project, a single teaching team, but we evaluate on two angles.
The course about, uh, software architecture and DevOps, or we're talking about a different way of architecting software, um, mainly distributed system, because it was easier for the DevOps parts who were triggered challenges was a distributed system.  ... And they had one, one lecture in the morning lecture slash lab and one lecture slash lab in the afternoon. And they were really like Friday was dedicated to DevOps slash uh, architecture.</v>
      </c>
      <c r="D99" s="48" t="str">
        <f>IFERROR(__xludf.DUMMYFUNCTION("""COMPUTED_VALUE"""),"Built a curriculum with DevOps and Software Architecture classes together, a single project, a single teaching team, but we evaluate on two angles.
The courses of software architecture and DevOps taught in the same day.")</f>
        <v>Built a curriculum with DevOps and Software Architecture classes together, a single project, a single teaching team, but we evaluate on two angles.
The courses of software architecture and DevOps taught in the same day.</v>
      </c>
      <c r="E99" s="48" t="str">
        <f>IFERROR(__xludf.DUMMYFUNCTION("""COMPUTED_VALUE"""),"The courses of software architecture and DevOps taught together.")</f>
        <v>The courses of software architecture and DevOps taught together.</v>
      </c>
      <c r="F99" s="9" t="s">
        <v>295</v>
      </c>
      <c r="G99" s="9" t="s">
        <v>10</v>
      </c>
      <c r="H99" s="9"/>
    </row>
    <row r="100">
      <c r="A100" s="46">
        <v>153.0</v>
      </c>
      <c r="B100" s="47" t="s">
        <v>191</v>
      </c>
      <c r="C100" s="15" t="str">
        <f>IFERROR(__xludf.DUMMYFUNCTION("filter('Imported Recommendations'!B:D,'Imported Recommendations'!A:A=A100)"),"And then as we go into more concept, like what is Jenkins and what is Artifactory and what is Docker, then we can go back on those things.")</f>
        <v>And then as we go into more concept, like what is Jenkins and what is Artifactory and what is Docker, then we can go back on those things.</v>
      </c>
      <c r="D100" s="48" t="str">
        <f>IFERROR(__xludf.DUMMYFUNCTION("""COMPUTED_VALUE"""),"Study the tools more when you go into the concepts. For example, deep Docker when you teach containers.")</f>
        <v>Study the tools more when you go into the concepts. For example, deep Docker when you teach containers.</v>
      </c>
      <c r="E100" s="48"/>
      <c r="F100" s="9" t="s">
        <v>296</v>
      </c>
      <c r="G100" s="9" t="s">
        <v>18</v>
      </c>
      <c r="H100" s="9"/>
    </row>
    <row r="101">
      <c r="A101" s="46">
        <v>154.0</v>
      </c>
      <c r="B101" s="47" t="s">
        <v>191</v>
      </c>
      <c r="C101" s="15" t="str">
        <f>IFERROR(__xludf.DUMMYFUNCTION("filter('Imported Recommendations'!B:D,'Imported Recommendations'!A:A=A101)"),"what helps is to build something that is portable and something that can be broken down into several pieces where one student runs one bit and then another students runs the rest. It's also good because it forces them to work as a group.")</f>
        <v>what helps is to build something that is portable and something that can be broken down into several pieces where one student runs one bit and then another students runs the rest. It's also good because it forces them to work as a group.</v>
      </c>
      <c r="D101" s="48" t="str">
        <f>IFERROR(__xludf.DUMMYFUNCTION("""COMPUTED_VALUE"""),"Build something that is portable and something that can be broken down into several pieces where one student runs one bit and then another students runs the rest.")</f>
        <v>Build something that is portable and something that can be broken down into several pieces where one student runs one bit and then another students runs the rest.</v>
      </c>
      <c r="E101" s="48"/>
      <c r="F101" s="9" t="s">
        <v>297</v>
      </c>
      <c r="G101" s="25" t="s">
        <v>12</v>
      </c>
      <c r="H101" s="25"/>
    </row>
    <row r="102">
      <c r="A102" s="46">
        <v>156.0</v>
      </c>
      <c r="B102" s="47" t="s">
        <v>191</v>
      </c>
      <c r="C102" s="15" t="str">
        <f>IFERROR(__xludf.DUMMYFUNCTION("filter('Imported Recommendations'!B:D,'Imported Recommendations'!A:A=A102)"),"Go gradually. Um, so tha t,that was part of my strategy. The other thing is I've built a few, what I called a, um, whiteboard free session. So I go something like every week we have half a day, one hour of, uh, formal teaching. And then two hours exercise"&amp;" and we do that for like three weeks in a row. [...] So I do like three classrooms, one free session inspired by what they fail on and I continue.
")</f>
        <v>Go gradually. Um, so tha t,that was part of my strategy. The other thing is I've built a few, what I called a, um, whiteboard free session. So I go something like every week we have half a day, one hour of, uh, formal teaching. And then two hours exercise and we do that for like three weeks in a row. [...] So I do like three classrooms, one free session inspired by what they fail on and I continue.
</v>
      </c>
      <c r="D102" s="48" t="str">
        <f>IFERROR(__xludf.DUMMYFUNCTION("""COMPUTED_VALUE"""),"Build whiteboard free sessions inspired by what students have failed and the two hours exercise.")</f>
        <v>Build whiteboard free sessions inspired by what students have failed and the two hours exercise.</v>
      </c>
      <c r="E102" s="48"/>
      <c r="F102" s="9" t="s">
        <v>298</v>
      </c>
      <c r="G102" s="9" t="s">
        <v>73</v>
      </c>
      <c r="H102" s="9"/>
    </row>
    <row r="103">
      <c r="A103" s="46">
        <v>157.0</v>
      </c>
      <c r="B103" s="47" t="s">
        <v>191</v>
      </c>
      <c r="C103" s="15" t="str">
        <f>IFERROR(__xludf.DUMMYFUNCTION("filter('Imported Recommendations'!B:D,'Imported Recommendations'!A:A=A103)"),"We've done live presentation, where they have something that 20 minutes to describe the architecture, to describe their build strategy, that test strategy and demonstrate it on the screen. Um, and that is evaluated by a jury of one representative from the"&amp;" software architecture class and one representative from the DevOps class.
Students have to choose some topic and say, okay, we want to do a presentation on this topic. And that topic can be anything related to DevOps.
Everyone who wanted to present a t"&amp;"ool or to do a demo or anything else they could give, uh, get some feedback from other students.")</f>
        <v>We've done live presentation, where they have something that 20 minutes to describe the architecture, to describe their build strategy, that test strategy and demonstrate it on the screen. Um, and that is evaluated by a jury of one representative from the software architecture class and one representative from the DevOps class.
Students have to choose some topic and say, okay, we want to do a presentation on this topic. And that topic can be anything related to DevOps.
Everyone who wanted to present a tool or to do a demo or anything else they could give, uh, get some feedback from other students.</v>
      </c>
      <c r="D103" s="48" t="str">
        <f>IFERROR(__xludf.DUMMYFUNCTION("""COMPUTED_VALUE"""),"The students have something that 20 minutes to describe the architecture of the project, to describe their build strategy, that test strategy and demonstrate it on the screen. That is evaluated by a jury of one representative from the software architectur"&amp;"e class and one representative from the DevOps class.
Make students prepare a presentation about topics related to DevOps.
Students can present a tool or do a demo to get some feedback from others during the classes.")</f>
        <v>The students have something that 20 minutes to describe the architecture of the project, to describe their build strategy, that test strategy and demonstrate it on the screen. That is evaluated by a jury of one representative from the software architecture class and one representative from the DevOps class.
Make students prepare a presentation about topics related to DevOps.
Students can present a tool or do a demo to get some feedback from others during the classes.</v>
      </c>
      <c r="E103" s="48" t="str">
        <f>IFERROR(__xludf.DUMMYFUNCTION("""COMPUTED_VALUE"""),"Make students prepare a presentation about topics related to DevOps.")</f>
        <v>Make students prepare a presentation about topics related to DevOps.</v>
      </c>
      <c r="F103" s="9" t="s">
        <v>299</v>
      </c>
      <c r="G103" s="9" t="s">
        <v>73</v>
      </c>
      <c r="H103" s="9"/>
    </row>
    <row r="104">
      <c r="A104" s="46">
        <v>159.0</v>
      </c>
      <c r="B104" s="47" t="s">
        <v>191</v>
      </c>
      <c r="C104" s="15" t="str">
        <f>IFERROR(__xludf.DUMMYFUNCTION("filter('Imported Recommendations'!B:D,'Imported Recommendations'!A:A=A104)"),"we also have a lot of evaluation during the exercise. When group after group, where we, we give them flags if week green, yellow, or red, based on where we think they are, uh, regarding the objectives.")</f>
        <v>we also have a lot of evaluation during the exercise. When group after group, where we, we give them flags if week green, yellow, or red, based on where we think they are, uh, regarding the objectives.</v>
      </c>
      <c r="D104" s="48" t="str">
        <f>IFERROR(__xludf.DUMMYFUNCTION("""COMPUTED_VALUE"""),"Do many evaluations of students project along with the discipline. Use green, yellow or red flags to evaluate the group.")</f>
        <v>Do many evaluations of students project along with the discipline. Use green, yellow or red flags to evaluate the group.</v>
      </c>
      <c r="E104" s="48"/>
      <c r="F104" s="9" t="s">
        <v>300</v>
      </c>
      <c r="G104" s="9" t="s">
        <v>29</v>
      </c>
      <c r="H104" s="9"/>
    </row>
    <row r="105">
      <c r="A105" s="46">
        <v>160.0</v>
      </c>
      <c r="B105" s="47" t="s">
        <v>191</v>
      </c>
      <c r="C105" s="15" t="str">
        <f>IFERROR(__xludf.DUMMYFUNCTION("filter('Imported Recommendations'!B:D,'Imported Recommendations'!A:A=A105)"),"we cannot make assumption on what they know. So we're trying to work without any assumption.
")</f>
        <v>we cannot make assumption on what they know. So we're trying to work without any assumption.
</v>
      </c>
      <c r="D105" s="48" t="str">
        <f>IFERROR(__xludf.DUMMYFUNCTION("""COMPUTED_VALUE"""),"Do not make assumption about the learning level of the students when you have students with different levels.")</f>
        <v>Do not make assumption about the learning level of the students when you have students with different levels.</v>
      </c>
      <c r="E105" s="48"/>
      <c r="F105" s="9" t="s">
        <v>301</v>
      </c>
      <c r="G105" s="9" t="s">
        <v>73</v>
      </c>
      <c r="H105" s="9"/>
    </row>
    <row r="106">
      <c r="A106" s="46">
        <v>162.0</v>
      </c>
      <c r="B106" s="47" t="s">
        <v>191</v>
      </c>
      <c r="C106" s="15" t="str">
        <f>IFERROR(__xludf.DUMMYFUNCTION("filter('Imported Recommendations'!B:D,'Imported Recommendations'!A:A=A106)"),"I covered it is a few lectures, like on, on DevOps and, um, which look at DevOps from a kind of generic perspective, like introducing the concept of DevOps and the challenges related to DevOps and, and, and so on. And then introducing them some of the bas"&amp;"ic tools, like for instance, so using things like continuous integration tools, like Jenkins SIM swollen. And, uh, so I tried to introduce, uh, between maybe spending about a couple of weeks doing that, like the course was about 12 weeks. And so in Zen Ap"&amp;"p there, I focus more on specialized issues. So we spent some time on performance and scalability testing and things like the good testing and so on.")</f>
        <v>I covered it is a few lectures, like on, on DevOps and, um, which look at DevOps from a kind of generic perspective, like introducing the concept of DevOps and the challenges related to DevOps and, and, and so on. And then introducing them some of the basic tools, like for instance, so using things like continuous integration tools, like Jenkins SIM swollen. And, uh, so I tried to introduce, uh, between maybe spending about a couple of weeks doing that, like the course was about 12 weeks. And so in Zen App there, I focus more on specialized issues. So we spent some time on performance and scalability testing and things like the good testing and so on.</v>
      </c>
      <c r="D106" s="48" t="str">
        <f>IFERROR(__xludf.DUMMYFUNCTION("""COMPUTED_VALUE"""),"Start with a generic perspective of DevOps, basic concepts, and after a few weeks start to focus on specialized issues.")</f>
        <v>Start with a generic perspective of DevOps, basic concepts, and after a few weeks start to focus on specialized issues.</v>
      </c>
      <c r="E106" s="48"/>
      <c r="F106" s="9" t="s">
        <v>302</v>
      </c>
      <c r="G106" s="9" t="s">
        <v>73</v>
      </c>
      <c r="H106" s="9"/>
    </row>
    <row r="107">
      <c r="A107" s="46">
        <v>163.0</v>
      </c>
      <c r="B107" s="47" t="s">
        <v>191</v>
      </c>
      <c r="C107" s="15" t="str">
        <f>IFERROR(__xludf.DUMMYFUNCTION("filter('Imported Recommendations'!B:D,'Imported Recommendations'!A:A=A107)"),"what I do is that after introducing a concept and so on, I started really looking at very specific issues ... so in the lab we students learn, uh, in our, to be able to, for instance, to create a pipeline currency, DevOps pipeline, and, and, um, very, uh,"&amp;" set up A B tests, create test cases and do automated test, uh, test automation.")</f>
        <v>what I do is that after introducing a concept and so on, I started really looking at very specific issues ... so in the lab we students learn, uh, in our, to be able to, for instance, to create a pipeline currency, DevOps pipeline, and, and, um, very, uh, set up A B tests, create test cases and do automated test, uh, test automation.</v>
      </c>
      <c r="D107" s="48" t="str">
        <f>IFERROR(__xludf.DUMMYFUNCTION("""COMPUTED_VALUE"""),"Introduce a concept and do labs with creating DevOps pipeline, setup A/B tests, and automated tests.")</f>
        <v>Introduce a concept and do labs with creating DevOps pipeline, setup A/B tests, and automated tests.</v>
      </c>
      <c r="E107" s="48"/>
      <c r="F107" s="9" t="s">
        <v>303</v>
      </c>
      <c r="G107" s="9" t="s">
        <v>73</v>
      </c>
      <c r="H107" s="25"/>
    </row>
    <row r="108">
      <c r="A108" s="46">
        <v>165.0</v>
      </c>
      <c r="B108" s="47" t="s">
        <v>191</v>
      </c>
      <c r="C108" s="15" t="str">
        <f>IFERROR(__xludf.DUMMYFUNCTION("filter('Imported Recommendations'!B:D,'Imported Recommendations'!A:A=A108)"),"Also making the project interesting is important because it, you can, it's very easy when you are teaching to just take a very small project, which is not very, uh, challenging in all with students.
")</f>
        <v>Also making the project interesting is important because it, you can, it's very easy when you are teaching to just take a very small project, which is not very, uh, challenging in all with students.
</v>
      </c>
      <c r="D108" s="48" t="str">
        <f>IFERROR(__xludf.DUMMYFUNCTION("""COMPUTED_VALUE"""),"The project of the class should not be very small and must be challenging.")</f>
        <v>The project of the class should not be very small and must be challenging.</v>
      </c>
      <c r="E108" s="48"/>
      <c r="F108" s="9" t="s">
        <v>304</v>
      </c>
      <c r="G108" s="9" t="s">
        <v>24</v>
      </c>
      <c r="H108" s="25"/>
    </row>
    <row r="109">
      <c r="A109" s="46">
        <v>166.0</v>
      </c>
      <c r="B109" s="47" t="s">
        <v>191</v>
      </c>
      <c r="C109" s="15" t="str">
        <f>IFERROR(__xludf.DUMMYFUNCTION("filter('Imported Recommendations'!B:D,'Imported Recommendations'!A:A=A109)"),"for exam can be to use an open source application that we can use")</f>
        <v>for exam can be to use an open source application that we can use</v>
      </c>
      <c r="D109" s="48" t="str">
        <f>IFERROR(__xludf.DUMMYFUNCTION("""COMPUTED_VALUE"""),"For exam can be to use an open source application that we can use.")</f>
        <v>For exam can be to use an open source application that we can use.</v>
      </c>
      <c r="E109" s="48"/>
      <c r="F109" s="9" t="s">
        <v>305</v>
      </c>
      <c r="G109" s="9" t="s">
        <v>29</v>
      </c>
      <c r="H109" s="9"/>
    </row>
    <row r="110">
      <c r="A110" s="46">
        <v>168.0</v>
      </c>
      <c r="B110" s="47" t="s">
        <v>191</v>
      </c>
      <c r="C110" s="15" t="str">
        <f>IFERROR(__xludf.DUMMYFUNCTION("filter('Imported Recommendations'!B:D,'Imported Recommendations'!A:A=A110)"),"for performance testing we use JMeter")</f>
        <v>for performance testing we use JMeter</v>
      </c>
      <c r="D110" s="48" t="str">
        <f>IFERROR(__xludf.DUMMYFUNCTION("""COMPUTED_VALUE"""),"Use JMeter for performance testing.")</f>
        <v>Use JMeter for performance testing.</v>
      </c>
      <c r="E110" s="48"/>
      <c r="F110" s="9" t="s">
        <v>306</v>
      </c>
      <c r="G110" s="9" t="s">
        <v>18</v>
      </c>
      <c r="H110" s="9"/>
    </row>
    <row r="111">
      <c r="A111" s="46">
        <v>169.0</v>
      </c>
      <c r="B111" s="47" t="s">
        <v>191</v>
      </c>
      <c r="C111" s="15" t="str">
        <f>IFERROR(__xludf.DUMMYFUNCTION("filter('Imported Recommendations'!B:D,'Imported Recommendations'!A:A=A111)"),"we also security platform like, uh, Zap")</f>
        <v>we also security platform like, uh, Zap</v>
      </c>
      <c r="D111" s="48" t="str">
        <f>IFERROR(__xludf.DUMMYFUNCTION("""COMPUTED_VALUE"""),"Use OWASP Zap as security platform.")</f>
        <v>Use OWASP Zap as security platform.</v>
      </c>
      <c r="E111" s="48"/>
      <c r="F111" s="9" t="s">
        <v>307</v>
      </c>
      <c r="G111" s="9" t="s">
        <v>18</v>
      </c>
      <c r="H111" s="9"/>
    </row>
    <row r="112">
      <c r="A112" s="46">
        <v>171.0</v>
      </c>
      <c r="B112" s="47" t="s">
        <v>191</v>
      </c>
      <c r="C112" s="15" t="str">
        <f>IFERROR(__xludf.DUMMYFUNCTION("filter('Imported Recommendations'!B:D,'Imported Recommendations'!A:A=A112)"),"Quite often, what we do is have someone in our team to implement the application.")</f>
        <v>Quite often, what we do is have someone in our team to implement the application.</v>
      </c>
      <c r="D112" s="48" t="str">
        <f>IFERROR(__xludf.DUMMYFUNCTION("""COMPUTED_VALUE"""),"Someone from teacher staff implements the sample application.")</f>
        <v>Someone from teacher staff implements the sample application.</v>
      </c>
      <c r="E112" s="48"/>
      <c r="F112" s="9" t="s">
        <v>308</v>
      </c>
      <c r="G112" s="9" t="s">
        <v>24</v>
      </c>
      <c r="H112" s="25"/>
    </row>
    <row r="113">
      <c r="A113" s="46">
        <v>172.0</v>
      </c>
      <c r="B113" s="47" t="s">
        <v>191</v>
      </c>
      <c r="C113" s="15" t="str">
        <f>IFERROR(__xludf.DUMMYFUNCTION("filter('Imported Recommendations'!B:D,'Imported Recommendations'!A:A=A113)"),"So in the course I split, but so about 80% of presentation is just a regular, uh, concepts and so on and about 20% is about concrete applications.
 And so if we can find a way to be able to, to compress the experience or expertise in the practical experi"&amp;"ence and expertise in the context of lectures and so on.")</f>
        <v>So in the course I split, but so about 80% of presentation is just a regular, uh, concepts and so on and about 20% is about concrete applications.
 And so if we can find a way to be able to, to compress the experience or expertise in the practical experience and expertise in the context of lectures and so on.</v>
      </c>
      <c r="D113" s="48" t="str">
        <f>IFERROR(__xludf.DUMMYFUNCTION("""COMPUTED_VALUE"""),"Divide the course into 80% of concepts and 20% of applications.
Conciliate the experience in labs and the context of lectures.")</f>
        <v>Divide the course into 80% of concepts and 20% of applications.
Conciliate the experience in labs and the context of lectures.</v>
      </c>
      <c r="E113" s="48" t="str">
        <f>IFERROR(__xludf.DUMMYFUNCTION("""COMPUTED_VALUE"""),"Divide the course into 80% of concepts and 20% of applications.")</f>
        <v>Divide the course into 80% of concepts and 20% of applications.</v>
      </c>
      <c r="F113" s="9" t="s">
        <v>309</v>
      </c>
      <c r="G113" s="9" t="s">
        <v>10</v>
      </c>
      <c r="H113" s="9"/>
    </row>
    <row r="114">
      <c r="A114" s="46">
        <v>175.0</v>
      </c>
      <c r="B114" s="47" t="s">
        <v>191</v>
      </c>
      <c r="C114" s="15" t="str">
        <f>IFERROR(__xludf.DUMMYFUNCTION("filter('Imported Recommendations'!B:D,'Imported Recommendations'!A:A=A114)"),"I had a different assistant for the labs who was the next student. So the first time, and the labs were quite well received.
If you have lab assistants that are, you know, good, it's pretty easy to manage.")</f>
        <v>I had a different assistant for the labs who was the next student. So the first time, and the labs were quite well received.
If you have lab assistants that are, you know, good, it's pretty easy to manage.</v>
      </c>
      <c r="D114" s="48" t="str">
        <f>IFERROR(__xludf.DUMMYFUNCTION("""COMPUTED_VALUE"""),"Qualified teacher assistant is important to setup the labs.
It is good to have teacher assistants with labs.")</f>
        <v>Qualified teacher assistant is important to setup the labs.
It is good to have teacher assistants with labs.</v>
      </c>
      <c r="E114" s="48" t="str">
        <f>IFERROR(__xludf.DUMMYFUNCTION("""COMPUTED_VALUE"""),"Teacher assistants are helpful with labs.")</f>
        <v>Teacher assistants are helpful with labs.</v>
      </c>
      <c r="F114" s="9" t="s">
        <v>310</v>
      </c>
      <c r="G114" s="9" t="s">
        <v>73</v>
      </c>
      <c r="H114" s="9"/>
    </row>
    <row r="115">
      <c r="A115" s="46">
        <v>177.0</v>
      </c>
      <c r="B115" s="47" t="s">
        <v>191</v>
      </c>
      <c r="C115" s="15" t="str">
        <f>IFERROR(__xludf.DUMMYFUNCTION("filter('Imported Recommendations'!B:D,'Imported Recommendations'!A:A=A115)"),"The Phoenix project ...  it's written also by essentially Jean Kim ... , it's written as a novel ... you get into the, the life of people that are facing issues that's are essentially DevOps issues ... he Phoenix project is more about the Ops side of thin"&amp;"gs.")</f>
        <v>The Phoenix project ...  it's written also by essentially Jean Kim ... , it's written as a novel ... you get into the, the life of people that are facing issues that's are essentially DevOps issues ... he Phoenix project is more about the Ops side of things.</v>
      </c>
      <c r="D115" s="48" t="str">
        <f>IFERROR(__xludf.DUMMYFUNCTION("""COMPUTED_VALUE"""),"The Phoenix book by Jean Kim is a novel that covers the Ops side of DevOps.")</f>
        <v>The Phoenix book by Jean Kim is a novel that covers the Ops side of DevOps.</v>
      </c>
      <c r="E115" s="48"/>
      <c r="F115" s="9" t="s">
        <v>311</v>
      </c>
      <c r="G115" s="9" t="s">
        <v>16</v>
      </c>
      <c r="H115" s="9"/>
    </row>
    <row r="116">
      <c r="A116" s="46">
        <v>178.0</v>
      </c>
      <c r="B116" s="47" t="s">
        <v>191</v>
      </c>
      <c r="C116" s="15" t="str">
        <f>IFERROR(__xludf.DUMMYFUNCTION("filter('Imported Recommendations'!B:D,'Imported Recommendations'!A:A=A116)"),"I need very solid, uh, research. It's a sorry, a lab assistance. The people responsible for the labs of course, assistants that that can actually deal with the students. So I'm lucky to have students and have good industrial experience, uh, to do that.")</f>
        <v>I need very solid, uh, research. It's a sorry, a lab assistance. The people responsible for the labs of course, assistants that that can actually deal with the students. So I'm lucky to have students and have good industrial experience, uh, to do that.</v>
      </c>
      <c r="D116" s="48" t="str">
        <f>IFERROR(__xludf.DUMMYFUNCTION("""COMPUTED_VALUE"""),"The teacher assistants need to be very qualified.")</f>
        <v>The teacher assistants need to be very qualified.</v>
      </c>
      <c r="E116" s="48"/>
      <c r="F116" s="9" t="s">
        <v>312</v>
      </c>
      <c r="G116" s="9" t="s">
        <v>24</v>
      </c>
      <c r="H116" s="25"/>
    </row>
    <row r="117">
      <c r="A117" s="46">
        <v>180.0</v>
      </c>
      <c r="B117" s="47" t="s">
        <v>191</v>
      </c>
      <c r="C117" s="15" t="str">
        <f>IFERROR(__xludf.DUMMYFUNCTION("filter('Imported Recommendations'!B:D,'Imported Recommendations'!A:A=A117)"),"We try to make it minimal")</f>
        <v>We try to make it minimal</v>
      </c>
      <c r="D117" s="48" t="str">
        <f>IFERROR(__xludf.DUMMYFUNCTION("""COMPUTED_VALUE"""),"Try to make the environment setup minimal.")</f>
        <v>Try to make the environment setup minimal.</v>
      </c>
      <c r="E117" s="48"/>
      <c r="F117" s="9" t="s">
        <v>313</v>
      </c>
      <c r="G117" s="9" t="s">
        <v>12</v>
      </c>
      <c r="H117" s="9"/>
    </row>
    <row r="118">
      <c r="A118" s="46">
        <v>181.0</v>
      </c>
      <c r="B118" s="47" t="s">
        <v>191</v>
      </c>
      <c r="C118" s="15" t="str">
        <f>IFERROR(__xludf.DUMMYFUNCTION("filter('Imported Recommendations'!B:D,'Imported Recommendations'!A:A=A118)"),"initially we were relying the, uh, admin, uh, personnel in our department, not admin, sorry, the, the engineering, uh, the, yeah, the, the infrastructure, the people that are responsible for the labs and so on. And now, since all of the students have thei"&amp;"r laptop, we try to make it as industrial as possible in lightweight as possible. So we don't need any internal support. [...] You just need this use to create their, uh, GitHub accounts. And, uh, you have to register to be able to get some AWS, uh, credi"&amp;"ts so that you can share with the students, but it's quite, it's quite easy.")</f>
        <v>initially we were relying the, uh, admin, uh, personnel in our department, not admin, sorry, the, the engineering, uh, the, yeah, the, the infrastructure, the people that are responsible for the labs and so on. And now, since all of the students have their laptop, we try to make it as industrial as possible in lightweight as possible. So we don't need any internal support. [...] You just need this use to create their, uh, GitHub accounts. And, uh, you have to register to be able to get some AWS, uh, credits so that you can share with the students, but it's quite, it's quite easy.</v>
      </c>
      <c r="D118" s="48" t="str">
        <f>IFERROR(__xludf.DUMMYFUNCTION("""COMPUTED_VALUE"""),"You do not need to worry about university infrastruture when the students have Github and AWS accounts and you make the environment as industrial as lightweight as possible in all of the students laptops.")</f>
        <v>You do not need to worry about university infrastruture when the students have Github and AWS accounts and you make the environment as industrial as lightweight as possible in all of the students laptops.</v>
      </c>
      <c r="E118" s="48"/>
      <c r="F118" s="9" t="s">
        <v>314</v>
      </c>
      <c r="G118" s="9" t="s">
        <v>12</v>
      </c>
      <c r="H118" s="9"/>
    </row>
    <row r="119">
      <c r="A119" s="46">
        <v>183.0</v>
      </c>
      <c r="B119" s="47" t="s">
        <v>191</v>
      </c>
      <c r="C119" s="15" t="str">
        <f>IFERROR(__xludf.DUMMYFUNCTION("filter('Imported Recommendations'!B:D,'Imported Recommendations'!A:A=A119)"),"First define the objectives of your course and making sure you stick to it.
But with respect to the technologies, I think that knowledge is, will change [...] I think like one of the, uh, not too good to give it giving advices or, but I can share my expe"&amp;"rience and my thoughts. Um, I think that that's important to remember one thing as important as what is the objectives of your course.
"" I think if we lay the rooms, uh, maybe it's more clearly and more specifically, I think students, we know better wha"&amp;"t they will get from what they do. [...]
I think we will have, uh, we will, um, uh, rewrite some of the rules to make sure that, uh, students know how many points they get for what they do, uh, beforehand we should do it because, uh, it will not be perfec"&amp;"t because students can choose many different things. """)</f>
        <v>First define the objectives of your course and making sure you stick to it.
But with respect to the technologies, I think that knowledge is, will change [...] I think like one of the, uh, not too good to give it giving advices or, but I can share my experience and my thoughts. Um, I think that that's important to remember one thing as important as what is the objectives of your course.
" I think if we lay the rooms, uh, maybe it's more clearly and more specifically, I think students, we know better what they will get from what they do. [...]
I think we will have, uh, we will, um, uh, rewrite some of the rules to make sure that, uh, students know how many points they get for what they do, uh, beforehand we should do it because, uh, it will not be perfect because students can choose many different things. "</v>
      </c>
      <c r="D119" s="48" t="str">
        <f>IFERROR(__xludf.DUMMYFUNCTION("""COMPUTED_VALUE"""),"Define clearly the objectives of your course and make sure you stick to it.
Constantly remember the students about the objective of the course.
Make sure the students know the rules of the course. For example how many points they get for what they do.")</f>
        <v>Define clearly the objectives of your course and make sure you stick to it.
Constantly remember the students about the objective of the course.
Make sure the students know the rules of the course. For example how many points they get for what they do.</v>
      </c>
      <c r="E119" s="52" t="str">
        <f>IFERROR(__xludf.DUMMYFUNCTION("""COMPUTED_VALUE"""),"Explain the course objectives to the students.")</f>
        <v>Explain the course objectives to the students.</v>
      </c>
      <c r="F119" s="9" t="s">
        <v>315</v>
      </c>
      <c r="G119" s="9" t="s">
        <v>73</v>
      </c>
      <c r="H119" s="9"/>
    </row>
    <row r="120">
      <c r="A120" s="46">
        <v>184.0</v>
      </c>
      <c r="B120" s="47" t="s">
        <v>191</v>
      </c>
      <c r="C120" s="15" t="str">
        <f>IFERROR(__xludf.DUMMYFUNCTION("filter('Imported Recommendations'!B:D,'Imported Recommendations'!A:A=A120)"),"I give them two case studies, uh, so to see if they can analyze a given situation.
Like theoretical exam point of view, we use the case studies. ... you have three hours explain what you do in this situation. ...  we were really grading half of the descr"&amp;"iption and half of the justification.
He grade scale was half description, half justification, and that's helped a lot, but it's always, um, qualitative in this way.")</f>
        <v>I give them two case studies, uh, so to see if they can analyze a given situation.
Like theoretical exam point of view, we use the case studies. ... you have three hours explain what you do in this situation. ...  we were really grading half of the description and half of the justification.
He grade scale was half description, half justification, and that's helped a lot, but it's always, um, qualitative in this way.</v>
      </c>
      <c r="D120" s="48" t="str">
        <f>IFERROR(__xludf.DUMMYFUNCTION("""COMPUTED_VALUE"""),"Give case studies to see if the students can analyze a given situation in the exams.
We use the case studies in theoretical exam. Students have three hours to explain what they do in this situation. We were really grading half of the description and half"&amp;" of the justification.
It is helpful to use the description and the justification of case studies on qualitative grade scale.")</f>
        <v>Give case studies to see if the students can analyze a given situation in the exams.
We use the case studies in theoretical exam. Students have three hours to explain what they do in this situation. We were really grading half of the description and half of the justification.
It is helpful to use the description and the justification of case studies on qualitative grade scale.</v>
      </c>
      <c r="E120" s="48" t="str">
        <f>IFERROR(__xludf.DUMMYFUNCTION("""COMPUTED_VALUE"""),"Use case studies in the exams.")</f>
        <v>Use case studies in the exams.</v>
      </c>
      <c r="F120" s="9" t="s">
        <v>316</v>
      </c>
      <c r="G120" s="9" t="s">
        <v>29</v>
      </c>
      <c r="H120" s="9"/>
    </row>
    <row r="121">
      <c r="A121" s="46">
        <v>186.0</v>
      </c>
      <c r="B121" s="47" t="s">
        <v>191</v>
      </c>
      <c r="C121" s="15" t="str">
        <f>IFERROR(__xludf.DUMMYFUNCTION("filter('Imported Recommendations'!B:D,'Imported Recommendations'!A:A=A121)"),"it's not an analysis course, but I tried to bring it back regularly and say, okay, if you want to improve a process, whether you do so, it's one of the, one of the section in the book. And so it's okay. [...] you go from there to identify the, the points "&amp;"that could be improved, right. And then how do you want to improve it, then the techniques that are described in the book?")</f>
        <v>it's not an analysis course, but I tried to bring it back regularly and say, okay, if you want to improve a process, whether you do so, it's one of the, one of the section in the book. And so it's okay. [...] you go from there to identify the, the points that could be improved, right. And then how do you want to improve it, then the techniques that are described in the book?</v>
      </c>
      <c r="D121" s="48" t="str">
        <f>IFERROR(__xludf.DUMMYFUNCTION("""COMPUTED_VALUE"""),"constantly try to figure out how to improve the quality of the course")</f>
        <v>constantly try to figure out how to improve the quality of the course</v>
      </c>
      <c r="E121" s="48"/>
      <c r="F121" s="9" t="s">
        <v>317</v>
      </c>
      <c r="G121" s="9" t="s">
        <v>73</v>
      </c>
      <c r="H121" s="9"/>
    </row>
    <row r="122">
      <c r="A122" s="46">
        <v>187.0</v>
      </c>
      <c r="B122" s="47" t="s">
        <v>191</v>
      </c>
      <c r="C122" s="15" t="str">
        <f>IFERROR(__xludf.DUMMYFUNCTION("filter('Imported Recommendations'!B:D,'Imported Recommendations'!A:A=A122)"),"I'm thinking of bringing a couple of, um, industrial speakers as well to share their experience.
We can have people, uh, there, there are, uh, there are everywhere that we can invite and, uh, let the students know what is going on in practice, not just s"&amp;"ome, uh, theoretical, uh, problem.
The lectures were not, uh, were not presented by the teachers. They were presented by the people who are, who were from the industry and invited to the, uh, to the course to present something for students.
I think the "&amp;"course we've built in France was successful because we've done it with a software architect from IBM or the guy who was building, um, like as part of his industrial practice, he was building huge, uh, systems.
You need to have people interacting with the"&amp;" students that are practitioners and that really, uh, well know their in a way.
So we thought we were doing right, but after having discussed with industrial partners and practitioners, like not just discussed, you know, conference or attending a meetup,"&amp;" like really discussing for hours.
To carefully select the, um, I, I have a lot of industrial, uh, practitioners, guest lectures. Uh, we, we, we had the one prof that wasn't industrial.
The bigger mistake I've made was to, uh, use a coach. Uh, and we in"&amp;"vited him and the guy was, uh, setting himself running himself as a DevOps coach, but the guy just had written books and, uh, had no idea what he was talking about.")</f>
        <v>I'm thinking of bringing a couple of, um, industrial speakers as well to share their experience.
We can have people, uh, there, there are, uh, there are everywhere that we can invite and, uh, let the students know what is going on in practice, not just some, uh, theoretical, uh, problem.
The lectures were not, uh, were not presented by the teachers. They were presented by the people who are, who were from the industry and invited to the, uh, to the course to present something for students.
I think the course we've built in France was successful because we've done it with a software architect from IBM or the guy who was building, um, like as part of his industrial practice, he was building huge, uh, systems.
You need to have people interacting with the students that are practitioners and that really, uh, well know their in a way.
So we thought we were doing right, but after having discussed with industrial partners and practitioners, like not just discussed, you know, conference or attending a meetup, like really discussing for hours.
To carefully select the, um, I, I have a lot of industrial, uh, practitioners, guest lectures. Uh, we, we, we had the one prof that wasn't industrial.
The bigger mistake I've made was to, uh, use a coach. Uh, and we invited him and the guy was, uh, setting himself running himself as a DevOps coach, but the guy just had written books and, uh, had no idea what he was talking about.</v>
      </c>
      <c r="D122" s="48" t="str">
        <f>IFERROR(__xludf.DUMMYFUNCTION("""COMPUTED_VALUE"""),"Try to bring industrial speakers to share their experience.
Invite people to show students what's going on in practice, not only in theoretical problems.
The lectures could be presented by people who were from the industry.
It is important to have indu"&amp;"strial partnership to share skills to contribute to the course.
You need to have DevOps practitioners interacting with the students.
Discuss the course with industrial partners and practitioners.
You should be careful about selecting guest lectures. Pr"&amp;"efer industrial practitioners.
Do not invite a DevOps coach to do DevOps lectures.")</f>
        <v>Try to bring industrial speakers to share their experience.
Invite people to show students what's going on in practice, not only in theoretical problems.
The lectures could be presented by people who were from the industry.
It is important to have industrial partnership to share skills to contribute to the course.
You need to have DevOps practitioners interacting with the students.
Discuss the course with industrial partners and practitioners.
You should be careful about selecting guest lectures. Prefer industrial practitioners.
Do not invite a DevOps coach to do DevOps lectures.</v>
      </c>
      <c r="E122" s="48" t="str">
        <f>IFERROR(__xludf.DUMMYFUNCTION("""COMPUTED_VALUE"""),"Select industrial speakers carefully to share their experience with the students.")</f>
        <v>Select industrial speakers carefully to share their experience with the students.</v>
      </c>
      <c r="F122" s="9" t="s">
        <v>318</v>
      </c>
      <c r="G122" s="9" t="s">
        <v>24</v>
      </c>
      <c r="H122" s="9"/>
    </row>
    <row r="123">
      <c r="A123" s="46">
        <v>189.0</v>
      </c>
      <c r="B123" s="47" t="s">
        <v>191</v>
      </c>
      <c r="C123" s="15" t="str">
        <f>IFERROR(__xludf.DUMMYFUNCTION("filter('Imported Recommendations'!B:D,'Imported Recommendations'!A:A=A123)"),"Then do, um, do some research about it, write an essay or, uh, or if there is, um, there is a tool available, uh, on GitHub it's, if it's open source, they can contribute to that, uh, to that tool and maybe fix some issues and report it to the teachers.
"&amp;"Many of them did was to engage in the, uh, in the development process of the, uh, of the large projects that other people are working on. And, uh, they could choose a project, I think with more than a hundred stars. ...  And they had to make sure that the"&amp;"y pass all the, uh, all the steps and they had to do some contributions, but to there, to those for repositories. And, uh, and they had to also engage in a conversation with other people from other teams, uh, in the process that, uh, they were, uh, making"&amp;" those contributions.
They could contribute to some open source projects that are large projects and they are being used. So it's something that I'm looking for. Something we had some stats, uh, on github.")</f>
        <v>Then do, um, do some research about it, write an essay or, uh, or if there is, um, there is a tool available, uh, on GitHub it's, if it's open source, they can contribute to that, uh, to that tool and maybe fix some issues and report it to the teachers.
Many of them did was to engage in the, uh, in the development process of the, uh, of the large projects that other people are working on. And, uh, they could choose a project, I think with more than a hundred stars. ...  And they had to make sure that they pass all the, uh, all the steps and they had to do some contributions, but to there, to those for repositories. And, uh, and they had to also engage in a conversation with other people from other teams, uh, in the process that, uh, they were, uh, making those contributions.
They could contribute to some open source projects that are large projects and they are being used. So it's something that I'm looking for. Something we had some stats, uh, on github.</v>
      </c>
      <c r="D123" s="48" t="str">
        <f>IFERROR(__xludf.DUMMYFUNCTION("""COMPUTED_VALUE"""),"Do some research about DevOps topic, write an essay, and if the tool is open source, contribute to that tool and fix some issues and report it to the teachers.
The students should contribute and engage in the development process of the large projects wit"&amp;"h more than a hundred stars on Github.
Students could contribute to some open source projects that are large and being used and had more than one hundred stars.")</f>
        <v>Do some research about DevOps topic, write an essay, and if the tool is open source, contribute to that tool and fix some issues and report it to the teachers.
The students should contribute and engage in the development process of the large projects with more than a hundred stars on Github.
Students could contribute to some open source projects that are large and being used and had more than one hundred stars.</v>
      </c>
      <c r="E123" s="48" t="str">
        <f>IFERROR(__xludf.DUMMYFUNCTION("""COMPUTED_VALUE"""),"Do some research about DevOps topic, write an essay, and if the tool is open source, contribute to that tool and fix some issues and report it to the teachers. The open source project should have more than a hundred stars on Github.")</f>
        <v>Do some research about DevOps topic, write an essay, and if the tool is open source, contribute to that tool and fix some issues and report it to the teachers. The open source project should have more than a hundred stars on Github.</v>
      </c>
      <c r="F123" s="9" t="s">
        <v>319</v>
      </c>
      <c r="G123" s="9" t="s">
        <v>73</v>
      </c>
      <c r="H123" s="9"/>
    </row>
    <row r="124">
      <c r="A124" s="46">
        <v>190.0</v>
      </c>
      <c r="B124" s="47" t="s">
        <v>191</v>
      </c>
      <c r="C124" s="15" t="str">
        <f>IFERROR(__xludf.DUMMYFUNCTION("filter('Imported Recommendations'!B:D,'Imported Recommendations'!A:A=A124)"),"So, uh, we didn't have some predefined, uh, projects, and as we can, yes, this was a bigger problem for us.")</f>
        <v>So, uh, we didn't have some predefined, uh, projects, and as we can, yes, this was a bigger problem for us.</v>
      </c>
      <c r="D124" s="24" t="str">
        <f>IFERROR(__xludf.DUMMYFUNCTION("""COMPUTED_VALUE"""),"Predefined project is important for the organization of the course.")</f>
        <v>Predefined project is important for the organization of the course.</v>
      </c>
      <c r="E124" s="48"/>
      <c r="F124" s="9" t="s">
        <v>320</v>
      </c>
      <c r="G124" s="9" t="s">
        <v>24</v>
      </c>
      <c r="H124" s="9"/>
    </row>
    <row r="125">
      <c r="A125" s="46">
        <v>192.0</v>
      </c>
      <c r="B125" s="47" t="s">
        <v>191</v>
      </c>
      <c r="C125" s="15" t="str">
        <f>IFERROR(__xludf.DUMMYFUNCTION("filter('Imported Recommendations'!B:D,'Imported Recommendations'!A:A=A125)"),"And they had to also engage in a conversation with other people from other teams, uh, in the process that, uh, they were, uh, making those contributions.
Other task that we ask them to do something for our own course, and, uh, then, uh, engage in a conve"&amp;"rsation with TAs and other students to make sure everything's more work well.
")</f>
        <v>And they had to also engage in a conversation with other people from other teams, uh, in the process that, uh, they were, uh, making those contributions.
Other task that we ask them to do something for our own course, and, uh, then, uh, engage in a conversation with TAs and other students to make sure everything's more work well.
</v>
      </c>
      <c r="D125" s="48" t="str">
        <f>IFERROR(__xludf.DUMMYFUNCTION("""COMPUTED_VALUE"""),"Make students engage with people from other teams in the classes.
Engage in a conversation with teacher assistants and other students to make sure everything's more work well.")</f>
        <v>Make students engage with people from other teams in the classes.
Engage in a conversation with teacher assistants and other students to make sure everything's more work well.</v>
      </c>
      <c r="E125" s="48" t="str">
        <f>IFERROR(__xludf.DUMMYFUNCTION("""COMPUTED_VALUE"""),"Make students engage with people from other teams in the classes.")</f>
        <v>Make students engage with people from other teams in the classes.</v>
      </c>
      <c r="F125" s="9" t="s">
        <v>321</v>
      </c>
      <c r="G125" s="9" t="s">
        <v>16</v>
      </c>
      <c r="H125" s="25"/>
    </row>
    <row r="126">
      <c r="A126" s="46">
        <v>193.0</v>
      </c>
      <c r="B126" s="47" t="s">
        <v>191</v>
      </c>
      <c r="C126" s="15" t="str">
        <f>IFERROR(__xludf.DUMMYFUNCTION("filter('Imported Recommendations'!B:D,'Imported Recommendations'!A:A=A126)"),"if it was up to me, I would put some time to laying the background. And I'm talking about basics of DevOps and basics of some tools that are mainly used by everyone.")</f>
        <v>if it was up to me, I would put some time to laying the background. And I'm talking about basics of DevOps and basics of some tools that are mainly used by everyone.</v>
      </c>
      <c r="D126" s="48" t="str">
        <f>IFERROR(__xludf.DUMMYFUNCTION("""COMPUTED_VALUE"""),"Teacher assistants help students with basics of DevOps concepts and tools.")</f>
        <v>Teacher assistants help students with basics of DevOps concepts and tools.</v>
      </c>
      <c r="E126" s="48"/>
      <c r="F126" s="9" t="s">
        <v>322</v>
      </c>
      <c r="G126" s="9" t="s">
        <v>73</v>
      </c>
      <c r="H126" s="9"/>
    </row>
    <row r="127">
      <c r="A127" s="46">
        <v>195.0</v>
      </c>
      <c r="B127" s="47" t="s">
        <v>191</v>
      </c>
      <c r="C127" s="15" t="str">
        <f>IFERROR(__xludf.DUMMYFUNCTION("filter('Imported Recommendations'!B:D,'Imported Recommendations'!A:A=A127)"),"So I had to find one that was dying and, uh, hopefully the colleague who was handling his dying course forgot to answer to an email.")</f>
        <v>So I had to find one that was dying and, uh, hopefully the colleague who was handling his dying course forgot to answer to an email.</v>
      </c>
      <c r="D127" s="48" t="str">
        <f>IFERROR(__xludf.DUMMYFUNCTION("""COMPUTED_VALUE"""),"Look for a dying course to include a DevOps one in the curriculum.")</f>
        <v>Look for a dying course to include a DevOps one in the curriculum.</v>
      </c>
      <c r="E127" s="48"/>
      <c r="F127" s="9" t="s">
        <v>323</v>
      </c>
      <c r="G127" s="9" t="s">
        <v>10</v>
      </c>
      <c r="H127" s="9"/>
    </row>
    <row r="128">
      <c r="A128" s="46">
        <v>196.0</v>
      </c>
      <c r="B128" s="47" t="s">
        <v>191</v>
      </c>
      <c r="C128" s="15" t="str">
        <f>IFERROR(__xludf.DUMMYFUNCTION("filter('Imported Recommendations'!B:D,'Imported Recommendations'!A:A=A128)"),"So it's constantly discussing and constantly sharing in an open way, uh, what's happening, how it's teach, uh, how it's story telling and how, how things are going.")</f>
        <v>So it's constantly discussing and constantly sharing in an open way, uh, what's happening, how it's teach, uh, how it's story telling and how, how things are going.</v>
      </c>
      <c r="D128" s="48" t="str">
        <f>IFERROR(__xludf.DUMMYFUNCTION("""COMPUTED_VALUE"""),"Constantly discuss and share the DevOps teaching in an open way.")</f>
        <v>Constantly discuss and share the DevOps teaching in an open way.</v>
      </c>
      <c r="E128" s="48"/>
      <c r="F128" s="9" t="s">
        <v>324</v>
      </c>
      <c r="G128" s="25" t="s">
        <v>325</v>
      </c>
      <c r="H128" s="25"/>
    </row>
    <row r="129">
      <c r="A129" s="46">
        <v>198.0</v>
      </c>
      <c r="B129" s="47" t="s">
        <v>191</v>
      </c>
      <c r="C129" s="15" t="str">
        <f>IFERROR(__xludf.DUMMYFUNCTION("filter('Imported Recommendations'!B:D,'Imported Recommendations'!A:A=A129)"),"we use the bluemix, uh, platform from, uh, IBM, that was really, everything was integrated and those kinds of things that was really good in a way,")</f>
        <v>we use the bluemix, uh, platform from, uh, IBM, that was really, everything was integrated and those kinds of things that was really good in a way,</v>
      </c>
      <c r="D129" s="48" t="str">
        <f>IFERROR(__xludf.DUMMYFUNCTION("""COMPUTED_VALUE"""),"DevOps tools are well integrated in Bluemix platform from IBM.")</f>
        <v>DevOps tools are well integrated in Bluemix platform from IBM.</v>
      </c>
      <c r="E129" s="48"/>
      <c r="F129" s="9" t="s">
        <v>326</v>
      </c>
      <c r="G129" s="9" t="s">
        <v>18</v>
      </c>
      <c r="H129" s="9"/>
    </row>
    <row r="130">
      <c r="A130" s="46">
        <v>199.0</v>
      </c>
      <c r="B130" s="47" t="s">
        <v>191</v>
      </c>
      <c r="C130" s="15" t="str">
        <f>IFERROR(__xludf.DUMMYFUNCTION("filter('Imported Recommendations'!B:D,'Imported Recommendations'!A:A=A130)"),"And it was selected by 80% of the cohort, which usually an elective course is like 20%. So is it like we had a lot of students inside these insights because they all wanted to learn about devops.")</f>
        <v>And it was selected by 80% of the cohort, which usually an elective course is like 20%. So is it like we had a lot of students inside these insights because they all wanted to learn about devops.</v>
      </c>
      <c r="D130" s="48" t="str">
        <f>IFERROR(__xludf.DUMMYFUNCTION("""COMPUTED_VALUE"""),"DevOps course as elective course have students that wanted to learn about DevOps.")</f>
        <v>DevOps course as elective course have students that wanted to learn about DevOps.</v>
      </c>
      <c r="E130" s="48"/>
      <c r="F130" s="9" t="s">
        <v>327</v>
      </c>
      <c r="G130" s="9" t="s">
        <v>10</v>
      </c>
      <c r="H130" s="9"/>
    </row>
  </sheetData>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4.14"/>
    <col customWidth="1" min="2" max="2" width="24.14"/>
    <col customWidth="1" min="3" max="3" width="106.86"/>
    <col customWidth="1" min="4" max="5" width="59.0"/>
    <col customWidth="1" min="6" max="6" width="28.71"/>
    <col customWidth="1" min="7" max="7" width="40.57"/>
    <col customWidth="1" min="8" max="8" width="47.43"/>
  </cols>
  <sheetData>
    <row r="1">
      <c r="A1" s="1" t="s">
        <v>0</v>
      </c>
      <c r="B1" s="28" t="s">
        <v>1</v>
      </c>
      <c r="C1" s="3" t="s">
        <v>2</v>
      </c>
      <c r="D1" s="18" t="s">
        <v>3</v>
      </c>
      <c r="E1" s="18" t="s">
        <v>4</v>
      </c>
      <c r="F1" s="5" t="s">
        <v>5</v>
      </c>
      <c r="G1" s="6" t="s">
        <v>6</v>
      </c>
      <c r="H1" s="6" t="s">
        <v>7</v>
      </c>
    </row>
    <row r="2">
      <c r="A2" s="7">
        <v>16.0</v>
      </c>
      <c r="B2" s="8" t="s">
        <v>191</v>
      </c>
      <c r="C2" s="7" t="str">
        <f>IFERROR(__xludf.DUMMYFUNCTION("filter('Imported Recommendations'!B:D,'Imported Recommendations'!A:A=A2)"),"The importance of actually having a discipline like this in the curriculum talking about these themes.
We are going through a matrix reformulation process,[...] this part of the workload and this discipline, really, the usefulness and one of the defenses"&amp;" that were made, was precisely that the discipline existed in the course, precisely because at another time, these topics would not be considered. So that's why it's important to have a discipline like that in the curriculum talking about these themes.
I"&amp;"n a course like ours, in development, having a discipline like this, I think it is important indeed.
")</f>
        <v>The importance of actually having a discipline like this in the curriculum talking about these themes.
We are going through a matrix reformulation process,[...] this part of the workload and this discipline, really, the usefulness and one of the defenses that were made, was precisely that the discipline existed in the course, precisely because at another time, these topics would not be considered. So that's why it's important to have a discipline like that in the curriculum talking about these themes.
In a course like ours, in development, having a discipline like this, I think it is important indeed.
</v>
      </c>
      <c r="D2" s="7" t="str">
        <f>IFERROR(__xludf.DUMMYFUNCTION("""COMPUTED_VALUE"""),"DevOps deserves a discipline in the curriculum.
Be concerned with the course's curriculum, maintaining and creating DevOps disciplines.
DevOps deserves a discipline in the curriculum of courses focused on software development.")</f>
        <v>DevOps deserves a discipline in the curriculum.
Be concerned with the course's curriculum, maintaining and creating DevOps disciplines.
DevOps deserves a discipline in the curriculum of courses focused on software development.</v>
      </c>
      <c r="E2" s="7" t="str">
        <f>IFERROR(__xludf.DUMMYFUNCTION("""COMPUTED_VALUE"""),"DevOps deserves a discipline in the curriculum.")</f>
        <v>DevOps deserves a discipline in the curriculum.</v>
      </c>
      <c r="F2" s="9" t="s">
        <v>328</v>
      </c>
      <c r="G2" s="19" t="s">
        <v>10</v>
      </c>
      <c r="H2" s="6"/>
    </row>
    <row r="3">
      <c r="A3" s="7">
        <v>18.0</v>
      </c>
      <c r="B3" s="8" t="s">
        <v>191</v>
      </c>
      <c r="C3" s="7" t="str">
        <f>IFERROR(__xludf.DUMMYFUNCTION("filter('Imported Recommendations'!B:D,'Imported Recommendations'!A:A=A3)"),"We can monitor this part of the evaluation a lot due to their activity. So part of it is the cloud system tool that allows us to do this monitoring.")</f>
        <v>We can monitor this part of the evaluation a lot due to their activity. So part of it is the cloud system tool that allows us to do this monitoring.</v>
      </c>
      <c r="D3" s="7" t="str">
        <f>IFERROR(__xludf.DUMMYFUNCTION("""COMPUTED_VALUE"""),"Monitoring of students through activities in a learning support environment.")</f>
        <v>Monitoring of students through activities in a learning support environment.</v>
      </c>
      <c r="E3" s="7"/>
      <c r="F3" s="9" t="s">
        <v>329</v>
      </c>
      <c r="G3" s="9" t="s">
        <v>18</v>
      </c>
      <c r="H3" s="9"/>
    </row>
    <row r="4">
      <c r="A4" s="7">
        <v>19.0</v>
      </c>
      <c r="B4" s="8" t="s">
        <v>191</v>
      </c>
      <c r="C4" s="7" t="str">
        <f>IFERROR(__xludf.DUMMYFUNCTION("filter('Imported Recommendations'!B:D,'Imported Recommendations'!A:A=A4)"),"Usually, they already arrive with the system, sometimes deployed in another environment, which is quite common for them to use this environment. Then we have to bring them in, asking them to use ours.")</f>
        <v>Usually, they already arrive with the system, sometimes deployed in another environment, which is quite common for them to use this environment. Then we have to bring them in, asking them to use ours.</v>
      </c>
      <c r="D4" s="7" t="str">
        <f>IFERROR(__xludf.DUMMYFUNCTION("""COMPUTED_VALUE"""),"Ask students to adopt the tools used by instructors.")</f>
        <v>Ask students to adopt the tools used by instructors.</v>
      </c>
      <c r="E4" s="7"/>
      <c r="F4" s="9" t="s">
        <v>330</v>
      </c>
      <c r="G4" s="9" t="s">
        <v>18</v>
      </c>
      <c r="H4" s="9"/>
    </row>
    <row r="5">
      <c r="A5" s="7">
        <v>21.0</v>
      </c>
      <c r="B5" s="8" t="s">
        <v>191</v>
      </c>
      <c r="C5" s="7" t="str">
        <f>IFERROR(__xludf.DUMMYFUNCTION("filter('Imported Recommendations'!B:D,'Imported Recommendations'!A:A=A5)"),"They use the system, and I always ask them to socialize. Now, of more remote education, we're doing that they associate what they did.  And when we are at this moment of socialization, the students can take advantage of the gain and knowledge that another"&amp;" team had in an aspect that, at times, they had not noticed.
 I teach them about social coding.
It's tough to get the students to be more social if you will, in their coding practices and do pair programming, uh, and follow the, get feature branch workf"&amp;"low. ")</f>
        <v>They use the system, and I always ask them to socialize. Now, of more remote education, we're doing that they associate what they did.  And when we are at this moment of socialization, the students can take advantage of the gain and knowledge that another team had in an aspect that, at times, they had not noticed.
 I teach them about social coding.
It's tough to get the students to be more social if you will, in their coding practices and do pair programming, uh, and follow the, get feature branch workflow. </v>
      </c>
      <c r="D5" s="7" t="str">
        <f>IFERROR(__xludf.DUMMYFUNCTION("""COMPUTED_VALUE"""),"Socializing knowledge acquired in practical activities is essential for learning.
Teach social coding.
Get the students to be more social in their coding practices and do pair programming ")</f>
        <v>Socializing knowledge acquired in practical activities is essential for learning.
Teach social coding.
Get the students to be more social in their coding practices and do pair programming </v>
      </c>
      <c r="E5" s="7" t="str">
        <f>IFERROR(__xludf.DUMMYFUNCTION("""COMPUTED_VALUE"""),"Teach social coding.")</f>
        <v>Teach social coding.</v>
      </c>
      <c r="F5" s="9" t="s">
        <v>331</v>
      </c>
      <c r="G5" s="9" t="s">
        <v>332</v>
      </c>
      <c r="H5" s="9"/>
    </row>
    <row r="6">
      <c r="A6" s="7">
        <v>22.0</v>
      </c>
      <c r="B6" s="8" t="s">
        <v>191</v>
      </c>
      <c r="C6" s="7" t="str">
        <f>IFERROR(__xludf.DUMMYFUNCTION("filter('Imported Recommendations'!B:D,'Imported Recommendations'!A:A=A6)"),"They choose to [...] put this system on the air for a customer to see, right? In this aspect, the client is the teachers themselves who are evaluating.")</f>
        <v>They choose to [...] put this system on the air for a customer to see, right? In this aspect, the client is the teachers themselves who are evaluating.</v>
      </c>
      <c r="D6" s="7" t="str">
        <f>IFERROR(__xludf.DUMMYFUNCTION("""COMPUTED_VALUE"""),"Adopt a more professional approach in which teachers act as clients.")</f>
        <v>Adopt a more professional approach in which teachers act as clients.</v>
      </c>
      <c r="E6" s="7"/>
      <c r="F6" s="9" t="s">
        <v>333</v>
      </c>
      <c r="G6" s="9" t="s">
        <v>332</v>
      </c>
      <c r="H6" s="12"/>
    </row>
    <row r="7">
      <c r="A7" s="7">
        <v>27.0</v>
      </c>
      <c r="B7" s="8" t="s">
        <v>191</v>
      </c>
      <c r="C7" s="7" t="str">
        <f>IFERROR(__xludf.DUMMYFUNCTION("filter('Imported Recommendations'!B:D,'Imported Recommendations'!A:A=A7)"),"In DevOps [...], the security teams are much more in understanding what it represents from the point of view of vulnerability management and architecture, from the network concerning the cloud.")</f>
        <v>In DevOps [...], the security teams are much more in understanding what it represents from the point of view of vulnerability management and architecture, from the network concerning the cloud.</v>
      </c>
      <c r="D7" s="7" t="str">
        <f>IFERROR(__xludf.DUMMYFUNCTION("""COMPUTED_VALUE"""),"Teach the part of cloud vulnerability, architecture, and network management to the security classes in DevOps.")</f>
        <v>Teach the part of cloud vulnerability, architecture, and network management to the security classes in DevOps.</v>
      </c>
      <c r="E7" s="7"/>
      <c r="F7" s="9" t="s">
        <v>334</v>
      </c>
      <c r="G7" s="9" t="s">
        <v>10</v>
      </c>
      <c r="H7" s="53"/>
    </row>
    <row r="8">
      <c r="A8" s="7">
        <v>30.0</v>
      </c>
      <c r="B8" s="8" t="s">
        <v>191</v>
      </c>
      <c r="C8" s="7" t="str">
        <f>IFERROR(__xludf.DUMMYFUNCTION("filter('Imported Recommendations'!B:D,'Imported Recommendations'!A:A=A8)"),"Having a unique mechanism and an initial step, the final step you want to reach within this test, makes it much easier when you teach, when you do, especially for examples.
Explain how the methodology can be applied, with examples and even tools.
I am n"&amp;"ot going to deliver a ready-made recipe. I am going to use different tools. diverse methodologies that are also tools for them to try to apply within their process.
The lab is like in the lab, because it's a very practical ...   we've implemented an appl"&amp;"ication, uh, a web application, which, uh, in, currently we are using the application we use is a banking application. It is the online banking where people can go in and create an account or transfer between accounts and do all those kind of thing.
In s"&amp;"ome topics, maybe it's introducing a bit more. So say that you're getting in the topic in the, in the lecture where, um, containers are, are relevant and then deployment is relevant. Then maybe the way is to discuss a bit more maybe than use Kubernetes an"&amp;"d Docker, give concrete examples and stuff like that that supports the reading that they have done.")</f>
        <v>Having a unique mechanism and an initial step, the final step you want to reach within this test, makes it much easier when you teach, when you do, especially for examples.
Explain how the methodology can be applied, with examples and even tools.
I am not going to deliver a ready-made recipe. I am going to use different tools. diverse methodologies that are also tools for them to try to apply within their process.
The lab is like in the lab, because it's a very practical ...   we've implemented an application, uh, a web application, which, uh, in, currently we are using the application we use is a banking application. It is the online banking where people can go in and create an account or transfer between accounts and do all those kind of thing.
In some topics, maybe it's introducing a bit more. So say that you're getting in the topic in the, in the lecture where, um, containers are, are relevant and then deployment is relevant. Then maybe the way is to discuss a bit more maybe than use Kubernetes and Docker, give concrete examples and stuff like that that supports the reading that they have done.</v>
      </c>
      <c r="D8" s="7" t="str">
        <f>IFERROR(__xludf.DUMMYFUNCTION("""COMPUTED_VALUE"""),"Make an example to the student in a practical context from the initial stage to the final step.
During the explanation of how to apply devops methodology, make use of example including tools.
Use different tools and methodologies.
Provide sample applic"&amp;"ation in the labs.
Show concrete examples when you are presenting some tool like Kubernetes and Docker.")</f>
        <v>Make an example to the student in a practical context from the initial stage to the final step.
During the explanation of how to apply devops methodology, make use of example including tools.
Use different tools and methodologies.
Provide sample application in the labs.
Show concrete examples when you are presenting some tool like Kubernetes and Docker.</v>
      </c>
      <c r="E8" s="7" t="str">
        <f>IFERROR(__xludf.DUMMYFUNCTION("""COMPUTED_VALUE"""),"Teach using examples.")</f>
        <v>Teach using examples.</v>
      </c>
      <c r="F8" s="9" t="s">
        <v>335</v>
      </c>
      <c r="G8" s="9" t="s">
        <v>336</v>
      </c>
      <c r="H8" s="53"/>
    </row>
    <row r="9">
      <c r="A9" s="7">
        <v>33.0</v>
      </c>
      <c r="B9" s="8" t="s">
        <v>191</v>
      </c>
      <c r="C9" s="7" t="str">
        <f>IFERROR(__xludf.DUMMYFUNCTION("filter('Imported Recommendations'!B:D,'Imported Recommendations'!A:A=A9)"),"Present [...] cases on how this translates, [...] eliminating the silos between operations and development.")</f>
        <v>Present [...] cases on how this translates, [...] eliminating the silos between operations and development.</v>
      </c>
      <c r="D9" s="7" t="str">
        <f>IFERROR(__xludf.DUMMYFUNCTION("""COMPUTED_VALUE"""),"Present the use case of devops, for example, the elimination of silos among the development team.
Identify the market use cases of devops such as the Google case and the relationship between DevOps and the SRE professional to illustrate the importance of"&amp;" DevOps concepts.
Try to use case study together labs.
Use lectures to show case studies and emphasize in some of the DevOps concepts.")</f>
        <v>Present the use case of devops, for example, the elimination of silos among the development team.
Identify the market use cases of devops such as the Google case and the relationship between DevOps and the SRE professional to illustrate the importance of DevOps concepts.
Try to use case study together labs.
Use lectures to show case studies and emphasize in some of the DevOps concepts.</v>
      </c>
      <c r="E9" s="7" t="str">
        <f>IFERROR(__xludf.DUMMYFUNCTION("""COMPUTED_VALUE"""),"Show use cases of DevOps.")</f>
        <v>Show use cases of DevOps.</v>
      </c>
      <c r="F9" s="9" t="s">
        <v>337</v>
      </c>
      <c r="G9" s="9" t="s">
        <v>24</v>
      </c>
      <c r="H9" s="53"/>
    </row>
    <row r="10">
      <c r="A10" s="7">
        <v>34.0</v>
      </c>
      <c r="B10" s="8" t="s">
        <v>191</v>
      </c>
      <c r="C10" s="15" t="str">
        <f>IFERROR(__xludf.DUMMYFUNCTION("filter('Imported Recommendations'!B:D,'Imported Recommendations'!A:A=A10)"),"Always start with culture before moving on to teaching or tool-based demonstration.")</f>
        <v>Always start with culture before moving on to teaching or tool-based demonstration.</v>
      </c>
      <c r="D10" s="15" t="str">
        <f>IFERROR(__xludf.DUMMYFUNCTION("""COMPUTED_VALUE"""),"Start teaching DevOps from the culture. Only then demonstrate with tools.")</f>
        <v>Start teaching DevOps from the culture. Only then demonstrate with tools.</v>
      </c>
      <c r="E10" s="15"/>
      <c r="F10" s="9" t="s">
        <v>338</v>
      </c>
      <c r="G10" s="9" t="s">
        <v>16</v>
      </c>
      <c r="H10" s="53"/>
    </row>
    <row r="11">
      <c r="A11" s="7">
        <v>36.0</v>
      </c>
      <c r="B11" s="8" t="s">
        <v>191</v>
      </c>
      <c r="C11" s="15" t="str">
        <f>IFERROR(__xludf.DUMMYFUNCTION("filter('Imported Recommendations'!B:D,'Imported Recommendations'!A:A=A11)"),"If it's a case where I don't have access to almost anything, I need to go to a cloud to take a class with the student, even if it doesn't involve the course itself. I need to do everything remote.
Everyone is already using Google or Amazon, with their Ku"&amp;"bernetes environments available for you to use.
The environment setup is key. What I would love to do is have an environment in the cloud. That's always consistent. That would kind of be the best.
The recommendation is we just get them off their local m"&amp;"achines and get them working off cloud servers or something like that. So that at least a, you can kind of script the stuff be if it gets messed up, there's no risk. You just tear it down and build a new one.
The third lab, that's what we do since last w"&amp;"inter. We didn't do it last summer, did deploy on, on, on AWS. So we have, we have built accounts on Amazon, so they can go all the way.
I think maybe the, um, the using external cloud services would give you the better in terms of DevOps philosophy, let"&amp;"'s say, because then you're really pushing and you bring stuff outside of the academy ecosystem.")</f>
        <v>If it's a case where I don't have access to almost anything, I need to go to a cloud to take a class with the student, even if it doesn't involve the course itself. I need to do everything remote.
Everyone is already using Google or Amazon, with their Kubernetes environments available for you to use.
The environment setup is key. What I would love to do is have an environment in the cloud. That's always consistent. That would kind of be the best.
The recommendation is we just get them off their local machines and get them working off cloud servers or something like that. So that at least a, you can kind of script the stuff be if it gets messed up, there's no risk. You just tear it down and build a new one.
The third lab, that's what we do since last winter. We didn't do it last summer, did deploy on, on, on AWS. So we have, we have built accounts on Amazon, so they can go all the way.
I think maybe the, um, the using external cloud services would give you the better in terms of DevOps philosophy, let's say, because then you're really pushing and you bring stuff outside of the academy ecosystem.</v>
      </c>
      <c r="D11" s="7" t="str">
        <f>IFERROR(__xludf.DUMMYFUNCTION("""COMPUTED_VALUE"""),"For a scenario with limited resources, it is recommended to make use of public cloud services.
Use available cloud services (AWS, Google) with Kubernetes.
Do environment setup in the cloud is the best option because they are always consistent.
Get stud"&amp;"ents off their local machines and get them working off cloud servers.
Make the students experiment how to use a cloud provider like AWS.
Using external cloud services would give you the better in terms of DevOps philosophy, because then you're really pu"&amp;"shing and you bring stuff outside of the academy ecosystem.")</f>
        <v>For a scenario with limited resources, it is recommended to make use of public cloud services.
Use available cloud services (AWS, Google) with Kubernetes.
Do environment setup in the cloud is the best option because they are always consistent.
Get students off their local machines and get them working off cloud servers.
Make the students experiment how to use a cloud provider like AWS.
Using external cloud services would give you the better in terms of DevOps philosophy, because then you're really pushing and you bring stuff outside of the academy ecosystem.</v>
      </c>
      <c r="E11" s="7" t="str">
        <f>IFERROR(__xludf.DUMMYFUNCTION("""COMPUTED_VALUE"""),"Use cloud provider services.")</f>
        <v>Use cloud provider services.</v>
      </c>
      <c r="F11" s="9" t="s">
        <v>339</v>
      </c>
      <c r="G11" s="9" t="s">
        <v>18</v>
      </c>
      <c r="H11" s="53"/>
    </row>
    <row r="12">
      <c r="A12" s="7">
        <v>37.0</v>
      </c>
      <c r="B12" s="8" t="s">
        <v>191</v>
      </c>
      <c r="C12" s="7" t="str">
        <f>IFERROR(__xludf.DUMMYFUNCTION("filter('Imported Recommendations'!B:D,'Imported Recommendations'!A:A=A12)"),"Put the student in an efficient context; he can see in class a tool that he has probably seen someone using in the company or has heard of. This makes for much better immersion in class.
So, suppose someone had a more traumatic experience at such a stage"&amp;" of the delivery process. In that case, you know how to use it at the right time with them and impersonate with them, talk, look, as you told me in that part, a solution that might work for you, again, because there is no ready-made solution, it would be "&amp;"to apply this technology to try to mitigate or resolve it.
I prefer to take it out during class to show the day-to-day blocks delivered in the end. However, the recommendation is to use the infrastructure blocks to feed your course, as didactics. Do you "&amp;"speak, look, remember the block we had? The dependency, the software is made in Java 8, and we tried to compile a machine that had Java 15. Do you see this problem? How do we solve it? We analyze, run some process analysis frameworks because we can use an"&amp;"y language as a tool, but use it as an experience.
  I spent a couple of discussing about the concepts discussing about the issues.")</f>
        <v>Put the student in an efficient context; he can see in class a tool that he has probably seen someone using in the company or has heard of. This makes for much better immersion in class.
So, suppose someone had a more traumatic experience at such a stage of the delivery process. In that case, you know how to use it at the right time with them and impersonate with them, talk, look, as you told me in that part, a solution that might work for you, again, because there is no ready-made solution, it would be to apply this technology to try to mitigate or resolve it.
I prefer to take it out during class to show the day-to-day blocks delivered in the end. However, the recommendation is to use the infrastructure blocks to feed your course, as didactics. Do you speak, look, remember the block we had? The dependency, the software is made in Java 8, and we tried to compile a machine that had Java 15. Do you see this problem? How do we solve it? We analyze, run some process analysis frameworks because we can use any language as a tool, but use it as an experience.
  I spent a couple of discussing about the concepts discussing about the issues.</v>
      </c>
      <c r="D12" s="7" t="str">
        <f>IFERROR(__xludf.DUMMYFUNCTION("""COMPUTED_VALUE"""),"Search for references from practical contexts experienced by students to easy the understanding, using popular tools.
During the explanations, make use of the difficulties, opinions and experiences faced by the students, pointing out solutions using Devo"&amp;"ps.
Use the difficulties with infrastructure in favor of learning, conducting discussions among students.
Promotes discussions about DevOps concepts and related issues.")</f>
        <v>Search for references from practical contexts experienced by students to easy the understanding, using popular tools.
During the explanations, make use of the difficulties, opinions and experiences faced by the students, pointing out solutions using Devops.
Use the difficulties with infrastructure in favor of learning, conducting discussions among students.
Promotes discussions about DevOps concepts and related issues.</v>
      </c>
      <c r="E12" s="7" t="str">
        <f>IFERROR(__xludf.DUMMYFUNCTION("""COMPUTED_VALUE"""),"Promotes discussions about DevOps concepts and related issues.")</f>
        <v>Promotes discussions about DevOps concepts and related issues.</v>
      </c>
      <c r="F12" s="9" t="s">
        <v>340</v>
      </c>
      <c r="G12" s="9" t="s">
        <v>27</v>
      </c>
      <c r="H12" s="53"/>
    </row>
    <row r="13">
      <c r="A13" s="7">
        <v>39.0</v>
      </c>
      <c r="B13" s="8" t="s">
        <v>191</v>
      </c>
      <c r="C13" s="7" t="str">
        <f>IFERROR(__xludf.DUMMYFUNCTION("filter('Imported Recommendations'!B:D,'Imported Recommendations'!A:A=A13)"),"This curriculum, a part of it, do you understand? With about forty percent, about sixty percent fixed, which is culture, main historical characteristics of how it came about, what does culture represent, what it changes about development processes, securi"&amp;"ty operations. The changeable part is the tools, where you will apply them or what matches you to the students within the classroom in the course syllabus.")</f>
        <v>This curriculum, a part of it, do you understand? With about forty percent, about sixty percent fixed, which is culture, main historical characteristics of how it came about, what does culture represent, what it changes about development processes, security operations. The changeable part is the tools, where you will apply them or what matches you to the students within the classroom in the course syllabus.</v>
      </c>
      <c r="D13" s="7" t="str">
        <f>IFERROR(__xludf.DUMMYFUNCTION("""COMPUTED_VALUE"""),"Half of the curriculum with DevOps concepts/culture. Half the curriculum with tools.")</f>
        <v>Half of the curriculum with DevOps concepts/culture. Half the curriculum with tools.</v>
      </c>
      <c r="E13" s="7"/>
      <c r="F13" s="9" t="s">
        <v>341</v>
      </c>
      <c r="G13" s="9" t="s">
        <v>10</v>
      </c>
      <c r="H13" s="53"/>
    </row>
    <row r="14">
      <c r="A14" s="7">
        <v>40.0</v>
      </c>
      <c r="B14" s="8" t="s">
        <v>191</v>
      </c>
      <c r="C14" s="7" t="str">
        <f>IFERROR(__xludf.DUMMYFUNCTION("filter('Imported Recommendations'!B:D,'Imported Recommendations'!A:A=A14)"),"For a project management class [...], I often had to introduce [...] based on direct analogies or analogies with other scenarios he has already encountered in the product management part to understand what I was speaking.")</f>
        <v>For a project management class [...], I often had to introduce [...] based on direct analogies or analogies with other scenarios he has already encountered in the product management part to understand what I was speaking.</v>
      </c>
      <c r="D14" s="7" t="str">
        <f>IFERROR(__xludf.DUMMYFUNCTION("""COMPUTED_VALUE"""),"For project management class, it is necessary to introduce DevOps through direct analogies or using scenarios known to them during teaching.")</f>
        <v>For project management class, it is necessary to introduce DevOps through direct analogies or using scenarios known to them during teaching.</v>
      </c>
      <c r="E14" s="7"/>
      <c r="F14" s="9" t="s">
        <v>342</v>
      </c>
      <c r="G14" s="9" t="s">
        <v>27</v>
      </c>
      <c r="H14" s="53"/>
    </row>
    <row r="15">
      <c r="A15" s="7">
        <v>43.0</v>
      </c>
      <c r="B15" s="8" t="s">
        <v>191</v>
      </c>
      <c r="C15" s="7" t="str">
        <f>IFERROR(__xludf.DUMMYFUNCTION("filter('Imported Recommendations'!B:D,'Imported Recommendations'!A:A=A15)"),"And DevOps a lot in seeing this; they have different backgrounds, have other life stories, experiences that marked them in different ways and knowing when to present a new tool, listen to what these people have.
So I let them know that if you asked me th"&amp;"e same question a second time, I promise I won't answer it the same way. I'll try to find some different way to make that connection with you. Right? So that you understand it, given the background that you have. Given the skills that you have. Uh, so aga"&amp;"in, I try to immerse them in this culture.")</f>
        <v>And DevOps a lot in seeing this; they have different backgrounds, have other life stories, experiences that marked them in different ways and knowing when to present a new tool, listen to what these people have.
So I let them know that if you asked me the same question a second time, I promise I won't answer it the same way. I'll try to find some different way to make that connection with you. Right? So that you understand it, given the background that you have. Given the skills that you have. Uh, so again, I try to immerse them in this culture.</v>
      </c>
      <c r="D15" s="7" t="str">
        <f>IFERROR(__xludf.DUMMYFUNCTION("""COMPUTED_VALUE"""),"We seek a communication between students and teachers, where attention is paid to the students' opinions.
Teaching customized based on students background.")</f>
        <v>We seek a communication between students and teachers, where attention is paid to the students' opinions.
Teaching customized based on students background.</v>
      </c>
      <c r="E15" s="7" t="str">
        <f>IFERROR(__xludf.DUMMYFUNCTION("""COMPUTED_VALUE"""),"Customize the teaching based on students background.")</f>
        <v>Customize the teaching based on students background.</v>
      </c>
      <c r="F15" s="9" t="s">
        <v>343</v>
      </c>
      <c r="G15" s="9" t="s">
        <v>27</v>
      </c>
      <c r="H15" s="53"/>
    </row>
    <row r="16">
      <c r="A16" s="7">
        <v>45.0</v>
      </c>
      <c r="B16" s="8" t="s">
        <v>191</v>
      </c>
      <c r="C16" s="7" t="str">
        <f>IFERROR(__xludf.DUMMYFUNCTION("filter('Imported Recommendations'!B:D,'Imported Recommendations'!A:A=A16)"),"All the devops tooling behind it like [...] the ansible or terraform here, or any of those other flavors of automaters and deployment and stuff like that you can use.
I am going to upload the environment here on AWS using Terraform. So, provision the stu"&amp;"dents' machines with TerraForm, explain to the students what you are doing, at the right time, on schedule, but decouple the need for the infrastructure.")</f>
        <v>All the devops tooling behind it like [...] the ansible or terraform here, or any of those other flavors of automaters and deployment and stuff like that you can use.
I am going to upload the environment here on AWS using Terraform. So, provision the students' machines with TerraForm, explain to the students what you are doing, at the right time, on schedule, but decouple the need for the infrastructure.</v>
      </c>
      <c r="D16" s="7" t="str">
        <f>IFERROR(__xludf.DUMMYFUNCTION("""COMPUTED_VALUE"""),"Terraform as a deployment automation tool can be used in teaching devops.
Use Terraform as a provisioning tool (Infrastructure as Code).")</f>
        <v>Terraform as a deployment automation tool can be used in teaching devops.
Use Terraform as a provisioning tool (Infrastructure as Code).</v>
      </c>
      <c r="E16" s="7" t="str">
        <f>IFERROR(__xludf.DUMMYFUNCTION("""COMPUTED_VALUE"""),"Terraform as a deployment provisioning tool can be used in teaching devops.")</f>
        <v>Terraform as a deployment provisioning tool can be used in teaching devops.</v>
      </c>
      <c r="F16" s="9" t="s">
        <v>344</v>
      </c>
      <c r="G16" s="9" t="s">
        <v>18</v>
      </c>
      <c r="H16" s="53"/>
    </row>
    <row r="17">
      <c r="A17" s="7">
        <v>46.0</v>
      </c>
      <c r="B17" s="8" t="s">
        <v>191</v>
      </c>
      <c r="C17" s="7" t="str">
        <f>IFERROR(__xludf.DUMMYFUNCTION("filter('Imported Recommendations'!B:D,'Imported Recommendations'!A:A=A17)"),"To put your hand on something, at least once every, depends a lot [...] on the schedule, but every, I'll put it every eight hours is a very subjective metric, but if you give something practical every eight hours with examples for the student to interact,"&amp;" so you don't stay in a lecture for hours on end talking, it's essential to know how to divide and balance.
He has up to twenty, twenty-five minutes, he has your attention. So, if you cannot break that, alternate the tone of voice you speak, interact wit"&amp;"h him. If you just talk, you quickly lose the student after twenty minutes.
We need to adapt to the environment and try, every twenty to thirty minutes, to interact with the student so that he does something to keep his attention [...] Always propose cha"&amp;"llenges.")</f>
        <v>To put your hand on something, at least once every, depends a lot [...] on the schedule, but every, I'll put it every eight hours is a very subjective metric, but if you give something practical every eight hours with examples for the student to interact, so you don't stay in a lecture for hours on end talking, it's essential to know how to divide and balance.
He has up to twenty, twenty-five minutes, he has your attention. So, if you cannot break that, alternate the tone of voice you speak, interact with him. If you just talk, you quickly lose the student after twenty minutes.
We need to adapt to the environment and try, every twenty to thirty minutes, to interact with the student so that he does something to keep his attention [...] Always propose challenges.</v>
      </c>
      <c r="D17" s="7" t="str">
        <f>IFERROR(__xludf.DUMMYFUNCTION("""COMPUTED_VALUE"""),"Use practical examples regularly for the student to interact.
Interact with the student and break the tone of voice every 20 minutes, inhibiting their loss of attention.
Interact with the student to keep him alert, proposing challenges, for example.")</f>
        <v>Use practical examples regularly for the student to interact.
Interact with the student and break the tone of voice every 20 minutes, inhibiting their loss of attention.
Interact with the student to keep him alert, proposing challenges, for example.</v>
      </c>
      <c r="E17" s="7" t="str">
        <f>IFERROR(__xludf.DUMMYFUNCTION("""COMPUTED_VALUE"""),"Interact with the students.")</f>
        <v>Interact with the students.</v>
      </c>
      <c r="F17" s="9" t="s">
        <v>345</v>
      </c>
      <c r="G17" s="9" t="s">
        <v>16</v>
      </c>
      <c r="H17" s="53"/>
    </row>
    <row r="18">
      <c r="A18" s="7">
        <v>48.0</v>
      </c>
      <c r="B18" s="8" t="s">
        <v>191</v>
      </c>
      <c r="C18" s="7" t="str">
        <f>IFERROR(__xludf.DUMMYFUNCTION("filter('Imported Recommendations'!B:D,'Imported Recommendations'!A:A=A18)"),"So, I think it's essential for you to break both the tone of voice, the didactics you're using, put examples, you'll explain something theoretical, like Lean, for example, does an exercise that simulates the Lean process, not in software, it can even be w"&amp;"ith software, it can be with blocks, use Trello, interact with the student because if you spend more than twenty minutes talking, anyway, any situation, even in a typical lecture, you lose the student, you lose the audience.")</f>
        <v>So, I think it's essential for you to break both the tone of voice, the didactics you're using, put examples, you'll explain something theoretical, like Lean, for example, does an exercise that simulates the Lean process, not in software, it can even be with software, it can be with blocks, use Trello, interact with the student because if you spend more than twenty minutes talking, anyway, any situation, even in a typical lecture, you lose the student, you lose the audience.</v>
      </c>
      <c r="D18" s="7" t="str">
        <f>IFERROR(__xludf.DUMMYFUNCTION("""COMPUTED_VALUE"""),"Use examples with students to teach theory. For instance, we are using blocks or Trello to teach Lean.")</f>
        <v>Use examples with students to teach theory. For instance, we are using blocks or Trello to teach Lean.</v>
      </c>
      <c r="E18" s="7"/>
      <c r="F18" s="9" t="s">
        <v>346</v>
      </c>
      <c r="G18" s="9" t="s">
        <v>18</v>
      </c>
      <c r="H18" s="53"/>
    </row>
    <row r="19">
      <c r="A19" s="7">
        <v>49.0</v>
      </c>
      <c r="B19" s="8" t="s">
        <v>191</v>
      </c>
      <c r="C19" s="7" t="str">
        <f>IFERROR(__xludf.DUMMYFUNCTION("filter('Imported Recommendations'!B:D,'Imported Recommendations'!A:A=A19)"),"Suppose it's a class that, specifically, we were given the needs and characteristics before, such as access limitations, limited software installation on the machine. In that case, I prepare the class, and we have the schedule as a whole, which is ready; "&amp;"it has a beginning, middle, and an end.
If you are going to teach a software build class, for example, or unit testing, you need to assume that your class is in a certain place, let us say. You need to assume that your class is made up of developers, has"&amp;" a bit of knowledge and such, or you need to assume that your class does not have that much experience.")</f>
        <v>Suppose it's a class that, specifically, we were given the needs and characteristics before, such as access limitations, limited software installation on the machine. In that case, I prepare the class, and we have the schedule as a whole, which is ready; it has a beginning, middle, and an end.
If you are going to teach a software build class, for example, or unit testing, you need to assume that your class is in a certain place, let us say. You need to assume that your class is made up of developers, has a bit of knowledge and such, or you need to assume that your class does not have that much experience.</v>
      </c>
      <c r="D19" s="7" t="str">
        <f>IFERROR(__xludf.DUMMYFUNCTION("""COMPUTED_VALUE"""),"Seek to know in advance the needs and limitations of the class, such as installing software, for example, to create a more efficient schedule.
Identify the students' initial level of knowledge to do the course. For example, check if students can run unit"&amp;" tests that will be used in the software build class.")</f>
        <v>Seek to know in advance the needs and limitations of the class, such as installing software, for example, to create a more efficient schedule.
Identify the students' initial level of knowledge to do the course. For example, check if students can run unit tests that will be used in the software build class.</v>
      </c>
      <c r="E19" s="7" t="str">
        <f>IFERROR(__xludf.DUMMYFUNCTION("""COMPUTED_VALUE"""),"Seek to know in advance the needs and limitations of the class.")</f>
        <v>Seek to know in advance the needs and limitations of the class.</v>
      </c>
      <c r="F19" s="9" t="s">
        <v>347</v>
      </c>
      <c r="G19" s="9" t="s">
        <v>24</v>
      </c>
      <c r="H19" s="53"/>
    </row>
    <row r="20">
      <c r="A20" s="7">
        <v>51.0</v>
      </c>
      <c r="B20" s="8" t="s">
        <v>191</v>
      </c>
      <c r="C20" s="7" t="str">
        <f>IFERROR(__xludf.DUMMYFUNCTION("filter('Imported Recommendations'!B:D,'Imported Recommendations'!A:A=A20)"),"If it's a mixed class, we send students a document that shows them beforehand, right? What are the prerequisites for him to take the course, software, software versions, how to install, well documented.")</f>
        <v>If it's a mixed class, we send students a document that shows them beforehand, right? What are the prerequisites for him to take the course, software, software versions, how to install, well documented.</v>
      </c>
      <c r="D20" s="8" t="str">
        <f>IFERROR(__xludf.DUMMYFUNCTION("""COMPUTED_VALUE"""),"Share course prerequisites with students in advance.")</f>
        <v>Share course prerequisites with students in advance.</v>
      </c>
      <c r="E20" s="8"/>
      <c r="F20" s="9" t="s">
        <v>348</v>
      </c>
      <c r="G20" s="9" t="s">
        <v>24</v>
      </c>
      <c r="H20" s="53"/>
    </row>
    <row r="21">
      <c r="A21" s="7">
        <v>52.0</v>
      </c>
      <c r="B21" s="8" t="s">
        <v>191</v>
      </c>
      <c r="C21" s="15" t="str">
        <f>IFERROR(__xludf.DUMMYFUNCTION("filter('Imported Recommendations'!B:D,'Imported Recommendations'!A:A=A21)"),"These are documents that we send in separate stages of the course [...]. We break the infrastructure documents to do the Kaisen process within Lean-to unify the documentation so that the student understands the difficulty he faced and the problem he faces"&amp;" daily.
But it's been billed according to the right guidelines that we want them to use. So they can borrow heavily from the sample. They can see sample testifies, sample integration test, sample Docker files, componentization, et cetera.
We're building"&amp;" a couple of tutorials so that, you know, the ones that have less experience with certainly the testing can look at it.")</f>
        <v>These are documents that we send in separate stages of the course [...]. We break the infrastructure documents to do the Kaisen process within Lean-to unify the documentation so that the student understands the difficulty he faced and the problem he faces daily.
But it's been billed according to the right guidelines that we want them to use. So they can borrow heavily from the sample. They can see sample testifies, sample integration test, sample Docker files, componentization, et cetera.
We're building a couple of tutorials so that, you know, the ones that have less experience with certainly the testing can look at it.</v>
      </c>
      <c r="D21" s="15" t="str">
        <f>IFERROR(__xludf.DUMMYFUNCTION("""COMPUTED_VALUE"""),"Create student support examples and guidelines, breaks into parts to go through the steps gradually.
Create examples and guidelines to help students develop their solution based on it.
We're building a couple of tutorials so that the ones that have less"&amp;" experience can look at it.")</f>
        <v>Create student support examples and guidelines, breaks into parts to go through the steps gradually.
Create examples and guidelines to help students develop their solution based on it.
We're building a couple of tutorials so that the ones that have less experience can look at it.</v>
      </c>
      <c r="E21" s="15" t="str">
        <f>IFERROR(__xludf.DUMMYFUNCTION("""COMPUTED_VALUE"""),"Create tutorials to help students.")</f>
        <v>Create tutorials to help students.</v>
      </c>
      <c r="F21" s="9" t="s">
        <v>349</v>
      </c>
      <c r="G21" s="9" t="s">
        <v>24</v>
      </c>
      <c r="H21" s="53"/>
    </row>
    <row r="22">
      <c r="A22" s="7">
        <v>54.0</v>
      </c>
      <c r="B22" s="8" t="s">
        <v>191</v>
      </c>
      <c r="C22" s="15" t="str">
        <f>IFERROR(__xludf.DUMMYFUNCTION("filter('Imported Recommendations'!B:D,'Imported Recommendations'!A:A=A22)"),"From a didactic point of view, we leave one or two hours before each day; there is a specific infra team to answer any student's doubts.")</f>
        <v>From a didactic point of view, we leave one or two hours before each day; there is a specific infra team to answer any student's doubts.</v>
      </c>
      <c r="D22" s="15" t="str">
        <f>IFERROR(__xludf.DUMMYFUNCTION("""COMPUTED_VALUE"""),"There is a specific support team to answer students' questions about the related infrastructure part.")</f>
        <v>There is a specific support team to answer students' questions about the related infrastructure part.</v>
      </c>
      <c r="E22" s="15"/>
      <c r="F22" s="9" t="s">
        <v>350</v>
      </c>
      <c r="G22" s="9" t="s">
        <v>24</v>
      </c>
      <c r="H22" s="53"/>
    </row>
    <row r="23">
      <c r="A23" s="7">
        <v>55.0</v>
      </c>
      <c r="B23" s="8" t="s">
        <v>191</v>
      </c>
      <c r="C23" s="15" t="str">
        <f>IFERROR(__xludf.DUMMYFUNCTION("filter('Imported Recommendations'!B:D,'Imported Recommendations'!A:A=A23)"),"Realize how much you deviate because the student has a particular problem and loses his didactics a little. So, knowing how to limit it too, then work with the student, talk, look, and talk more calmly, because this situation is particular. There has to b"&amp;"e a breakpoint because otherwise, you'll lose the other students.")</f>
        <v>Realize how much you deviate because the student has a particular problem and loses his didactics a little. So, knowing how to limit it too, then work with the student, talk, look, and talk more calmly, because this situation is particular. There has to be a breakpoint because otherwise, you'll lose the other students.</v>
      </c>
      <c r="D23" s="15" t="str">
        <f>IFERROR(__xludf.DUMMYFUNCTION("""COMPUTED_VALUE"""),"Avoid messing around with specific problems faced by students, dealing in a personalized way at the right time.")</f>
        <v>Avoid messing around with specific problems faced by students, dealing in a personalized way at the right time.</v>
      </c>
      <c r="E23" s="15"/>
      <c r="F23" s="9" t="s">
        <v>351</v>
      </c>
      <c r="G23" s="9" t="s">
        <v>27</v>
      </c>
      <c r="H23" s="53"/>
    </row>
    <row r="24">
      <c r="A24" s="7">
        <v>57.0</v>
      </c>
      <c r="B24" s="8" t="s">
        <v>191</v>
      </c>
      <c r="C24" s="15" t="str">
        <f>IFERROR(__xludf.DUMMYFUNCTION("filter('Imported Recommendations'!B:D,'Imported Recommendations'!A:A=A24)"),"There must always be two tools, the stream that would be the zoom, Google Meet, any device that does that, Webex I don't know, it depends on the company.
Because of the remote learning  [...] I've been teaching my classes on zoom.")</f>
        <v>There must always be two tools, the stream that would be the zoom, Google Meet, any device that does that, Webex I don't know, it depends on the company.
Because of the remote learning  [...] I've been teaching my classes on zoom.</v>
      </c>
      <c r="D24" s="15" t="str">
        <f>IFERROR(__xludf.DUMMYFUNCTION("""COMPUTED_VALUE"""),"Use a streaming tool like Zoom, Google Meet, or Webex in remote learning scenario.
Use Zoom in remote learning scenario.")</f>
        <v>Use a streaming tool like Zoom, Google Meet, or Webex in remote learning scenario.
Use Zoom in remote learning scenario.</v>
      </c>
      <c r="E24" s="15" t="str">
        <f>IFERROR(__xludf.DUMMYFUNCTION("""COMPUTED_VALUE"""),"Use streaming tool like Zoom in remote learning scenario.")</f>
        <v>Use streaming tool like Zoom in remote learning scenario.</v>
      </c>
      <c r="F24" s="9" t="s">
        <v>352</v>
      </c>
      <c r="G24" s="9" t="s">
        <v>18</v>
      </c>
      <c r="H24" s="53"/>
    </row>
    <row r="25">
      <c r="A25" s="7">
        <v>58.0</v>
      </c>
      <c r="B25" s="8" t="s">
        <v>191</v>
      </c>
      <c r="C25" s="15" t="str">
        <f>IFERROR(__xludf.DUMMYFUNCTION("filter('Imported Recommendations'!B:D,'Imported Recommendations'!A:A=A25)"),"I prefer Notion even though I work for Trello's company; I prefer Notion for a reason. I can export it in Markdown and directly version all documentation. So, for each day of the course, all the commands that we run or the additional content, I list them,"&amp;" interact with them, and interact together.")</f>
        <v>I prefer Notion even though I work for Trello's company; I prefer Notion for a reason. I can export it in Markdown and directly version all documentation. So, for each day of the course, all the commands that we run or the additional content, I list them, interact with them, and interact together.</v>
      </c>
      <c r="D25" s="15" t="str">
        <f>IFERROR(__xludf.DUMMYFUNCTION("""COMPUTED_VALUE"""),"The Notion tool allows exporting to Markdown, enabling the versioning of documentation for each day of the course: all executed commands and additional content.")</f>
        <v>The Notion tool allows exporting to Markdown, enabling the versioning of documentation for each day of the course: all executed commands and additional content.</v>
      </c>
      <c r="E25" s="15"/>
      <c r="F25" s="9" t="s">
        <v>353</v>
      </c>
      <c r="G25" s="9" t="s">
        <v>18</v>
      </c>
      <c r="H25" s="53"/>
    </row>
    <row r="26">
      <c r="A26" s="7">
        <v>60.0</v>
      </c>
      <c r="B26" s="8" t="s">
        <v>191</v>
      </c>
      <c r="C26" s="15" t="str">
        <f>IFERROR(__xludf.DUMMYFUNCTION("filter('Imported Recommendations'!B:D,'Imported Recommendations'!A:A=A26)"),"We usually use Jenkins as an integration tool because it's open-source, it's everywhere, despite having other devices that do the job even better, but it's spread out, it's ancient.
The software [...] built with Jenkins.
Jenkins, you do not pay anything"&amp;", you install it on your server, and it has gone.
They need Jenkins. So either you tell them to go install Jenkins, or what I've done is I say, Hey, here's a Docker image for Jenkins.
Now I realize every day that I need testing and continuous, I mean, J"&amp;"enkins is my friend.
And, and, uh, so in terms of the continuous integration server, and there are many different services available, but can we use Jenkins because it is a, it is free and, and a lot of companies are using, but there are some other optio"&amp;"ns that can be used.
Let's go for something that we have more control on, uh, using for tools like Jenkins and and a stuff like Docker or Kubernetes was kind of good in a way to, uh, support the deployment and the, uh, like the building plus deployment s"&amp;"tuff.")</f>
        <v>We usually use Jenkins as an integration tool because it's open-source, it's everywhere, despite having other devices that do the job even better, but it's spread out, it's ancient.
The software [...] built with Jenkins.
Jenkins, you do not pay anything, you install it on your server, and it has gone.
They need Jenkins. So either you tell them to go install Jenkins, or what I've done is I say, Hey, here's a Docker image for Jenkins.
Now I realize every day that I need testing and continuous, I mean, Jenkins is my friend.
And, and, uh, so in terms of the continuous integration server, and there are many different services available, but can we use Jenkins because it is a, it is free and, and a lot of companies are using, but there are some other options that can be used.
Let's go for something that we have more control on, uh, using for tools like Jenkins and and a stuff like Docker or Kubernetes was kind of good in a way to, uh, support the deployment and the, uh, like the building plus deployment stuff.</v>
      </c>
      <c r="D26" s="15" t="str">
        <f>IFERROR(__xludf.DUMMYFUNCTION("""COMPUTED_VALUE"""),"Use a Continuous Integration tool. in particular, Jenkins is open source and very widespread. 
Use Jenkins to do continuous integration.
Use Jenkins.
Uses Jenkins through a Docker image.
Jenkins can be chosen as DevOps tool.
Jenkins can be use as con"&amp;"tinuous integration tool because it is free and lot of companies use it.
Use tools like Jenkins to have more control on support the deployment.")</f>
        <v>Use a Continuous Integration tool. in particular, Jenkins is open source and very widespread. 
Use Jenkins to do continuous integration.
Use Jenkins.
Uses Jenkins through a Docker image.
Jenkins can be chosen as DevOps tool.
Jenkins can be use as continuous integration tool because it is free and lot of companies use it.
Use tools like Jenkins to have more control on support the deployment.</v>
      </c>
      <c r="E26" s="15" t="str">
        <f>IFERROR(__xludf.DUMMYFUNCTION("""COMPUTED_VALUE"""),"Use Jenkins tool.")</f>
        <v>Use Jenkins tool.</v>
      </c>
      <c r="F26" s="9" t="s">
        <v>354</v>
      </c>
      <c r="G26" s="9" t="s">
        <v>18</v>
      </c>
      <c r="H26" s="53"/>
    </row>
    <row r="27">
      <c r="A27" s="7">
        <v>61.0</v>
      </c>
      <c r="B27" s="8" t="s">
        <v>191</v>
      </c>
      <c r="C27" s="15" t="str">
        <f>IFERROR(__xludf.DUMMYFUNCTION("filter('Imported Recommendations'!B:D,'Imported Recommendations'!A:A=A27)"),"Notion or Trello [...], you need to have a two-way tool where you and the student interact. Not a Gist, for example, because the Gist, although you can only release it because the student needs to put their feedback there too. [...] There are some tasks t"&amp;"hat we set up there, a post mortem of the process that fails; I need a feedback tool that the student can also interact with.")</f>
        <v>Notion or Trello [...], you need to have a two-way tool where you and the student interact. Not a Gist, for example, because the Gist, although you can only release it because the student needs to put their feedback there too. [...] There are some tasks that we set up there, a post mortem of the process that fails; I need a feedback tool that the student can also interact with.</v>
      </c>
      <c r="D27" s="15" t="str">
        <f>IFERROR(__xludf.DUMMYFUNCTION("""COMPUTED_VALUE"""),"Notion and Trello allow student and teacher interaction in two ways. Gist does not allow it.")</f>
        <v>Notion and Trello allow student and teacher interaction in two ways. Gist does not allow it.</v>
      </c>
      <c r="E27" s="15"/>
      <c r="F27" s="9" t="s">
        <v>355</v>
      </c>
      <c r="G27" s="9" t="s">
        <v>18</v>
      </c>
      <c r="H27" s="53"/>
    </row>
    <row r="28">
      <c r="A28" s="7">
        <v>63.0</v>
      </c>
      <c r="B28" s="8" t="s">
        <v>191</v>
      </c>
      <c r="C28" s="15" t="str">
        <f>IFERROR(__xludf.DUMMYFUNCTION("filter('Imported Recommendations'!B:D,'Imported Recommendations'!A:A=A28)"),"It would help if you observed each student and, and then, you have to listen a lot, too, what was the difficulty he had and where he arrived. So, then, we do a final assessment per student, but our perception of it. If he did well, if he had a lot of doub"&amp;"t, what was the point that generated the most suspicion for him?
I tell them, I am not going to grade you on what you submit. I'm going to grade you on how you got there because getting there is not the point. It's the journey, right? That's the point. ["&amp;"...] I teach them that every failure is a learning opportunity. If you fail and you learn something, you get credit. It's not a failure because you've learned something, we're here to learn.
You can't just grade what they submit. You have to watch how th"&amp;"ey're working.
For the assessment, as I said, I give them a lot of leeway in the beginning. Um, they can make mistakes on their Kanban board and still get full credit if they know what the mistakes are that they made. However, in later sprints, if they m"&amp;"ake the same mistakes, then I start taking points off.  So I give them time to learn, uh, so that they feel that they can make a few mistakes, take a few risks, um, and not get penalized for it.
 If there's problems, I'll tell you where there's problems "&amp;"and you can go fix it, go get it, right. Go, go make it, do what it's supposed to do. You know, because in industry we're, we don't just get a one and done shot. We keep at it until it works. And so I bring that to the table and I think that provides a li"&amp;"ttle less pressure on students.
I tend not to get quite as hyper-focused on right versus wrong answers. ... so treating it as, as more of an assessment of maybe architecture, if you will, or an assessment of approach, as opposed to this is right, this is"&amp;" wrong. Uh, I think that's been fairly well received.
So people need to feel comfortable sharing, if they've made a mistake or not thinking that they're gonna have their headquarters. Right. Um, so when talking about that, if students have never worked i"&amp;"n the context where, you know, people are blaming each other and stuff, it's difficult to understand I, to, to be concrete. And this is so crucial.")</f>
        <v>It would help if you observed each student and, and then, you have to listen a lot, too, what was the difficulty he had and where he arrived. So, then, we do a final assessment per student, but our perception of it. If he did well, if he had a lot of doubt, what was the point that generated the most suspicion for him?
I tell them, I am not going to grade you on what you submit. I'm going to grade you on how you got there because getting there is not the point. It's the journey, right? That's the point. [...] I teach them that every failure is a learning opportunity. If you fail and you learn something, you get credit. It's not a failure because you've learned something, we're here to learn.
You can't just grade what they submit. You have to watch how they're working.
For the assessment, as I said, I give them a lot of leeway in the beginning. Um, they can make mistakes on their Kanban board and still get full credit if they know what the mistakes are that they made. However, in later sprints, if they make the same mistakes, then I start taking points off.  So I give them time to learn, uh, so that they feel that they can make a few mistakes, take a few risks, um, and not get penalized for it.
 If there's problems, I'll tell you where there's problems and you can go fix it, go get it, right. Go, go make it, do what it's supposed to do. You know, because in industry we're, we don't just get a one and done shot. We keep at it until it works. And so I bring that to the table and I think that provides a little less pressure on students.
I tend not to get quite as hyper-focused on right versus wrong answers. ... so treating it as, as more of an assessment of maybe architecture, if you will, or an assessment of approach, as opposed to this is right, this is wrong. Uh, I think that's been fairly well received.
So people need to feel comfortable sharing, if they've made a mistake or not thinking that they're gonna have their headquarters. Right. Um, so when talking about that, if students have never worked in the context where, you know, people are blaming each other and stuff, it's difficult to understand I, to, to be concrete. And this is so crucial.</v>
      </c>
      <c r="D28" s="15" t="str">
        <f>IFERROR(__xludf.DUMMYFUNCTION("""COMPUTED_VALUE"""),"Individually assess the student's progress throughout the course.
Grade students based on their learning journey and mistakes, not on what they submit. What's important is how they get there, because every failure is learning opportunity.
Grade based ho"&amp;"w the students working their tasks and not only what they are submitting.
For the assessment, the students can make mistakes in the beginning without fear of being penalized.
Students can fix their code problems. In industry, we keep coding until it wor"&amp;"ks. It also provides a little less pressure on students.
Do not focus your assessment on right versus wrong answers.
Create an environment that students feel comfortable with sharing about their mistakes and learn how with their teammates.")</f>
        <v>Individually assess the student's progress throughout the course.
Grade students based on their learning journey and mistakes, not on what they submit. What's important is how they get there, because every failure is learning opportunity.
Grade based how the students working their tasks and not only what they are submitting.
For the assessment, the students can make mistakes in the beginning without fear of being penalized.
Students can fix their code problems. In industry, we keep coding until it works. It also provides a little less pressure on students.
Do not focus your assessment on right versus wrong answers.
Create an environment that students feel comfortable with sharing about their mistakes and learn how with their teammates.</v>
      </c>
      <c r="E28" s="15" t="str">
        <f>IFERROR(__xludf.DUMMYFUNCTION("""COMPUTED_VALUE"""),"Grade students based on their learning journey and mistakes. What's important is how they get there, because every failure is learning opportunity.")</f>
        <v>Grade students based on their learning journey and mistakes. What's important is how they get there, because every failure is learning opportunity.</v>
      </c>
      <c r="F28" s="9" t="s">
        <v>356</v>
      </c>
      <c r="G28" s="9" t="s">
        <v>29</v>
      </c>
      <c r="H28" s="53"/>
    </row>
    <row r="29">
      <c r="A29" s="7">
        <v>64.0</v>
      </c>
      <c r="B29" s="8" t="s">
        <v>191</v>
      </c>
      <c r="C29" s="15" t="str">
        <f>IFERROR(__xludf.DUMMYFUNCTION("filter('Imported Recommendations'!B:D,'Imported Recommendations'!A:A=A29)"),"They also assess the course at the end; we send you a link and recommend you do this, consider some topics to take the NPS; I think the NPS is the universal metric for assessment, I don't know if you put it under the puts under the radar, the Net Promoter"&amp;" Score, from zero to ten, where zero to zero to seven is Detractor, eight is passive, nine to ten is promoter based on a set of questions that you cannot induce the student.
When people come in to do this, this, this feedback with the students, understan"&amp;"d, the students also talk to a person who is not me, who on the last day, I leave, it is a recommendation I give, I leave the conference to leave the students at ease, talking to this person, they make a mistake during the training and the person got anno"&amp;"yed, and with you inside, they will be a little, a little afraid to expose, although it is also by email.
You need to get the feedback, you don't get the feedback, right? So, and when we, when the students do the student evaluation, of course don't write"&amp;" much. So it's much easier if you can trigger this question.")</f>
        <v>They also assess the course at the end; we send you a link and recommend you do this, consider some topics to take the NPS; I think the NPS is the universal metric for assessment, I don't know if you put it under the puts under the radar, the Net Promoter Score, from zero to ten, where zero to zero to seven is Detractor, eight is passive, nine to ten is promoter based on a set of questions that you cannot induce the student.
When people come in to do this, this, this feedback with the students, understand, the students also talk to a person who is not me, who on the last day, I leave, it is a recommendation I give, I leave the conference to leave the students at ease, talking to this person, they make a mistake during the training and the person got annoyed, and with you inside, they will be a little, a little afraid to expose, although it is also by email.
You need to get the feedback, you don't get the feedback, right? So, and when we, when the students do the student evaluation, of course don't write much. So it's much easier if you can trigger this question.</v>
      </c>
      <c r="D29" s="15" t="str">
        <f>IFERROR(__xludf.DUMMYFUNCTION("""COMPUTED_VALUE"""),"Evaluate the course, performing an NPS (Net Promoter Score) with students.
Teachers and monitors must not be present at the time of course evaluation by students.
Do not try to get feedback before a student assessment, as the student may feel fearful.")</f>
        <v>Evaluate the course, performing an NPS (Net Promoter Score) with students.
Teachers and monitors must not be present at the time of course evaluation by students.
Do not try to get feedback before a student assessment, as the student may feel fearful.</v>
      </c>
      <c r="E29" s="15" t="str">
        <f>IFERROR(__xludf.DUMMYFUNCTION("""COMPUTED_VALUE"""),"Evaluate the course.")</f>
        <v>Evaluate the course.</v>
      </c>
      <c r="F29" s="9" t="s">
        <v>357</v>
      </c>
      <c r="G29" s="9" t="s">
        <v>29</v>
      </c>
      <c r="H29" s="53"/>
    </row>
    <row r="30">
      <c r="A30" s="7">
        <v>66.0</v>
      </c>
      <c r="B30" s="8" t="s">
        <v>191</v>
      </c>
      <c r="C30" s="15" t="str">
        <f>IFERROR(__xludf.DUMMYFUNCTION("filter('Imported Recommendations'!B:D,'Imported Recommendations'!A:A=A30)"),"If possible, record at least one training for an autoscopy at the end. See if you have any language addiction, if there were any process that didn't fit the way you imagined, that would work, because when you're talking and doing, sometimes, there's a det"&amp;"ail that it shouldn't.")</f>
        <v>If possible, record at least one training for an autoscopy at the end. See if you have any language addiction, if there were any process that didn't fit the way you imagined, that would work, because when you're talking and doing, sometimes, there's a detail that it shouldn't.</v>
      </c>
      <c r="D30" s="15" t="str">
        <f>IFERROR(__xludf.DUMMYFUNCTION("""COMPUTED_VALUE"""),"Record a training for the teacher to assess language addiction and whether the class flowed as planned.")</f>
        <v>Record a training for the teacher to assess language addiction and whether the class flowed as planned.</v>
      </c>
      <c r="E30" s="15"/>
      <c r="F30" s="9" t="s">
        <v>358</v>
      </c>
      <c r="G30" s="9" t="s">
        <v>29</v>
      </c>
      <c r="H30" s="53"/>
    </row>
    <row r="31">
      <c r="A31" s="7">
        <v>67.0</v>
      </c>
      <c r="B31" s="8" t="s">
        <v>191</v>
      </c>
      <c r="C31" s="15" t="str">
        <f>IFERROR(__xludf.DUMMYFUNCTION("filter('Imported Recommendations'!B:D,'Imported Recommendations'!A:A=A31)"),"Mixing, theoretical and practical [...] is essential.")</f>
        <v>Mixing, theoretical and practical [...] is essential.</v>
      </c>
      <c r="D31" s="15" t="str">
        <f>IFERROR(__xludf.DUMMYFUNCTION("""COMPUTED_VALUE"""),"It is essential to mix the teaching of the theoretical part and the practical part of DevOps.")</f>
        <v>It is essential to mix the teaching of the theoretical part and the practical part of DevOps.</v>
      </c>
      <c r="E31" s="15"/>
      <c r="F31" s="9" t="s">
        <v>359</v>
      </c>
      <c r="G31" s="9" t="s">
        <v>10</v>
      </c>
      <c r="H31" s="53"/>
    </row>
    <row r="32">
      <c r="A32" s="7">
        <v>69.0</v>
      </c>
      <c r="B32" s="8" t="s">
        <v>191</v>
      </c>
      <c r="C32" s="15" t="str">
        <f>IFERROR(__xludf.DUMMYFUNCTION("filter('Imported Recommendations'!B:D,'Imported Recommendations'!A:A=A32)"),"What is practical, from the menu, is to make an end-to-end software, [...] But, end-to-end, and the end, which is monitoring.")</f>
        <v>What is practical, from the menu, is to make an end-to-end software, [...] But, end-to-end, and the end, which is monitoring.</v>
      </c>
      <c r="D32" s="15" t="str">
        <f>IFERROR(__xludf.DUMMYFUNCTION("""COMPUTED_VALUE"""),"Make software from start to finish, going through the DevOps steps to the monitoring step.")</f>
        <v>Make software from start to finish, going through the DevOps steps to the monitoring step.</v>
      </c>
      <c r="E32" s="15"/>
      <c r="F32" s="9" t="s">
        <v>360</v>
      </c>
      <c r="G32" s="9" t="s">
        <v>10</v>
      </c>
      <c r="H32" s="53"/>
    </row>
    <row r="33">
      <c r="A33" s="7">
        <v>70.0</v>
      </c>
      <c r="B33" s="8" t="s">
        <v>191</v>
      </c>
      <c r="C33" s="15" t="str">
        <f>IFERROR(__xludf.DUMMYFUNCTION("filter('Imported Recommendations'!B:D,'Imported Recommendations'!A:A=A33)"),"Software build [...] deliver this to a VM, somehow, in the best way you understand, which is possible in your suite [...] You can provide it with Docker.")</f>
        <v>Software build [...] deliver this to a VM, somehow, in the best way you understand, which is possible in your suite [...] You can provide it with Docker.</v>
      </c>
      <c r="D33" s="15" t="str">
        <f>IFERROR(__xludf.DUMMYFUNCTION("""COMPUTED_VALUE"""),"Perform continuous delivery through virtual machines or with Docker.")</f>
        <v>Perform continuous delivery through virtual machines or with Docker.</v>
      </c>
      <c r="E33" s="15"/>
      <c r="F33" s="9" t="s">
        <v>361</v>
      </c>
      <c r="G33" s="9" t="s">
        <v>18</v>
      </c>
      <c r="H33" s="53"/>
    </row>
    <row r="34">
      <c r="A34" s="7">
        <v>72.0</v>
      </c>
      <c r="B34" s="8" t="s">
        <v>191</v>
      </c>
      <c r="C34" s="15" t="str">
        <f>IFERROR(__xludf.DUMMYFUNCTION("filter('Imported Recommendations'!B:D,'Imported Recommendations'!A:A=A34)"),"Of the menu is to make an end-to-end software, to understand the software in its conception. We already deliver this to the student, ready. Because we're not going to create the software from scratch, because the code is already kind of polished, it's a c"&amp;"ode from a forum in Java, where we have some features that depend on the machine to do the build, so we're going to decouple.")</f>
        <v>Of the menu is to make an end-to-end software, to understand the software in its conception. We already deliver this to the student, ready. Because we're not going to create the software from scratch, because the code is already kind of polished, it's a code from a forum in Java, where we have some features that depend on the machine to do the build, so we're going to decouple.</v>
      </c>
      <c r="D34" s="15" t="str">
        <f>IFERROR(__xludf.DUMMYFUNCTION("""COMPUTED_VALUE"""),"Use a complete example project from places such as a java discussion forum.")</f>
        <v>Use a complete example project from places such as a java discussion forum.</v>
      </c>
      <c r="E34" s="15"/>
      <c r="F34" s="9" t="s">
        <v>362</v>
      </c>
      <c r="G34" s="9" t="s">
        <v>10</v>
      </c>
      <c r="H34" s="53"/>
    </row>
    <row r="35">
      <c r="A35" s="7">
        <v>73.0</v>
      </c>
      <c r="B35" s="8" t="s">
        <v>191</v>
      </c>
      <c r="C35" s="15" t="str">
        <f>IFERROR(__xludf.DUMMYFUNCTION("filter('Imported Recommendations'!B:D,'Imported Recommendations'!A:A=A35)"),"So, the first thing, uncouple the database connection that is versioned in the source code. You can still version the String os; although it's not the best practice, you don't have to comment out the code to change the environment because TomCat will read"&amp;" it from there. Versioning in a git, using a continuous integration like Jenkins, for example, and a constant deploy, a continuous delivery with, it can be with an Ansible, it can be with any tool you deliver or in a VM or the Cloud.")</f>
        <v>So, the first thing, uncouple the database connection that is versioned in the source code. You can still version the String os; although it's not the best practice, you don't have to comment out the code to change the environment because TomCat will read it from there. Versioning in a git, using a continuous integration like Jenkins, for example, and a constant deploy, a continuous delivery with, it can be with an Ansible, it can be with any tool you deliver or in a VM or the Cloud.</v>
      </c>
      <c r="D35" s="15" t="str">
        <f>IFERROR(__xludf.DUMMYFUNCTION("""COMPUTED_VALUE"""),"Carry out the following practical activities during the course: the first step is to decouple the database connection from the system code, then version the code with Git, insert continuous integration with Jenkins, and finish with constant delivery using"&amp;" public cloud services or tools with Ansible.")</f>
        <v>Carry out the following practical activities during the course: the first step is to decouple the database connection from the system code, then version the code with Git, insert continuous integration with Jenkins, and finish with constant delivery using public cloud services or tools with Ansible.</v>
      </c>
      <c r="E35" s="15"/>
      <c r="F35" s="9" t="s">
        <v>363</v>
      </c>
      <c r="G35" s="9" t="s">
        <v>10</v>
      </c>
      <c r="H35" s="53"/>
    </row>
    <row r="36">
      <c r="A36" s="7">
        <v>75.0</v>
      </c>
      <c r="B36" s="8" t="s">
        <v>191</v>
      </c>
      <c r="C36" s="15" t="str">
        <f>IFERROR(__xludf.DUMMYFUNCTION("filter('Imported Recommendations'!B:D,'Imported Recommendations'!A:A=A36)"),"Within the menu, try to avoid making the student dependent on that stack you are teaching. So, if you're going to explain Jenkins, take half an hour to explain the pipeline in another tool, so he can see that it's possible. So he doesn't come out with the"&amp;" recipe ready. As much as we don't deliver it, the student creates a recipe in his head, and it won't fit in all of his daily routines. Then it will generate frustration. So, make it clear, look, can you see what we're doing? We're doing it for that reaso"&amp;"n, at Jenkins. Today we are going to use Bitbucket, for example, which is how we do it. One, as an example, correct?
They said: teacher, I can do it in such language, I can do it in such a platform, can I do it like this? [...] So, I am not going to say "&amp;"that there were, I do not know, six, seven, different environments, right? That there was, but let us put two or three, right, different ones. So, for us, professors, we are often not proficient in all of these, right? So, then the person will have to cla"&amp;"rify a doubt, then you say: man, I don't know. So, you decided to do it there, you kind of jump up, like, you know? The most we can do is try to convey the concepts, right? And when the person has a very big doubt like that, you say, boy, try to explain t"&amp;"o me how this technology is there that you are using see if I can at least translate the things that I know, that is it.")</f>
        <v>Within the menu, try to avoid making the student dependent on that stack you are teaching. So, if you're going to explain Jenkins, take half an hour to explain the pipeline in another tool, so he can see that it's possible. So he doesn't come out with the recipe ready. As much as we don't deliver it, the student creates a recipe in his head, and it won't fit in all of his daily routines. Then it will generate frustration. So, make it clear, look, can you see what we're doing? We're doing it for that reason, at Jenkins. Today we are going to use Bitbucket, for example, which is how we do it. One, as an example, correct?
They said: teacher, I can do it in such language, I can do it in such a platform, can I do it like this? [...] So, I am not going to say that there were, I do not know, six, seven, different environments, right? That there was, but let us put two or three, right, different ones. So, for us, professors, we are often not proficient in all of these, right? So, then the person will have to clarify a doubt, then you say: man, I don't know. So, you decided to do it there, you kind of jump up, like, you know? The most we can do is try to convey the concepts, right? And when the person has a very big doubt like that, you say, boy, try to explain to me how this technology is there that you are using see if I can at least translate the things that I know, that is it.</v>
      </c>
      <c r="D36" s="15" t="str">
        <f>IFERROR(__xludf.DUMMYFUNCTION("""COMPUTED_VALUE"""),"Show the student that there are several ways and tools to do the task.
Teach in a way that knowledge can be applied in different tools, but not focus on the possible specific problems of each technology.")</f>
        <v>Show the student that there are several ways and tools to do the task.
Teach in a way that knowledge can be applied in different tools, but not focus on the possible specific problems of each technology.</v>
      </c>
      <c r="E36" s="15" t="str">
        <f>IFERROR(__xludf.DUMMYFUNCTION("""COMPUTED_VALUE"""),"Show the student that there are several ways and tools to do the task.")</f>
        <v>Show the student that there are several ways and tools to do the task.</v>
      </c>
      <c r="F36" s="9" t="s">
        <v>364</v>
      </c>
      <c r="G36" s="9" t="s">
        <v>27</v>
      </c>
      <c r="H36" s="53"/>
    </row>
    <row r="37">
      <c r="A37" s="7">
        <v>76.0</v>
      </c>
      <c r="B37" s="8" t="s">
        <v>191</v>
      </c>
      <c r="C37" s="15" t="str">
        <f>IFERROR(__xludf.DUMMYFUNCTION("filter('Imported Recommendations'!B:D,'Imported Recommendations'!A:A=A37)"),"I ask the students to implement a straightforward system, which will serve the entire subject. In this minor system, we're going to have tested; there's going to be built, there's going to be continuous integration, there's going to be deployment, you kno"&amp;"w?
This part of the system, which I ask them to do to monitor the discipline [...] When you go to configure the tools and such, as you were the one who developed the system, it becomes easier, I believe for you to understand all the automation and such. "&amp;"However, at the same time, I see that the guys have much difficulty in doing it.")</f>
        <v>I ask the students to implement a straightforward system, which will serve the entire subject. In this minor system, we're going to have tested; there's going to be built, there's going to be continuous integration, there's going to be deployment, you know?
This part of the system, which I ask them to do to monitor the discipline [...] When you go to configure the tools and such, as you were the one who developed the system, it becomes easier, I believe for you to understand all the automation and such. However, at the same time, I see that the guys have much difficulty in doing it.</v>
      </c>
      <c r="D37" s="15" t="str">
        <f>IFERROR(__xludf.DUMMYFUNCTION("""COMPUTED_VALUE"""),"Use a simple example system made by students.
Students build their own systems during the course in order to increase their understanding of automation.")</f>
        <v>Use a simple example system made by students.
Students build their own systems during the course in order to increase their understanding of automation.</v>
      </c>
      <c r="E37" s="15" t="str">
        <f>IFERROR(__xludf.DUMMYFUNCTION("""COMPUTED_VALUE"""),"The students could build their own system during the course.")</f>
        <v>The students could build their own system during the course.</v>
      </c>
      <c r="F37" s="9" t="s">
        <v>365</v>
      </c>
      <c r="G37" s="9" t="s">
        <v>27</v>
      </c>
      <c r="H37" s="53"/>
    </row>
    <row r="38">
      <c r="A38" s="7">
        <v>78.0</v>
      </c>
      <c r="B38" s="8" t="s">
        <v>191</v>
      </c>
      <c r="C38" s="15" t="str">
        <f>IFERROR(__xludf.DUMMYFUNCTION("filter('Imported Recommendations'!B:D,'Imported Recommendations'!A:A=A38)"),"Because you have to have the mentality that you will have to get materials from different sources, right? ... you'll have to resort to gray literature, right, which is this literature from the blog, the medium, the Nubank or Netflix blog, which are sensat"&amp;"ional articles, but that don't have that scientific rigor, peer review, and such. So, like, I think the DevOps teacher needs to understand that he's in this environment, right?
Material heterogeneity is the biggest challenge [...] you have to set up a cl"&amp;"ass sewing the fonts. So, sometimes, for example, in my integration course, I have to give several concepts, right? For you to talk about continuous integration, you need to talk about version control. You need to talk about build. You need to talk about "&amp;"testing. There are several things that are part of continuous integration, right? So, git-flow is not in the book, you know? Branch, development models, that's not in the book.
Most of the references, the most interesting cases that I considered bringing"&amp;" to the room are posts on INFO2, on Metzone, Hacker News, Twitter posts, Airbnb case study, Glitch, Orbitz, and such; other cases of those that are much more interesting than necessarily, books or ""scientific academic"" articles.")</f>
        <v>Because you have to have the mentality that you will have to get materials from different sources, right? ... you'll have to resort to gray literature, right, which is this literature from the blog, the medium, the Nubank or Netflix blog, which are sensational articles, but that don't have that scientific rigor, peer review, and such. So, like, I think the DevOps teacher needs to understand that he's in this environment, right?
Material heterogeneity is the biggest challenge [...] you have to set up a class sewing the fonts. So, sometimes, for example, in my integration course, I have to give several concepts, right? For you to talk about continuous integration, you need to talk about version control. You need to talk about build. You need to talk about testing. There are several things that are part of continuous integration, right? So, git-flow is not in the book, you know? Branch, development models, that's not in the book.
Most of the references, the most interesting cases that I considered bringing to the room are posts on INFO2, on Metzone, Hacker News, Twitter posts, Airbnb case study, Glitch, Orbitz, and such; other cases of those that are much more interesting than necessarily, books or "scientific academic" articles.</v>
      </c>
      <c r="D38" s="15" t="str">
        <f>IFERROR(__xludf.DUMMYFUNCTION("""COMPUTED_VALUE"""),"Use various sources of DevOps study materials, such as gray literature, blog (medium, Nubank, Netflix).
It is necessary to make use of several sources when creating the course.
Information in gray literature is more interesting to illustrate DevOps use "&amp;"cases: posts on INFO2, Metzone, Hacker News, Twitter, Airbnb case studies, Glitch, Orbitz.")</f>
        <v>Use various sources of DevOps study materials, such as gray literature, blog (medium, Nubank, Netflix).
It is necessary to make use of several sources when creating the course.
Information in gray literature is more interesting to illustrate DevOps use cases: posts on INFO2, Metzone, Hacker News, Twitter, Airbnb case studies, Glitch, Orbitz.</v>
      </c>
      <c r="E38" s="15" t="str">
        <f>IFERROR(__xludf.DUMMYFUNCTION("""COMPUTED_VALUE"""),"Use various sources of DevOps materials.")</f>
        <v>Use various sources of DevOps materials.</v>
      </c>
      <c r="F38" s="9" t="s">
        <v>366</v>
      </c>
      <c r="G38" s="9" t="s">
        <v>367</v>
      </c>
      <c r="H38" s="53"/>
    </row>
    <row r="39">
      <c r="A39" s="7">
        <v>79.0</v>
      </c>
      <c r="B39" s="8" t="s">
        <v>191</v>
      </c>
      <c r="C39" s="15" t="str">
        <f>IFERROR(__xludf.DUMMYFUNCTION("filter('Imported Recommendations'!B:D,'Imported Recommendations'!A:A=A39)"),"This part of the system, which I ask them to do to follow the discipline, [...] I'm seriously thinking about the idea of ​​simply giving them a system.
If I make this system, I can pass it on to people in a much simpler way, right? How do they do things "&amp;"and such.")</f>
        <v>This part of the system, which I ask them to do to follow the discipline, [...] I'm seriously thinking about the idea of ​​simply giving them a system.
If I make this system, I can pass it on to people in a much simpler way, right? How do they do things and such.</v>
      </c>
      <c r="D39" s="15" t="str">
        <f>IFERROR(__xludf.DUMMYFUNCTION("""COMPUTED_VALUE"""),"Deliver a ready-made sample system for students to use.
Using an example system designed by the teacher will give more confidence in supporting students during the course.")</f>
        <v>Deliver a ready-made sample system for students to use.
Using an example system designed by the teacher will give more confidence in supporting students during the course.</v>
      </c>
      <c r="E39" s="15" t="str">
        <f>IFERROR(__xludf.DUMMYFUNCTION("""COMPUTED_VALUE"""),"Deliver a ready-made sample system for students to use.")</f>
        <v>Deliver a ready-made sample system for students to use.</v>
      </c>
      <c r="F39" s="9" t="s">
        <v>368</v>
      </c>
      <c r="G39" s="9" t="s">
        <v>27</v>
      </c>
      <c r="H39" s="53"/>
    </row>
    <row r="40">
      <c r="A40" s="7">
        <v>81.0</v>
      </c>
      <c r="B40" s="8" t="s">
        <v>191</v>
      </c>
      <c r="C40" s="15" t="str">
        <f>IFERROR(__xludf.DUMMYFUNCTION("filter('Imported Recommendations'!B:D,'Imported Recommendations'!A:A=A40)"),"You need to talk about version control; you need to talk about build; you need to talk about testing; several things are part of continuous integration. So, git-flow is not in the book, you know? Branch, development models, that's not in the book. Then yo"&amp;"u start going to blogs and such, you know? Then, you will talk about software testing; if you were a software engineering book, this part of testing is extremely weak, so it is highly conceptual; there is nothing. Then you can get the articles.
 I teach "&amp;"them about the git feature branch workflow.
Some of this even goes down to git right, because a lot of people coming in know something about git a lot don't um, in many ways, my opinion, which I realize is, is probably not widely shared is that even if w"&amp;"e were restricted from a software engineering department perspective, almost everything we're teaching should be retooled along devops lines, uh.
We've introduced recently is a notion of digital branches and feature branches, for example, uh, linked to s"&amp;"tories, but we try to just give them small individual tools.")</f>
        <v>You need to talk about version control; you need to talk about build; you need to talk about testing; several things are part of continuous integration. So, git-flow is not in the book, you know? Branch, development models, that's not in the book. Then you start going to blogs and such, you know? Then, you will talk about software testing; if you were a software engineering book, this part of testing is extremely weak, so it is highly conceptual; there is nothing. Then you can get the articles.
 I teach them about the git feature branch workflow.
Some of this even goes down to git right, because a lot of people coming in know something about git a lot don't um, in many ways, my opinion, which I realize is, is probably not widely shared is that even if we were restricted from a software engineering department perspective, almost everything we're teaching should be retooled along devops lines, uh.
We've introduced recently is a notion of digital branches and feature branches, for example, uh, linked to stories, but we try to just give them small individual tools.</v>
      </c>
      <c r="D40" s="15" t="str">
        <f>IFERROR(__xludf.DUMMYFUNCTION("""COMPUTED_VALUE"""),"Version control with git feature branch workflow, build, continuous integration, and software testing content should be taught.
Teach git feature branch workflow.
Use git to teach how to manage the code.
Introduce the notion of digital branches and fea"&amp;"ture branches using small individual tools.")</f>
        <v>Version control with git feature branch workflow, build, continuous integration, and software testing content should be taught.
Teach git feature branch workflow.
Use git to teach how to manage the code.
Introduce the notion of digital branches and feature branches using small individual tools.</v>
      </c>
      <c r="E40" s="15" t="str">
        <f>IFERROR(__xludf.DUMMYFUNCTION("""COMPUTED_VALUE"""),"Teach version control with git feature branch workflow.")</f>
        <v>Teach version control with git feature branch workflow.</v>
      </c>
      <c r="F40" s="9" t="s">
        <v>369</v>
      </c>
      <c r="G40" s="9" t="s">
        <v>10</v>
      </c>
      <c r="H40" s="53"/>
    </row>
    <row r="41">
      <c r="A41" s="7">
        <v>82.0</v>
      </c>
      <c r="B41" s="8" t="s">
        <v>191</v>
      </c>
      <c r="C41" s="15" t="str">
        <f>IFERROR(__xludf.DUMMYFUNCTION("filter('Imported Recommendations'!B:D,'Imported Recommendations'!A:A=A41)"),"Something I don't do. I realize that I will need to do it, but it's precisely documenting, right? Those fonts, in case you need to revisit, eh, eh, because it's so easy, right? You open a blog and stuff, you close the tab, and it died like that. So, someh"&amp;"ow you, you are always documenting, where you got it, where you got it from, keep these links, if you have to, if you need to revisit there in future versions of the course, I don't know.")</f>
        <v>Something I don't do. I realize that I will need to do it, but it's precisely documenting, right? Those fonts, in case you need to revisit, eh, eh, because it's so easy, right? You open a blog and stuff, you close the tab, and it died like that. So, somehow you, you are always documenting, where you got it, where you got it from, keep these links, if you have to, if you need to revisit there in future versions of the course, I don't know.</v>
      </c>
      <c r="D41" s="15" t="str">
        <f>IFERROR(__xludf.DUMMYFUNCTION("""COMPUTED_VALUE"""),"Document the consulted material, facilitating future access.")</f>
        <v>Document the consulted material, facilitating future access.</v>
      </c>
      <c r="E41" s="15"/>
      <c r="F41" s="9" t="s">
        <v>370</v>
      </c>
      <c r="G41" s="9" t="s">
        <v>24</v>
      </c>
      <c r="H41" s="53"/>
    </row>
    <row r="42">
      <c r="A42" s="7">
        <v>84.0</v>
      </c>
      <c r="B42" s="8" t="s">
        <v>191</v>
      </c>
      <c r="C42" s="15" t="str">
        <f>IFERROR(__xludf.DUMMYFUNCTION("filter('Imported Recommendations'!B:D,'Imported Recommendations'!A:A=A42)"),"Jenkins, let's put it this way, he, even though he's challenging because he's not the easiest thing in the world to set up. These pains, I also think it's essential for the guys [...] Jenkins you don't pay anything [...] These pains, I also believe it is "&amp;"necessary for the guys when you get something a CI that works in the cloud and such, notice, hey, look how easy.")</f>
        <v>Jenkins, let's put it this way, he, even though he's challenging because he's not the easiest thing in the world to set up. These pains, I also think it's essential for the guys [...] Jenkins you don't pay anything [...] These pains, I also believe it is necessary for the guys when you get something a CI that works in the cloud and such, notice, hey, look how easy.</v>
      </c>
      <c r="D42" s="15" t="str">
        <f>IFERROR(__xludf.DUMMYFUNCTION("""COMPUTED_VALUE"""),"The difficulties of configuring CI tools like Jenkins are essential to student learning, facilitating a future transition to cloud CI tools.")</f>
        <v>The difficulties of configuring CI tools like Jenkins are essential to student learning, facilitating a future transition to cloud CI tools.</v>
      </c>
      <c r="E42" s="15"/>
      <c r="F42" s="9" t="s">
        <v>371</v>
      </c>
      <c r="G42" s="9" t="s">
        <v>18</v>
      </c>
      <c r="H42" s="53"/>
    </row>
    <row r="43">
      <c r="A43" s="7">
        <v>85.0</v>
      </c>
      <c r="B43" s="8" t="s">
        <v>191</v>
      </c>
      <c r="C43" s="15" t="str">
        <f>IFERROR(__xludf.DUMMYFUNCTION("filter('Imported Recommendations'!B:D,'Imported Recommendations'!A:A=A43)"),"The recommendation would be that it would be to get tools that are minimally relevant, right? And so that you can present the different cost-benefits of each one.
I try to pick a few key ones.")</f>
        <v>The recommendation would be that it would be to get tools that are minimally relevant, right? And so that you can present the different cost-benefits of each one.
I try to pick a few key ones.</v>
      </c>
      <c r="D43" s="15" t="str">
        <f>IFERROR(__xludf.DUMMYFUNCTION("""COMPUTED_VALUE"""),"Introduce students to minimal relevant tools and their tradeoffs.
Use few key tools.")</f>
        <v>Introduce students to minimal relevant tools and their tradeoffs.
Use few key tools.</v>
      </c>
      <c r="E43" s="15" t="str">
        <f>IFERROR(__xludf.DUMMYFUNCTION("""COMPUTED_VALUE"""),"Use few key tools.")</f>
        <v>Use few key tools.</v>
      </c>
      <c r="F43" s="9" t="s">
        <v>372</v>
      </c>
      <c r="G43" s="9" t="s">
        <v>18</v>
      </c>
      <c r="H43" s="53"/>
    </row>
    <row r="44">
      <c r="A44" s="7">
        <v>87.0</v>
      </c>
      <c r="B44" s="8" t="s">
        <v>191</v>
      </c>
      <c r="C44" s="15" t="str">
        <f>IFERROR(__xludf.DUMMYFUNCTION("filter('Imported Recommendations'!B:D,'Imported Recommendations'!A:A=A44)"),"DevOps [...] In the specialization course [...] you can break all this content into more extensive disciplines.")</f>
        <v>DevOps [...] In the specialization course [...] you can break all this content into more extensive disciplines.</v>
      </c>
      <c r="D44" s="15" t="str">
        <f>IFERROR(__xludf.DUMMYFUNCTION("""COMPUTED_VALUE"""),"It is possible to break the teaching of DevOps into various disciplines in a DevOps specialization course.")</f>
        <v>It is possible to break the teaching of DevOps into various disciplines in a DevOps specialization course.</v>
      </c>
      <c r="E44" s="15"/>
      <c r="F44" s="9" t="s">
        <v>373</v>
      </c>
      <c r="G44" s="9" t="s">
        <v>10</v>
      </c>
      <c r="H44" s="53"/>
    </row>
    <row r="45">
      <c r="A45" s="7">
        <v>88.0</v>
      </c>
      <c r="B45" s="8" t="s">
        <v>191</v>
      </c>
      <c r="C45" s="15" t="str">
        <f>IFERROR(__xludf.DUMMYFUNCTION("filter('Imported Recommendations'!B:D,'Imported Recommendations'!A:A=A45)"),"So, there are some things that you cannot miss. All, if you see the cute little DevOps cycle figure there, right? All that part of compiling, testing, making, monitoring, and evaluating, I think all of this needs to be charged in some way; it has to come "&amp;"in somehow.
I would have some more, uh, time for, uh, for basics of, uh, basics of DevOps and the old technologies, and not only focus on the things that are, uh, that are very novel and very being developed right now. So, uh, because that would give stu"&amp;"dents a better opportunity to, uh, understand the, uh, the other things as well.
")</f>
        <v>So, there are some things that you cannot miss. All, if you see the cute little DevOps cycle figure there, right? All that part of compiling, testing, making, monitoring, and evaluating, I think all of this needs to be charged in some way; it has to come in somehow.
I would have some more, uh, time for, uh, for basics of, uh, basics of DevOps and the old technologies, and not only focus on the things that are, uh, that are very novel and very being developed right now. So, uh, because that would give students a better opportunity to, uh, understand the, uh, the other things as well.
</v>
      </c>
      <c r="D45" s="15" t="str">
        <f>IFERROR(__xludf.DUMMYFUNCTION("""COMPUTED_VALUE"""),"The basics of building, testing, deploying, and monitoring should be present in a DevOps course.
Not just focus on the current, but teach the basics of DevOps and older technologies to a better understanding.")</f>
        <v>The basics of building, testing, deploying, and monitoring should be present in a DevOps course.
Not just focus on the current, but teach the basics of DevOps and older technologies to a better understanding.</v>
      </c>
      <c r="E45" s="15" t="str">
        <f>IFERROR(__xludf.DUMMYFUNCTION("""COMPUTED_VALUE"""),"The basics of building, testing, deploying, and monitoring should be present in a DevOps course.")</f>
        <v>The basics of building, testing, deploying, and monitoring should be present in a DevOps course.</v>
      </c>
      <c r="F45" s="9" t="s">
        <v>253</v>
      </c>
      <c r="G45" s="9" t="s">
        <v>10</v>
      </c>
      <c r="H45" s="53"/>
    </row>
    <row r="46">
      <c r="A46" s="7">
        <v>90.0</v>
      </c>
      <c r="B46" s="8" t="s">
        <v>191</v>
      </c>
      <c r="C46" s="15" t="str">
        <f>IFERROR(__xludf.DUMMYFUNCTION("filter('Imported Recommendations'!B:D,'Imported Recommendations'!A:A=A46)"),"Training is limited [...] we will have to cut it, right? Focuses on tools, but which tools. So, this was a big challenge, so to think about which themes are essential, which means to teach, within each piece, right?")</f>
        <v>Training is limited [...] we will have to cut it, right? Focuses on tools, but which tools. So, this was a big challenge, so to think about which themes are essential, which means to teach, within each piece, right?</v>
      </c>
      <c r="D46" s="15" t="str">
        <f>IFERROR(__xludf.DUMMYFUNCTION("""COMPUTED_VALUE"""),"It is necessary to choose which topics and tools are essential as the course time is limited.")</f>
        <v>It is necessary to choose which topics and tools are essential as the course time is limited.</v>
      </c>
      <c r="E46" s="15"/>
      <c r="F46" s="9" t="s">
        <v>374</v>
      </c>
      <c r="G46" s="9" t="s">
        <v>24</v>
      </c>
      <c r="H46" s="53"/>
    </row>
    <row r="47">
      <c r="A47" s="7">
        <v>91.0</v>
      </c>
      <c r="B47" s="8" t="s">
        <v>191</v>
      </c>
      <c r="C47" s="15" t="str">
        <f>IFERROR(__xludf.DUMMYFUNCTION("filter('Imported Recommendations'!B:D,'Imported Recommendations'!A:A=A47)"),"the recommendation is to look at the market, search, see on Twitter, discussion groups, see what's hot on Google Trends. To know how to choose a tool that is more popular, right? That it is used more and that more people can enjoy the content there, right"&amp;"? Because they are tools they are already used to using.
The recommendation is to see what the market is using, right? Moreover, trying to go with what is most used, like, it was no use messing with CRIO if everyone uses Docker.
 I also try to use a set"&amp;" of tools that are popular in the industry.
It is very critical to teach them tools that are relevant and tools that will help them get a job.
Setting up good logging monitoring notifications, some of these other open source tools that provide that kind"&amp;" of those kinds of capabilities. ... So I try to pick a representative sample open source, always cause I don't want people to be buying things.
 I try to use as much as possible with tools that people use in industry and companies.
I wanted to go with "&amp;"open source technologies so I can explain later how we build the labs.")</f>
        <v>the recommendation is to look at the market, search, see on Twitter, discussion groups, see what's hot on Google Trends. To know how to choose a tool that is more popular, right? That it is used more and that more people can enjoy the content there, right? Because they are tools they are already used to using.
The recommendation is to see what the market is using, right? Moreover, trying to go with what is most used, like, it was no use messing with CRIO if everyone uses Docker.
 I also try to use a set of tools that are popular in the industry.
It is very critical to teach them tools that are relevant and tools that will help them get a job.
Setting up good logging monitoring notifications, some of these other open source tools that provide that kind of those kinds of capabilities. ... So I try to pick a representative sample open source, always cause I don't want people to be buying things.
 I try to use as much as possible with tools that people use in industry and companies.
I wanted to go with open source technologies so I can explain later how we build the labs.</v>
      </c>
      <c r="D47" s="15" t="str">
        <f>IFERROR(__xludf.DUMMYFUNCTION("""COMPUTED_VALUE"""),"Research market tools on Twitter, discussion groups, Google Trends, as they are probably the tools that students are used to using and will take advantage of in their work.
Use the most relevant tools on the market like Docker.
Use popular industry tool"&amp;"s.
Teach tools that will help to get a job.
Use representative open source industrial tools.
Use as much as possible relevant industry tools.
Prefer to use open source technologies.")</f>
        <v>Research market tools on Twitter, discussion groups, Google Trends, as they are probably the tools that students are used to using and will take advantage of in their work.
Use the most relevant tools on the market like Docker.
Use popular industry tools.
Teach tools that will help to get a job.
Use representative open source industrial tools.
Use as much as possible relevant industry tools.
Prefer to use open source technologies.</v>
      </c>
      <c r="E47" s="15" t="str">
        <f>IFERROR(__xludf.DUMMYFUNCTION("""COMPUTED_VALUE"""),"Use relevant industry tools.")</f>
        <v>Use relevant industry tools.</v>
      </c>
      <c r="F47" s="9" t="s">
        <v>375</v>
      </c>
      <c r="G47" s="9" t="s">
        <v>24</v>
      </c>
      <c r="H47" s="53"/>
    </row>
    <row r="48">
      <c r="A48" s="7">
        <v>93.0</v>
      </c>
      <c r="B48" s="8" t="s">
        <v>191</v>
      </c>
      <c r="C48" s="15" t="str">
        <f>IFERROR(__xludf.DUMMYFUNCTION("filter('Imported Recommendations'!B:D,'Imported Recommendations'!A:A=A48)"),"So, we ended up choosing Java because it is the greatest strength; ours, that was Java.")</f>
        <v>So, we ended up choosing Java because it is the greatest strength; ours, that was Java.</v>
      </c>
      <c r="D48" s="15" t="str">
        <f>IFERROR(__xludf.DUMMYFUNCTION("""COMPUTED_VALUE"""),"Use a programming language that the teacher knows.")</f>
        <v>Use a programming language that the teacher knows.</v>
      </c>
      <c r="E48" s="15"/>
      <c r="F48" s="9" t="s">
        <v>376</v>
      </c>
      <c r="G48" s="9" t="s">
        <v>18</v>
      </c>
      <c r="H48" s="53"/>
    </row>
    <row r="49">
      <c r="A49" s="7">
        <v>94.0</v>
      </c>
      <c r="B49" s="8" t="s">
        <v>191</v>
      </c>
      <c r="C49" s="15" t="str">
        <f>IFERROR(__xludf.DUMMYFUNCTION("filter('Imported Recommendations'!B:D,'Imported Recommendations'!A:A=A49)"),"Which tool to choose, which one had to see, which was more standard in the market, which was more straightforward, which is even easier to teach, and how to fit it in, right?
You don't know what is Docker yet, but here's a common line. Just run it. And t"&amp;"hen here's a common line to run. Artifactory you don't know what it means, just type it like this. Um, it will give you an Artifactory that's running.")</f>
        <v>Which tool to choose, which one had to see, which was more standard in the market, which was more straightforward, which is even easier to teach, and how to fit it in, right?
You don't know what is Docker yet, but here's a common line. Just run it. And then here's a common line to run. Artifactory you don't know what it means, just type it like this. Um, it will give you an Artifactory that's running.</v>
      </c>
      <c r="D49" s="15" t="str">
        <f>IFERROR(__xludf.DUMMYFUNCTION("""COMPUTED_VALUE"""),"Use the simplest tools chosen by the market as a method of selecting the tools that will be adopted during the course.
Use the tools like Docker and Artifactory in simplest way.")</f>
        <v>Use the simplest tools chosen by the market as a method of selecting the tools that will be adopted during the course.
Use the tools like Docker and Artifactory in simplest way.</v>
      </c>
      <c r="E49" s="15" t="str">
        <f>IFERROR(__xludf.DUMMYFUNCTION("""COMPUTED_VALUE"""),"Use the DevOps tools in simplest way.")</f>
        <v>Use the DevOps tools in simplest way.</v>
      </c>
      <c r="F49" s="9" t="s">
        <v>257</v>
      </c>
      <c r="G49" s="9" t="s">
        <v>18</v>
      </c>
      <c r="H49" s="53"/>
    </row>
    <row r="50">
      <c r="A50" s="7">
        <v>96.0</v>
      </c>
      <c r="B50" s="8" t="s">
        <v>191</v>
      </c>
      <c r="C50" s="15" t="str">
        <f>IFERROR(__xludf.DUMMYFUNCTION("filter('Imported Recommendations'!B:D,'Imported Recommendations'!A:A=A50)"),"One important thing for me, which became apparent during my studies, is that I had to show the background, the motivation somehow, so I wanted to fit it in any way in the curriculum at the beginning, showing the history of software development [...] inclu"&amp;"de these topics, like, more historical, which are not good, are not technical, right? But in a way that isn't too boring, you also [...] have to fit this with the technical part [...] With concepts of continuous integration, continuous delivery, continuou"&amp;"s deployment, tools, automation, anyway.")</f>
        <v>One important thing for me, which became apparent during my studies, is that I had to show the background, the motivation somehow, so I wanted to fit it in any way in the curriculum at the beginning, showing the history of software development [...] include these topics, like, more historical, which are not good, are not technical, right? But in a way that isn't too boring, you also [...] have to fit this with the technical part [...] With concepts of continuous integration, continuous delivery, continuous deployment, tools, automation, anyway.</v>
      </c>
      <c r="D50" s="15" t="str">
        <f>IFERROR(__xludf.DUMMYFUNCTION("""COMPUTED_VALUE"""),"Contextualize the historical aspects and definition of continuous integration, continuous delivery, continuous deployment, and automation concepts.")</f>
        <v>Contextualize the historical aspects and definition of continuous integration, continuous delivery, continuous deployment, and automation concepts.</v>
      </c>
      <c r="E50" s="15"/>
      <c r="F50" s="9" t="s">
        <v>377</v>
      </c>
      <c r="G50" s="9" t="s">
        <v>16</v>
      </c>
      <c r="H50" s="53"/>
    </row>
    <row r="51">
      <c r="A51" s="7">
        <v>97.0</v>
      </c>
      <c r="B51" s="8" t="s">
        <v>191</v>
      </c>
      <c r="C51" s="15" t="str">
        <f>IFERROR(__xludf.DUMMYFUNCTION("filter('Imported Recommendations'!B:D,'Imported Recommendations'!A:A=A51)")," I had to show the history somehow... the history of software development, showing about the processes. Cascade, RUP, agile, talk a lot about agile, because it's related and fit these topics, so, more historical, not sound, not technical... And make a par"&amp;"allel, there, with the agile world with the problems that DevOps came to solve, right?
I'm trying to tie the application of the devops principles and techniques and technologies, and to, and to link that together with agile approaches, for example.
We h"&amp;"elp them manage stories, backlog. Uh, so it's more on the front of, we give you requirements.
If you want to be able to experiment and, and to, to, to do the postmortem so that you can learn and you can solve issues and stuff.
I have to do more of this,"&amp;" um, story telling. ... I'm trying to share my experience with the students.")</f>
        <v> I had to show the history somehow... the history of software development, showing about the processes. Cascade, RUP, agile, talk a lot about agile, because it's related and fit these topics, so, more historical, not sound, not technical... And make a parallel, there, with the agile world with the problems that DevOps came to solve, right?
I'm trying to tie the application of the devops principles and techniques and technologies, and to, and to link that together with agile approaches, for example.
We help them manage stories, backlog. Uh, so it's more on the front of, we give you requirements.
If you want to be able to experiment and, and to, to, to do the postmortem so that you can learn and you can solve issues and stuff.
I have to do more of this, um, story telling. ... I'm trying to share my experience with the students.</v>
      </c>
      <c r="D51" s="15" t="str">
        <f>IFERROR(__xludf.DUMMYFUNCTION("""COMPUTED_VALUE"""),"It is important to show the relationship of DevOps with software development models, notably Agile.
Tie application of DevOps principles, techniques and technologies with Agile approaches.
Help students manage stories and backlog.
Make post mortem with"&amp;" the students to solve problems.
Use storytelling to share experience with the students.")</f>
        <v>It is important to show the relationship of DevOps with software development models, notably Agile.
Tie application of DevOps principles, techniques and technologies with Agile approaches.
Help students manage stories and backlog.
Make post mortem with the students to solve problems.
Use storytelling to share experience with the students.</v>
      </c>
      <c r="E51" s="15" t="str">
        <f>IFERROR(__xludf.DUMMYFUNCTION("""COMPUTED_VALUE"""),"Use Agile approaches in DevOps classes.")</f>
        <v>Use Agile approaches in DevOps classes.</v>
      </c>
      <c r="F51" s="9" t="s">
        <v>378</v>
      </c>
      <c r="G51" s="9" t="s">
        <v>10</v>
      </c>
      <c r="H51" s="53"/>
    </row>
    <row r="52">
      <c r="A52" s="7">
        <v>100.0</v>
      </c>
      <c r="B52" s="8" t="s">
        <v>191</v>
      </c>
      <c r="C52" s="15" t="str">
        <f>IFERROR(__xludf.DUMMYFUNCTION("filter('Imported Recommendations'!B:D,'Imported Recommendations'!A:A=A52)"),"Working so hard on the theoretical aspects needed to understand why things in DevOps are in SRE as a whole [...] you have to have that.
Thus, DevOps and SRE are concepts that were born much more strongly in practice than in state of the art, that is, muc"&amp;"h more in the industry than necessarily in the university. So for you to deal with these concepts without making a real explanation, or bringing the main players about how they did it and why they did it, it is essential.")</f>
        <v>Working so hard on the theoretical aspects needed to understand why things in DevOps are in SRE as a whole [...] you have to have that.
Thus, DevOps and SRE are concepts that were born much more strongly in practice than in state of the art, that is, much more in the industry than necessarily in the university. So for you to deal with these concepts without making a real explanation, or bringing the main players about how they did it and why they did it, it is essential.</v>
      </c>
      <c r="D52" s="15" t="str">
        <f>IFERROR(__xludf.DUMMYFUNCTION("""COMPUTED_VALUE"""),"Relate devops to site reliability engineering (sre) for students.
Show the historical importance of DevOps and SRE concepts from the main players in the industry.")</f>
        <v>Relate devops to site reliability engineering (sre) for students.
Show the historical importance of DevOps and SRE concepts from the main players in the industry.</v>
      </c>
      <c r="E52" s="15" t="str">
        <f>IFERROR(__xludf.DUMMYFUNCTION("""COMPUTED_VALUE"""),"Relate devops to site reliability engineering (sre) for students.")</f>
        <v>Relate devops to site reliability engineering (sre) for students.</v>
      </c>
      <c r="F52" s="9" t="s">
        <v>379</v>
      </c>
      <c r="G52" s="9" t="s">
        <v>27</v>
      </c>
      <c r="H52" s="53"/>
    </row>
    <row r="53">
      <c r="A53" s="7">
        <v>103.0</v>
      </c>
      <c r="B53" s="8" t="s">
        <v>191</v>
      </c>
      <c r="C53" s="15" t="str">
        <f>IFERROR(__xludf.DUMMYFUNCTION("filter('Imported Recommendations'!B:D,'Imported Recommendations'!A:A=A53)"),"To bring the concept applied, then use a CDL approach, or PBL, that helps a lot, because then you have to present the problem and then show the idea behind the resolution of that problem.")</f>
        <v>To bring the concept applied, then use a CDL approach, or PBL, that helps a lot, because then you have to present the problem and then show the idea behind the resolution of that problem.</v>
      </c>
      <c r="D53" s="15" t="str">
        <f>IFERROR(__xludf.DUMMYFUNCTION("""COMPUTED_VALUE"""),"Make use of the Comprehensive Distance Learning (CDL) teaching methodology.")</f>
        <v>Make use of the Comprehensive Distance Learning (CDL) teaching methodology.</v>
      </c>
      <c r="E53" s="15"/>
      <c r="F53" s="9" t="s">
        <v>380</v>
      </c>
      <c r="G53" s="9" t="s">
        <v>27</v>
      </c>
      <c r="H53" s="53"/>
    </row>
    <row r="54">
      <c r="A54" s="7">
        <v>105.0</v>
      </c>
      <c r="B54" s="8" t="s">
        <v>191</v>
      </c>
      <c r="C54" s="15" t="str">
        <f>IFERROR(__xludf.DUMMYFUNCTION("filter('Imported Recommendations'!B:D,'Imported Recommendations'!A:A=A54)"),"I usually study the subject to understand and then see the best way to explain that subject.")</f>
        <v>I usually study the subject to understand and then see the best way to explain that subject.</v>
      </c>
      <c r="D54" s="15" t="str">
        <f>IFERROR(__xludf.DUMMYFUNCTION("""COMPUTED_VALUE"""),"Study the subject thoroughly before preparing for classes.")</f>
        <v>Study the subject thoroughly before preparing for classes.</v>
      </c>
      <c r="E54" s="15"/>
      <c r="F54" s="9" t="s">
        <v>381</v>
      </c>
      <c r="G54" s="9" t="s">
        <v>24</v>
      </c>
      <c r="H54" s="53"/>
    </row>
    <row r="55">
      <c r="A55" s="7">
        <v>106.0</v>
      </c>
      <c r="B55" s="8" t="s">
        <v>191</v>
      </c>
      <c r="C55" s="15" t="str">
        <f>IFERROR(__xludf.DUMMYFUNCTION("filter('Imported Recommendations'!B:D,'Imported Recommendations'!A:A=A55)"),"You propose the dynamics and have these things move the group because otherwise, it gets so dull.")</f>
        <v>You propose the dynamics and have these things move the group because otherwise, it gets so dull.</v>
      </c>
      <c r="D55" s="15" t="str">
        <f>IFERROR(__xludf.DUMMYFUNCTION("""COMPUTED_VALUE"""),"Use dynamics to inspire the class.")</f>
        <v>Use dynamics to inspire the class.</v>
      </c>
      <c r="E55" s="15"/>
      <c r="F55" s="9" t="s">
        <v>382</v>
      </c>
      <c r="G55" s="9" t="s">
        <v>27</v>
      </c>
      <c r="H55" s="53"/>
    </row>
    <row r="56">
      <c r="A56" s="7">
        <v>108.0</v>
      </c>
      <c r="B56" s="8" t="s">
        <v>191</v>
      </c>
      <c r="C56" s="15" t="str">
        <f>IFERROR(__xludf.DUMMYFUNCTION("filter('Imported Recommendations'!B:D,'Imported Recommendations'!A:A=A56)"),"I try to bring this up: Mesos, Marathon, then Swarm, even to exercise the concepts is more accessible, lighter than Kubernetes, and then after Kubernetes, Rancher, for example.")</f>
        <v>I try to bring this up: Mesos, Marathon, then Swarm, even to exercise the concepts is more accessible, lighter than Kubernetes, and then after Kubernetes, Rancher, for example.</v>
      </c>
      <c r="D56" s="15" t="str">
        <f>IFERROR(__xludf.DUMMYFUNCTION("""COMPUTED_VALUE"""),"Initially, adopt more straightforward tools such as Mesos, Marathon, and Docker Swarm before using the Kubernetes tool.")</f>
        <v>Initially, adopt more straightforward tools such as Mesos, Marathon, and Docker Swarm before using the Kubernetes tool.</v>
      </c>
      <c r="E56" s="15"/>
      <c r="F56" s="9" t="s">
        <v>383</v>
      </c>
      <c r="G56" s="9" t="s">
        <v>18</v>
      </c>
      <c r="H56" s="53"/>
    </row>
    <row r="57">
      <c r="A57" s="7">
        <v>109.0</v>
      </c>
      <c r="B57" s="8" t="s">
        <v>191</v>
      </c>
      <c r="C57" s="15" t="str">
        <f>IFERROR(__xludf.DUMMYFUNCTION("filter('Imported Recommendations'!B:D,'Imported Recommendations'!A:A=A57)"),"Some settings you can have for us to help, like, oh, you have the monitors team, for example, this allows you to go to a more excellent practical line because you'll have more arms to help you, evaluate and everything else.
We had to do as TAs and other "&amp;"things I think, uh, we, it's not, uh, only before the lecture, but during the whole, uh, time that this, uh, this course was, uh, going on, we had to check the, uh, check the github. And, um, students had, since they had to make some contributions, uh, we"&amp;" had to make sure that their contributions, uh, could pass all the checks that we had. [...] So we had to check that they were doing what they were supposed to do before the lectures, during the lectures and after it. So that was our, uh, our role in this"&amp;" course.
What we've done in this case was to let the TA grade the projects, um, because then it was way more simple. And as the two props, we were, uh, grading the exams and were like cross validating.")</f>
        <v>Some settings you can have for us to help, like, oh, you have the monitors team, for example, this allows you to go to a more excellent practical line because you'll have more arms to help you, evaluate and everything else.
We had to do as TAs and other things I think, uh, we, it's not, uh, only before the lecture, but during the whole, uh, time that this, uh, this course was, uh, going on, we had to check the, uh, check the github. And, um, students had, since they had to make some contributions, uh, we had to make sure that their contributions, uh, could pass all the checks that we had. [...] So we had to check that they were doing what they were supposed to do before the lectures, during the lectures and after it. So that was our, uh, our role in this course.
What we've done in this case was to let the TA grade the projects, um, because then it was way more simple. And as the two props, we were, uh, grading the exams and were like cross validating.</v>
      </c>
      <c r="D57" s="15" t="str">
        <f>IFERROR(__xludf.DUMMYFUNCTION("""COMPUTED_VALUE"""),"If possible, have a team of monitors to assist in the assessment process.
Teacher assistants check if students contributions pass all the roles of the course.
Teacher assistants grade the projects and the professors grade the exams with cross validating"&amp;".")</f>
        <v>If possible, have a team of monitors to assist in the assessment process.
Teacher assistants check if students contributions pass all the roles of the course.
Teacher assistants grade the projects and the professors grade the exams with cross validating.</v>
      </c>
      <c r="E57" s="15" t="str">
        <f>IFERROR(__xludf.DUMMYFUNCTION("""COMPUTED_VALUE"""),"Teacher assistants help in the assessment process.")</f>
        <v>Teacher assistants help in the assessment process.</v>
      </c>
      <c r="F57" s="9" t="s">
        <v>384</v>
      </c>
      <c r="G57" s="9" t="s">
        <v>29</v>
      </c>
      <c r="H57" s="53"/>
    </row>
    <row r="58">
      <c r="A58" s="7">
        <v>111.0</v>
      </c>
      <c r="B58" s="8" t="s">
        <v>191</v>
      </c>
      <c r="C58" s="15" t="str">
        <f>IFERROR(__xludf.DUMMYFUNCTION("filter('Imported Recommendations'!B:D,'Imported Recommendations'!A:A=A58)"),"I already have mine that has my discipline ready, right? So the challenge, for those who will start one, is less.
I already have mine that has my discipline ready, right? So the challenge, for those who will start one, is less.")</f>
        <v>I already have mine that has my discipline ready, right? So the challenge, for those who will start one, is less.
I already have mine that has my discipline ready, right? So the challenge, for those who will start one, is less.</v>
      </c>
      <c r="D58" s="15" t="str">
        <f>IFERROR(__xludf.DUMMYFUNCTION("""COMPUTED_VALUE"""),"You can use the discipline that the interviewee professor Vinicius elaborated as a reference for the elaboration of other DevOps disciplines.
Use other DevOps courses as a reference.")</f>
        <v>You can use the discipline that the interviewee professor Vinicius elaborated as a reference for the elaboration of other DevOps disciplines.
Use other DevOps courses as a reference.</v>
      </c>
      <c r="E58" s="15" t="str">
        <f>IFERROR(__xludf.DUMMYFUNCTION("""COMPUTED_VALUE"""),"Use other DevOps courses as a reference.
")</f>
        <v>Use other DevOps courses as a reference.
</v>
      </c>
      <c r="F58" s="9" t="s">
        <v>385</v>
      </c>
      <c r="G58" s="9" t="s">
        <v>10</v>
      </c>
      <c r="H58" s="53"/>
    </row>
    <row r="59">
      <c r="A59" s="7">
        <v>112.0</v>
      </c>
      <c r="B59" s="8" t="s">
        <v>191</v>
      </c>
      <c r="C59" s="15" t="str">
        <f>IFERROR(__xludf.DUMMYFUNCTION("filter('Imported Recommendations'!B:D,'Imported Recommendations'!A:A=A59)"),"PBL matches very well with, at least like this, how I see the DevOps signals or architecture, or MicroServices, which is another discipline I have; it's cool because you can start from the problem and show why people are using what are you using. So I thi"&amp;"nk it matches perfectly.
Bringing the concept applied, then use an approach like CDL, or PBL, that helps a lot because then you have a way to present the problem and then show the concept behind the resolution of that problem.
Most of the time to give a"&amp;" problem solving questions where I put a problem and say, okay, and push a student to critically think. ... , I put a problem and then we'll come up with the solutions for the problem. And I haven't been able to find a good way to do that with DevOps, in,"&amp;" uh, in terms of assessment.
We decided to go on a problem-based approach. So having like introductory lecture, giving the context, giving the leads to follow, then getting a problem based on, on, uh, like a long-term project for the whole semester.")</f>
        <v>PBL matches very well with, at least like this, how I see the DevOps signals or architecture, or MicroServices, which is another discipline I have; it's cool because you can start from the problem and show why people are using what are you using. So I think it matches perfectly.
Bringing the concept applied, then use an approach like CDL, or PBL, that helps a lot because then you have a way to present the problem and then show the concept behind the resolution of that problem.
Most of the time to give a problem solving questions where I put a problem and say, okay, and push a student to critically think. ... , I put a problem and then we'll come up with the solutions for the problem. And I haven't been able to find a good way to do that with DevOps, in, uh, in terms of assessment.
We decided to go on a problem-based approach. So having like introductory lecture, giving the context, giving the leads to follow, then getting a problem based on, on, uh, like a long-term project for the whole semester.</v>
      </c>
      <c r="D59" s="15" t="str">
        <f>IFERROR(__xludf.DUMMYFUNCTION("""COMPUTED_VALUE"""),"Make use of Problem-Based Learning (PBL).
Problem-Based Learning (PBL) is great for teaching DevOps.
Use problem solving questions in DevOps assessment. It pushs student to critically think.
Use problem-based approach on the projects of the students.")</f>
        <v>Make use of Problem-Based Learning (PBL).
Problem-Based Learning (PBL) is great for teaching DevOps.
Use problem solving questions in DevOps assessment. It pushs student to critically think.
Use problem-based approach on the projects of the students.</v>
      </c>
      <c r="E59" s="15" t="str">
        <f>IFERROR(__xludf.DUMMYFUNCTION("""COMPUTED_VALUE"""),"Problem-Based Learning (PBL) is great for teaching DevOps.")</f>
        <v>Problem-Based Learning (PBL) is great for teaching DevOps.</v>
      </c>
      <c r="F59" s="9" t="s">
        <v>386</v>
      </c>
      <c r="G59" s="9" t="s">
        <v>27</v>
      </c>
      <c r="H59" s="53"/>
    </row>
    <row r="60">
      <c r="A60" s="7">
        <v>114.0</v>
      </c>
      <c r="B60" s="8" t="s">
        <v>191</v>
      </c>
      <c r="C60" s="15" t="str">
        <f>IFERROR(__xludf.DUMMYFUNCTION("filter('Imported Recommendations'!B:D,'Imported Recommendations'!A:A=A60)"),"I break them up into nine teams of five students each.
For this course, I haven't done as much in terms of team projects, although I'm rolling that around to every, because everybody loves team projects.
 There was something like 17 groups.
I put them "&amp;"by a team of four, six per group, and then we work together and, and that's good also because it may be working in a team.")</f>
        <v>I break them up into nine teams of five students each.
For this course, I haven't done as much in terms of team projects, although I'm rolling that around to every, because everybody loves team projects.
 There was something like 17 groups.
I put them by a team of four, six per group, and then we work together and, and that's good also because it may be working in a team.</v>
      </c>
      <c r="D60" s="15" t="str">
        <f>IFERROR(__xludf.DUMMYFUNCTION("""COMPUTED_VALUE"""),"Organize the students into teams of five.
Students like to work on team projects.
Students organized by groups.
Put students to work by a team of four to six per group.")</f>
        <v>Organize the students into teams of five.
Students like to work on team projects.
Students organized by groups.
Put students to work by a team of four to six per group.</v>
      </c>
      <c r="E60" s="15" t="str">
        <f>IFERROR(__xludf.DUMMYFUNCTION("""COMPUTED_VALUE"""),"Organize the students into teams.")</f>
        <v>Organize the students into teams.</v>
      </c>
      <c r="F60" s="9" t="s">
        <v>387</v>
      </c>
      <c r="G60" s="9" t="s">
        <v>27</v>
      </c>
      <c r="H60" s="53"/>
    </row>
    <row r="61">
      <c r="A61" s="7">
        <v>116.0</v>
      </c>
      <c r="B61" s="8" t="s">
        <v>191</v>
      </c>
      <c r="C61" s="15" t="str">
        <f>IFERROR(__xludf.DUMMYFUNCTION("filter('Imported Recommendations'!B:D,'Imported Recommendations'!A:A=A61)"),"Those are the ones you remember, right? Not just read, right? If you learn in the abstract, you'll soon forget it. But if you learn in context, then you'll remember it because you understood why you did it. So I try to teach them just enough to get them g"&amp;"oing.
 I used to have people stand up during Jenkins instances to do the work, but that just at the end of the day, that's a distraction. My goal is not to teach them how to administer Jenkins.
I'm having conversations with the university about trying t"&amp;"o take the devops course and essentially converting it to a three course sequence one for agile, one for kind of the dev part of devops and one for the ops part of devops.
So second one is about establishing the pipeline and then they finish the second o"&amp;"ne by, uh, building the Docker images. But it's not in depth about containers or, or kubernetes, but that's easily touch it. Okay.
They need to do concrete things ... it's to be able to traverse the whole thing without necessarily going in depth about al"&amp;"l of these things.
I need very solid, uh, research. It's a sorry, a lab assistance. The people responsible for the labs of course, assistants that that can actually deal with the students. So I'm lucky to have students and have good industrial experience"&amp;", uh, to do that.")</f>
        <v>Those are the ones you remember, right? Not just read, right? If you learn in the abstract, you'll soon forget it. But if you learn in context, then you'll remember it because you understood why you did it. So I try to teach them just enough to get them going.
 I used to have people stand up during Jenkins instances to do the work, but that just at the end of the day, that's a distraction. My goal is not to teach them how to administer Jenkins.
I'm having conversations with the university about trying to take the devops course and essentially converting it to a three course sequence one for agile, one for kind of the dev part of devops and one for the ops part of devops.
So second one is about establishing the pipeline and then they finish the second one by, uh, building the Docker images. But it's not in depth about containers or, or kubernetes, but that's easily touch it. Okay.
They need to do concrete things ... it's to be able to traverse the whole thing without necessarily going in depth about all of these things.
I need very solid, uh, research. It's a sorry, a lab assistance. The people responsible for the labs of course, assistants that that can actually deal with the students. So I'm lucky to have students and have good industrial experience, uh, to do that.</v>
      </c>
      <c r="D61" s="15" t="str">
        <f>IFERROR(__xludf.DUMMYFUNCTION("""COMPUTED_VALUE"""),"Teach just enough to get them going so they can learn in the right context.
Do not focus on unnecessary features of tools like avoid administering Jenkins if you want to practice continuous integration.
You cannot possibly get through everything in deta"&amp;"ils.
Teach how to use tools like Docker and Kubernetes but do not much depth.
Do concrete things without necessarily going in depth about all.
Do not teach deeply some hard technologies like Kubernetes.")</f>
        <v>Teach just enough to get them going so they can learn in the right context.
Do not focus on unnecessary features of tools like avoid administering Jenkins if you want to practice continuous integration.
You cannot possibly get through everything in details.
Teach how to use tools like Docker and Kubernetes but do not much depth.
Do concrete things without necessarily going in depth about all.
Do not teach deeply some hard technologies like Kubernetes.</v>
      </c>
      <c r="E61" s="15" t="str">
        <f>IFERROR(__xludf.DUMMYFUNCTION("""COMPUTED_VALUE"""),"Teach just enough of DevOps tools to get the students going so they can learn in the right context. ")</f>
        <v>Teach just enough of DevOps tools to get the students going so they can learn in the right context. </v>
      </c>
      <c r="F61" s="9" t="s">
        <v>388</v>
      </c>
      <c r="G61" s="54" t="s">
        <v>27</v>
      </c>
      <c r="H61" s="53"/>
    </row>
    <row r="62">
      <c r="A62" s="7">
        <v>117.0</v>
      </c>
      <c r="B62" s="8" t="s">
        <v>191</v>
      </c>
      <c r="C62" s="15" t="str">
        <f>IFERROR(__xludf.DUMMYFUNCTION("filter('Imported Recommendations'!B:D,'Imported Recommendations'!A:A=A62)"),"I teach them how to work as a DevOps team. And we create a slack channel. , and I create a channel for each one of the teams. And they're all collaborating in their channel. They have 24/7 access to me. They can ping me at any time on slack.
You have a q"&amp;"uestion, ask me the question in the moment, right? Because that's when the answer is important to you.
Whenever they have a problem they can come to me. And I tell them, don't spend too much time Googling stuff. If you don't understand something, ask me "&amp;"if, if you don't understand what I presented, then I didn't present it in a way that you could connect with it. [...] Everybody learns differently.
I'm always asking you the last factor. I'm always taking almost an hour to, as a student. Just give me you"&amp;"r feedback. Like, like very openly, right? That's you should all give me a feedback again.
Each week we had, uh, four hours of, uh, lectures and answering questions from students and, and, uh, making, making some points about the course more clear.")</f>
        <v>I teach them how to work as a DevOps team. And we create a slack channel. , and I create a channel for each one of the teams. And they're all collaborating in their channel. They have 24/7 access to me. They can ping me at any time on slack.
You have a question, ask me the question in the moment, right? Because that's when the answer is important to you.
Whenever they have a problem they can come to me. And I tell them, don't spend too much time Googling stuff. If you don't understand something, ask me if, if you don't understand what I presented, then I didn't present it in a way that you could connect with it. [...] Everybody learns differently.
I'm always asking you the last factor. I'm always taking almost an hour to, as a student. Just give me your feedback. Like, like very openly, right? That's you should all give me a feedback again.
Each week we had, uh, four hours of, uh, lectures and answering questions from students and, and, uh, making, making some points about the course more clear.</v>
      </c>
      <c r="D62" s="15" t="str">
        <f>IFERROR(__xludf.DUMMYFUNCTION("""COMPUTED_VALUE"""),"I teach them how to work as a DevOps team. And they're all collaborating in their channel. They have 24/7 access to me. They can ping me at any time on slack.
The student's question should be answered in the moment.
Incentive professor-students interact"&amp;"ion, easing fast solving questions.
Take time to hear student's feedbacks very openly and give them your feedback too.
Separate time to answer students questions, each week, four hours, lectures and answering questions, making some points about the cour"&amp;"se more clear.")</f>
        <v>I teach them how to work as a DevOps team. And they're all collaborating in their channel. They have 24/7 access to me. They can ping me at any time on slack.
The student's question should be answered in the moment.
Incentive professor-students interaction, easing fast solving questions.
Take time to hear student's feedbacks very openly and give them your feedback too.
Separate time to answer students questions, each week, four hours, lectures and answering questions, making some points about the course more clear.</v>
      </c>
      <c r="E62" s="15" t="str">
        <f>IFERROR(__xludf.DUMMYFUNCTION("""COMPUTED_VALUE"""),"Provide fast feedback to the students.")</f>
        <v>Provide fast feedback to the students.</v>
      </c>
      <c r="F62" s="9" t="s">
        <v>389</v>
      </c>
      <c r="G62" s="54" t="s">
        <v>29</v>
      </c>
      <c r="H62" s="53"/>
    </row>
    <row r="63">
      <c r="A63" s="7">
        <v>119.0</v>
      </c>
      <c r="B63" s="8" t="s">
        <v>191</v>
      </c>
      <c r="C63" s="15" t="str">
        <f>IFERROR(__xludf.DUMMYFUNCTION("filter('Imported Recommendations'!B:D,'Imported Recommendations'!A:A=A63)"),"I'll have them run their test cases manually. And then when someone makes a pull request, I'm like, well, you need to clone that, run the test case. [...] And then [.. ] I show them how to [...] automatically run the test cases. [...] And so they write al"&amp;"l the test cases. And then, and then I, I teach them about code coverage. I said, it's not about the test passing. If the code coverage go down, then somebody code it without writing a test case, don't merge that pull-request, right? So I'm teaching this "&amp;"whole culture, right? This way of working. [...] Then finally we push it to the cloud. We set up CD pipelines to deploy things in the cloud")</f>
        <v>I'll have them run their test cases manually. And then when someone makes a pull request, I'm like, well, you need to clone that, run the test case. [...] And then [.. ] I show them how to [...] automatically run the test cases. [...] And so they write all the test cases. And then, and then I, I teach them about code coverage. I said, it's not about the test passing. If the code coverage go down, then somebody code it without writing a test case, don't merge that pull-request, right? So I'm teaching this whole culture, right? This way of working. [...] Then finally we push it to the cloud. We set up CD pipelines to deploy things in the cloud</v>
      </c>
      <c r="D63" s="15" t="str">
        <f>IFERROR(__xludf.DUMMYFUNCTION("""COMPUTED_VALUE"""),"Write some tests cases manually, do pull requests, do test automation with CI, write all test cases, teach code coverage. Then finally setup CD pipeline to deploy the application in the cloud.")</f>
        <v>Write some tests cases manually, do pull requests, do test automation with CI, write all test cases, teach code coverage. Then finally setup CD pipeline to deploy the application in the cloud.</v>
      </c>
      <c r="E63" s="15"/>
      <c r="F63" s="9" t="s">
        <v>390</v>
      </c>
      <c r="G63" s="54" t="s">
        <v>12</v>
      </c>
      <c r="H63" s="53"/>
    </row>
    <row r="64">
      <c r="A64" s="7">
        <v>120.0</v>
      </c>
      <c r="B64" s="8" t="s">
        <v>191</v>
      </c>
      <c r="C64" s="15" t="str">
        <f>IFERROR(__xludf.DUMMYFUNCTION("filter('Imported Recommendations'!B:D,'Imported Recommendations'!A:A=A64)"),"So sometimes a student will say to me: ""professor, what do I do if another student is like not pulling their weight on the team?"", And I say: ""when you go to a job interview, you're going to be asked the question, tell me about a time when a member of "&amp;"your team wasn't pulling their weight. And what did you do to get them excited and to contribute again, today's the day to go write that story. Today's the data to write the answer to that question"".
You need to sit together and experience because if yo"&amp;"u can't work as a team, you're not gonna make it right out in industry because we want team players. I don't want heroes. I don't want people who saved the day. I want people who mentor each other.")</f>
        <v>So sometimes a student will say to me: "professor, what do I do if another student is like not pulling their weight on the team?", And I say: "when you go to a job interview, you're going to be asked the question, tell me about a time when a member of your team wasn't pulling their weight. And what did you do to get them excited and to contribute again, today's the day to go write that story. Today's the data to write the answer to that question".
You need to sit together and experience because if you can't work as a team, you're not gonna make it right out in industry because we want team players. I don't want heroes. I don't want people who saved the day. I want people who mentor each other.</v>
      </c>
      <c r="D64" s="15" t="str">
        <f>IFERROR(__xludf.DUMMYFUNCTION("""COMPUTED_VALUE"""),"Make the group motivation a responsibility of themselves, students should motivate each other.
Teaching how to students mentor each other is one of the most important things and must be a priority.")</f>
        <v>Make the group motivation a responsibility of themselves, students should motivate each other.
Teaching how to students mentor each other is one of the most important things and must be a priority.</v>
      </c>
      <c r="E64" s="15" t="str">
        <f>IFERROR(__xludf.DUMMYFUNCTION("""COMPUTED_VALUE"""),"Make the group motivation a responsibility of themselves.")</f>
        <v>Make the group motivation a responsibility of themselves.</v>
      </c>
      <c r="F64" s="9" t="s">
        <v>391</v>
      </c>
      <c r="G64" s="54" t="s">
        <v>27</v>
      </c>
      <c r="H64" s="53"/>
    </row>
    <row r="65">
      <c r="A65" s="7">
        <v>122.0</v>
      </c>
      <c r="B65" s="8" t="s">
        <v>191</v>
      </c>
      <c r="C65" s="15" t="str">
        <f>IFERROR(__xludf.DUMMYFUNCTION("filter('Imported Recommendations'!B:D,'Imported Recommendations'!A:A=A65)"),"so I don't care if you using windows or using Mac or whatever you're using. We're all going to learn a bunch of Linux and we're going to deploy all our stuff, using a bunch of it and use all the tools in a bunch of.")</f>
        <v>so I don't care if you using windows or using Mac or whatever you're using. We're all going to learn a bunch of Linux and we're going to deploy all our stuff, using a bunch of it and use all the tools in a bunch of.</v>
      </c>
      <c r="D65" s="15" t="str">
        <f>IFERROR(__xludf.DUMMYFUNCTION("""COMPUTED_VALUE"""),"Use Linux operational system.")</f>
        <v>Use Linux operational system.</v>
      </c>
      <c r="E65" s="15"/>
      <c r="F65" s="9" t="s">
        <v>392</v>
      </c>
      <c r="G65" s="54" t="s">
        <v>105</v>
      </c>
      <c r="H65" s="53"/>
    </row>
    <row r="66">
      <c r="A66" s="7">
        <v>123.0</v>
      </c>
      <c r="B66" s="8" t="s">
        <v>191</v>
      </c>
      <c r="C66" s="15" t="str">
        <f>IFERROR(__xludf.DUMMYFUNCTION("filter('Imported Recommendations'!B:D,'Imported Recommendations'!A:A=A66)"),"We use Vagrant and VirtualBox. And so I don't care if you using windows or using Mac or whatever you're using.
I selected Vagrant and virtualbox because they're both free. ... so I had to change the class for them to use Docker and VirtualBox. 
They cal"&amp;"l my repo, Vagrant up and they're up and running. And so that's how I solve that problem. Bigger. It does a very good job of solving that consistent environments for students.")</f>
        <v>We use Vagrant and VirtualBox. And so I don't care if you using windows or using Mac or whatever you're using.
I selected Vagrant and virtualbox because they're both free. ... so I had to change the class for them to use Docker and VirtualBox. 
They call my repo, Vagrant up and they're up and running. And so that's how I solve that problem. Bigger. It does a very good job of solving that consistent environments for students.</v>
      </c>
      <c r="D66" s="36" t="str">
        <f>IFERROR(__xludf.DUMMYFUNCTION("""COMPUTED_VALUE"""),"Vagrant and VirtualBox are useful to create consistent development environment.
I selected Vagrant and virtualbox because they're free.
Make environment setup consistent between students using Vagrant.")</f>
        <v>Vagrant and VirtualBox are useful to create consistent development environment.
I selected Vagrant and virtualbox because they're free.
Make environment setup consistent between students using Vagrant.</v>
      </c>
      <c r="E66" s="36" t="str">
        <f>IFERROR(__xludf.DUMMYFUNCTION("""COMPUTED_VALUE"""),"Vagrant and VirtualBox tools are free and useful to create consistent development environment between students.")</f>
        <v>Vagrant and VirtualBox tools are free and useful to create consistent development environment between students.</v>
      </c>
      <c r="F66" s="9" t="s">
        <v>393</v>
      </c>
      <c r="G66" s="54" t="s">
        <v>105</v>
      </c>
      <c r="H66" s="54"/>
    </row>
    <row r="67">
      <c r="A67" s="7">
        <v>125.0</v>
      </c>
      <c r="B67" s="8" t="s">
        <v>191</v>
      </c>
      <c r="C67" s="15" t="str">
        <f>IFERROR(__xludf.DUMMYFUNCTION("filter('Imported Recommendations'!B:D,'Imported Recommendations'!A:A=A67)"),"We use selenium to, to work on the, uh, on the UI, as a browser.
We use Selenium for test automation.")</f>
        <v>We use selenium to, to work on the, uh, on the UI, as a browser.
We use Selenium for test automation.</v>
      </c>
      <c r="D67" s="15" t="str">
        <f>IFERROR(__xludf.DUMMYFUNCTION("""COMPUTED_VALUE"""),"Use Selenium to automate UI tests.
Use Selenium for test automation.")</f>
        <v>Use Selenium to automate UI tests.
Use Selenium for test automation.</v>
      </c>
      <c r="E67" s="15" t="str">
        <f>IFERROR(__xludf.DUMMYFUNCTION("""COMPUTED_VALUE"""),"Use Selenium for UI test automation.")</f>
        <v>Use Selenium for UI test automation.</v>
      </c>
      <c r="F67" s="9" t="s">
        <v>394</v>
      </c>
      <c r="G67" s="54" t="s">
        <v>12</v>
      </c>
      <c r="H67" s="53"/>
    </row>
    <row r="68">
      <c r="A68" s="7">
        <v>126.0</v>
      </c>
      <c r="B68" s="8" t="s">
        <v>191</v>
      </c>
      <c r="C68" s="15" t="str">
        <f>IFERROR(__xludf.DUMMYFUNCTION("filter('Imported Recommendations'!B:D,'Imported Recommendations'!A:A=A68)"),"Students will ask me, can I use a different test suite? Can I use, you know, something different? And I'll say, well, you can, but then it's up to you to figure out how it integrates back into everything.
 So it's rather simple that we, we let them, of c"&amp;"ourse use the programming language. They want to develop the application. So, you know, the department, I think traditional were quite open with respect to that in the department. Yes. Java is still used, but students, these days, don't like Java. Um, the"&amp;"y prefer Python. They prefer different things. So for us, we don't care, right? The application we give them when we gave them the HVAC application, we give them, uh, I think they have, I should even look myself, but I think we, we created two versions, o"&amp;"ne, it says Java version.
So we support them to the Travis CI. We support them with a certain number of things, but if they want to choose something else, it's okay. I mean, but you know, they have to understand that we won't necessarily support them.
W"&amp;"e asked them to choose a tool, uh, on internet and new tool, and then use that tool and show other students how that works. So, uh, we didn't have some predefined, uh, projects.
Just find whatever they want to find and work on whatever they want to work "&amp;"on and let them be free since that was our goal in this course, uh, we let them choose, um, novel technologies, the technologies and the tools that are being used, uh, today and the tools that are being developed today. 
We decided to let the student cho"&amp;"ose and said, okay, you have your option and do what you want, but you're responsible of doing it.
It was a graduate course, I started not to, uh, enforce given tools ... I want you to have a version control system that should be git, but git up, gitlab "&amp;"Bitbucket, Bitbucket on premises. ...  you can justify and defend each step of what's happening to your code in the context of devops.")</f>
        <v>Students will ask me, can I use a different test suite? Can I use, you know, something different? And I'll say, well, you can, but then it's up to you to figure out how it integrates back into everything.
 So it's rather simple that we, we let them, of course use the programming language. They want to develop the application. So, you know, the department, I think traditional were quite open with respect to that in the department. Yes. Java is still used, but students, these days, don't like Java. Um, they prefer Python. They prefer different things. So for us, we don't care, right? The application we give them when we gave them the HVAC application, we give them, uh, I think they have, I should even look myself, but I think we, we created two versions, one, it says Java version.
So we support them to the Travis CI. We support them with a certain number of things, but if they want to choose something else, it's okay. I mean, but you know, they have to understand that we won't necessarily support them.
We asked them to choose a tool, uh, on internet and new tool, and then use that tool and show other students how that works. So, uh, we didn't have some predefined, uh, projects.
Just find whatever they want to find and work on whatever they want to work on and let them be free since that was our goal in this course, uh, we let them choose, um, novel technologies, the technologies and the tools that are being used, uh, today and the tools that are being developed today. 
We decided to let the student choose and said, okay, you have your option and do what you want, but you're responsible of doing it.
It was a graduate course, I started not to, uh, enforce given tools ... I want you to have a version control system that should be git, but git up, gitlab Bitbucket, Bitbucket on premises. ...  you can justify and defend each step of what's happening to your code in the context of devops.</v>
      </c>
      <c r="D68" s="36" t="str">
        <f>IFERROR(__xludf.DUMMYFUNCTION("""COMPUTED_VALUE"""),"Students could use other tools non-taught without professor support.
Do not force students to use a single language like Java.
Give students the freedom to choose other tools they want, but make it clear that these tools will not be supported by teacher"&amp;"s during the class
The students choose the tools and the projects freely on internet.
Let the students be free about the used tools and technologies.
Give the responsibility to the student to chose the system and also the responsibility of what they ar"&amp;"e doing.
Do not enforce given tools on a graduate course. The students should justify and defend each step of what's happening to their code in the context of devops.")</f>
        <v>Students could use other tools non-taught without professor support.
Do not force students to use a single language like Java.
Give students the freedom to choose other tools they want, but make it clear that these tools will not be supported by teachers during the class
The students choose the tools and the projects freely on internet.
Let the students be free about the used tools and technologies.
Give the responsibility to the student to chose the system and also the responsibility of what they are doing.
Do not enforce given tools on a graduate course. The students should justify and defend each step of what's happening to their code in the context of devops.</v>
      </c>
      <c r="E68" s="36" t="str">
        <f>IFERROR(__xludf.DUMMYFUNCTION("""COMPUTED_VALUE"""),"Do not force the technology stack used by students in their systems.")</f>
        <v>Do not force the technology stack used by students in their systems.</v>
      </c>
      <c r="F68" s="9" t="s">
        <v>278</v>
      </c>
      <c r="G68" s="54" t="s">
        <v>105</v>
      </c>
      <c r="H68" s="53"/>
    </row>
    <row r="69">
      <c r="A69" s="7">
        <v>128.0</v>
      </c>
      <c r="B69" s="8" t="s">
        <v>191</v>
      </c>
      <c r="C69" s="15" t="str">
        <f>IFERROR(__xludf.DUMMYFUNCTION("filter('Imported Recommendations'!B:D,'Imported Recommendations'!A:A=A69)"),"I'm going to watch your Kanban board every week.
 I don't give quizzes because I'm grading them every day, watching their Kanban boards, seeing how they're working, interacting with them on slack. 
 I built kind of a fictitious company [...] based on my"&amp;" experience [...]  the students work in groups of three [...]  in the first lab, they have to set up their environment [...] We bring them also to, to build, uh, two small applications that actually extract, um, data from the Kanban, uh, in GitHub using t"&amp;"he GitHub APIs, because I want the students to one that very important aspect of DevOps is the continuous improvement. So if you want, you have to apply the same principles to the process that you're applying to your product.
We enforce the usage of, of "&amp;"the, of the Kanban, because it's an important practice in devops to make the work visible and stuff.
Make the students realize that the Kanban has certain information for a certain purpose. Um, if I want to analyze my process, I may extract information f"&amp;"rom the Kanban that will tell me about, you know, the time that I spent in the development phase or in the, in the review phase and things like that.")</f>
        <v>I'm going to watch your Kanban board every week.
 I don't give quizzes because I'm grading them every day, watching their Kanban boards, seeing how they're working, interacting with them on slack. 
 I built kind of a fictitious company [...] based on my experience [...]  the students work in groups of three [...]  in the first lab, they have to set up their environment [...] We bring them also to, to build, uh, two small applications that actually extract, um, data from the Kanban, uh, in GitHub using the GitHub APIs, because I want the students to one that very important aspect of DevOps is the continuous improvement. So if you want, you have to apply the same principles to the process that you're applying to your product.
We enforce the usage of, of the, of the Kanban, because it's an important practice in devops to make the work visible and stuff.
Make the students realize that the Kanban has certain information for a certain purpose. Um, if I want to analyze my process, I may extract information from the Kanban that will tell me about, you know, the time that I spent in the development phase or in the, in the review phase and things like that.</v>
      </c>
      <c r="D69" s="15" t="str">
        <f>IFERROR(__xludf.DUMMYFUNCTION("""COMPUTED_VALUE"""),"Teach Kanban board.
You don't need quizzes if you grade the students continuously watching their Kanban boards.
Create a fictitious company based on experience for students to practice continuous improvement, creating applications, extracting data from "&amp;"Kanban.
Use Kanban to make the work visible in devops.
Make the students realize that the Kanban has certain information for analyzing the overall process.")</f>
        <v>Teach Kanban board.
You don't need quizzes if you grade the students continuously watching their Kanban boards.
Create a fictitious company based on experience for students to practice continuous improvement, creating applications, extracting data from Kanban.
Use Kanban to make the work visible in devops.
Make the students realize that the Kanban has certain information for analyzing the overall process.</v>
      </c>
      <c r="E69" s="15" t="str">
        <f>IFERROR(__xludf.DUMMYFUNCTION("""COMPUTED_VALUE"""),"Teach Kanban board.")</f>
        <v>Teach Kanban board.</v>
      </c>
      <c r="F69" s="9" t="s">
        <v>395</v>
      </c>
      <c r="G69" s="54" t="s">
        <v>16</v>
      </c>
      <c r="H69" s="53"/>
    </row>
    <row r="70">
      <c r="A70" s="7">
        <v>129.0</v>
      </c>
      <c r="B70" s="8" t="s">
        <v>191</v>
      </c>
      <c r="C70" s="15" t="str">
        <f>IFERROR(__xludf.DUMMYFUNCTION("filter('Imported Recommendations'!B:D,'Imported Recommendations'!A:A=A70)"),"I actually last semester I prepared something on Sunday. And when I got Wednesday, when we had the class and I went to the cloud, the cloud had changed. [...] we're pushing to the IBM cloud the other night and it said there's an, there's a new update avai"&amp;"lable for the tool. Uh, you know, version two, it may have breaking changes. And I said, timeout, nobody press, yes, everybody press no, because that's not the version I used on the weekend.
I'm usually maybe a couple of weeks out verifying something for"&amp;" an upcoming, an upcoming session.
The second recommendation is update your exercises often. ... you can get everything set up.
So you have to have your stack ready, but you have to update it with the current version of the software that you intend the "&amp;"students to use fairly close to the beginning of the session, if you don't want to be surprised.")</f>
        <v>I actually last semester I prepared something on Sunday. And when I got Wednesday, when we had the class and I went to the cloud, the cloud had changed. [...] we're pushing to the IBM cloud the other night and it said there's an, there's a new update available for the tool. Uh, you know, version two, it may have breaking changes. And I said, timeout, nobody press, yes, everybody press no, because that's not the version I used on the weekend.
I'm usually maybe a couple of weeks out verifying something for an upcoming, an upcoming session.
The second recommendation is update your exercises often. ... you can get everything set up.
So you have to have your stack ready, but you have to update it with the current version of the software that you intend the students to use fairly close to the beginning of the session, if you don't want to be surprised.</v>
      </c>
      <c r="D70" s="15" t="str">
        <f>IFERROR(__xludf.DUMMYFUNCTION("""COMPUTED_VALUE"""),"Check if the the labs work well always before start the class.
Verify if labs exercises are working before classes.
Update your exercises often to get everything set up.
Update your exercises frequently.")</f>
        <v>Check if the the labs work well always before start the class.
Verify if labs exercises are working before classes.
Update your exercises often to get everything set up.
Update your exercises frequently.</v>
      </c>
      <c r="E70" s="15"/>
      <c r="F70" s="9" t="s">
        <v>396</v>
      </c>
      <c r="G70" s="54" t="s">
        <v>336</v>
      </c>
      <c r="H70" s="53"/>
    </row>
    <row r="71">
      <c r="A71" s="7">
        <v>131.0</v>
      </c>
      <c r="B71" s="8" t="s">
        <v>191</v>
      </c>
      <c r="C71" s="15" t="str">
        <f>IFERROR(__xludf.DUMMYFUNCTION("filter('Imported Recommendations'!B:D,'Imported Recommendations'!A:A=A71)"),"Then I give them two exams. So the team is 40% of their grade. The exams are 60% a midterm that's 30 and a, and a final that's 30.")</f>
        <v>Then I give them two exams. So the team is 40% of their grade. The exams are 60% a midterm that's 30 and a, and a final that's 30.</v>
      </c>
      <c r="D71" s="15" t="str">
        <f>IFERROR(__xludf.DUMMYFUNCTION("""COMPUTED_VALUE"""),"So the team is 40% of their grade. The exams are 60% a midterm that's 30 and a, and a final that's 30.")</f>
        <v>So the team is 40% of their grade. The exams are 60% a midterm that's 30 and a, and a final that's 30.</v>
      </c>
      <c r="E71" s="15"/>
      <c r="F71" s="9" t="s">
        <v>397</v>
      </c>
      <c r="G71" s="54" t="s">
        <v>398</v>
      </c>
      <c r="H71" s="53"/>
    </row>
    <row r="72">
      <c r="A72" s="7">
        <v>132.0</v>
      </c>
      <c r="B72" s="8" t="s">
        <v>191</v>
      </c>
      <c r="C72" s="15" t="str">
        <f>IFERROR(__xludf.DUMMYFUNCTION("filter('Imported Recommendations'!B:D,'Imported Recommendations'!A:A=A72)"),"I try to get the student more engaged.... If they're not having fun, then we're, we're doing it wrong. So, so I'm making sure they're having fun.")</f>
        <v>I try to get the student more engaged.... If they're not having fun, then we're, we're doing it wrong. So, so I'm making sure they're having fun.</v>
      </c>
      <c r="D72" s="15" t="str">
        <f>IFERROR(__xludf.DUMMYFUNCTION("""COMPUTED_VALUE"""),"Try to get the student having fun in order to keep them engaged.")</f>
        <v>Try to get the student having fun in order to keep them engaged.</v>
      </c>
      <c r="E72" s="15"/>
      <c r="F72" s="9" t="s">
        <v>399</v>
      </c>
      <c r="G72" s="54" t="s">
        <v>27</v>
      </c>
      <c r="H72" s="53"/>
    </row>
    <row r="73">
      <c r="A73" s="7">
        <v>134.0</v>
      </c>
      <c r="B73" s="8" t="s">
        <v>191</v>
      </c>
      <c r="C73" s="15" t="str">
        <f>IFERROR(__xludf.DUMMYFUNCTION("filter('Imported Recommendations'!B:D,'Imported Recommendations'!A:A=A73)"),"the exams are open book, right? I, I, when I'm in the classroom, they're not open book, but for, for the remote learning, they have to be open book. I just can't enforce it.")</f>
        <v>the exams are open book, right? I, I, when I'm in the classroom, they're not open book, but for, for the remote learning, they have to be open book. I just can't enforce it.</v>
      </c>
      <c r="D73" s="15" t="str">
        <f>IFERROR(__xludf.DUMMYFUNCTION("""COMPUTED_VALUE"""),"Exams in remote class format are with the open book.")</f>
        <v>Exams in remote class format are with the open book.</v>
      </c>
      <c r="E73" s="15"/>
      <c r="F73" s="9" t="s">
        <v>400</v>
      </c>
      <c r="G73" s="54" t="s">
        <v>398</v>
      </c>
      <c r="H73" s="53"/>
    </row>
    <row r="74">
      <c r="A74" s="7">
        <v>137.0</v>
      </c>
      <c r="B74" s="8" t="s">
        <v>191</v>
      </c>
      <c r="C74" s="15" t="str">
        <f>IFERROR(__xludf.DUMMYFUNCTION("filter('Imported Recommendations'!B:D,'Imported Recommendations'!A:A=A74)"),"People coming through the programs want to play with technology. That's half the reason we got into this field in the first place, and it's a really fun thing to be able to do, but it's not sufficient. And trying to change that mindset to emphasize more t"&amp;"he idea of devops as a means of continuous improvement, as a means of organizational change. As a, to some extent I use this phrase guardedly, but to some extent, a philosophy around how the organization is going to go from concept to implementation, that"&amp;"'s a much harder set of skills to pick up.
The global approach made sure the students not associated with devops with a CI/CD pipeline, because in my opinion, it's all about continuous improvement.
This mindset of thinking of continuous improvement is s"&amp;"o important, right?  ... the improvement of the daily work is more important than the work itself.
What should I improve to make my process more efficient? So to me, this is the most important thing of DevOps. And, and, and then you do it through automat"&amp;"ion, automation of, of the deployment process, automation of, of, you know, the testing process automation later of the security, uh, thing and so on.")</f>
        <v>People coming through the programs want to play with technology. That's half the reason we got into this field in the first place, and it's a really fun thing to be able to do, but it's not sufficient. And trying to change that mindset to emphasize more the idea of devops as a means of continuous improvement, as a means of organizational change. As a, to some extent I use this phrase guardedly, but to some extent, a philosophy around how the organization is going to go from concept to implementation, that's a much harder set of skills to pick up.
The global approach made sure the students not associated with devops with a CI/CD pipeline, because in my opinion, it's all about continuous improvement.
This mindset of thinking of continuous improvement is so important, right?  ... the improvement of the daily work is more important than the work itself.
What should I improve to make my process more efficient? So to me, this is the most important thing of DevOps. And, and, and then you do it through automation, automation of, of the deployment process, automation of, of, you know, the testing process automation later of the security, uh, thing and so on.</v>
      </c>
      <c r="D74" s="15" t="str">
        <f>IFERROR(__xludf.DUMMYFUNCTION("""COMPUTED_VALUE"""),"Make clear the importance of the DevOps mindset like continuous improvement in constrast to using the tools.
Continuous improvement is a key DevOps concept.
The mindset of thinking of continuous improvement is so important because the improvement of the"&amp;" daily work is more important than the work itself.
The most importart thing of DevOps is to improve my process continuously through automation of the deployment process.")</f>
        <v>Make clear the importance of the DevOps mindset like continuous improvement in constrast to using the tools.
Continuous improvement is a key DevOps concept.
The mindset of thinking of continuous improvement is so important because the improvement of the daily work is more important than the work itself.
The most importart thing of DevOps is to improve my process continuously through automation of the deployment process.</v>
      </c>
      <c r="E74" s="15" t="str">
        <f>IFERROR(__xludf.DUMMYFUNCTION("""COMPUTED_VALUE"""),"Continuous improvement is a key DevOps concept.")</f>
        <v>Continuous improvement is a key DevOps concept.</v>
      </c>
      <c r="F74" s="9" t="s">
        <v>401</v>
      </c>
      <c r="G74" s="54" t="s">
        <v>16</v>
      </c>
      <c r="H74" s="53"/>
    </row>
    <row r="75">
      <c r="A75" s="7">
        <v>138.0</v>
      </c>
      <c r="B75" s="8" t="s">
        <v>191</v>
      </c>
      <c r="C75" s="15" t="str">
        <f>IFERROR(__xludf.DUMMYFUNCTION("filter('Imported Recommendations'!B:D,'Imported Recommendations'!A:A=A75)"),"I'm starting to do is to just build out images, for example, that contain everything that I want them to have. Uh, and that way I can tell them to spin up a virtual machine. ")</f>
        <v>I'm starting to do is to just build out images, for example, that contain everything that I want them to have. Uh, and that way I can tell them to spin up a virtual machine. </v>
      </c>
      <c r="D75" s="36" t="str">
        <f>IFERROR(__xludf.DUMMYFUNCTION("""COMPUTED_VALUE"""),"Use imagens that contain everything that the teacher wants to teach to clone virtual machines.")</f>
        <v>Use imagens that contain everything that the teacher wants to teach to clone virtual machines.</v>
      </c>
      <c r="E75" s="15"/>
      <c r="F75" s="9" t="s">
        <v>402</v>
      </c>
      <c r="G75" s="54" t="s">
        <v>12</v>
      </c>
      <c r="H75" s="53"/>
    </row>
    <row r="76">
      <c r="A76" s="7">
        <v>140.0</v>
      </c>
      <c r="B76" s="8" t="s">
        <v>191</v>
      </c>
      <c r="C76" s="15" t="str">
        <f>IFERROR(__xludf.DUMMYFUNCTION("filter('Imported Recommendations'!B:D,'Imported Recommendations'!A:A=A76)"),"I will pick one, usually one, although I'll usually compare and contrast against a couple of others, something in the around of automated builds.")</f>
        <v>I will pick one, usually one, although I'll usually compare and contrast against a couple of others, something in the around of automated builds.</v>
      </c>
      <c r="D76" s="15" t="str">
        <f>IFERROR(__xludf.DUMMYFUNCTION("""COMPUTED_VALUE"""),"Compare and contrast the tools before to choice.")</f>
        <v>Compare and contrast the tools before to choice.</v>
      </c>
      <c r="E76" s="15"/>
      <c r="F76" s="9" t="s">
        <v>403</v>
      </c>
      <c r="G76" s="54" t="s">
        <v>18</v>
      </c>
      <c r="H76" s="53"/>
    </row>
    <row r="77">
      <c r="A77" s="7">
        <v>141.0</v>
      </c>
      <c r="B77" s="8" t="s">
        <v>191</v>
      </c>
      <c r="C77" s="15" t="str">
        <f>IFERROR(__xludf.DUMMYFUNCTION("filter('Imported Recommendations'!B:D,'Imported Recommendations'!A:A=A77)"),"I try to use cloud providers, you know, kind of cloud SAS providers for that sort of thing, because I don't want people to spend a lot of time getting the stuff stood up.")</f>
        <v>I try to use cloud providers, you know, kind of cloud SAS providers for that sort of thing, because I don't want people to spend a lot of time getting the stuff stood up.</v>
      </c>
      <c r="D77" s="15" t="str">
        <f>IFERROR(__xludf.DUMMYFUNCTION("""COMPUTED_VALUE"""),"Use cloud SAS providers to avoid spending a lot of time installations and configurations.")</f>
        <v>Use cloud SAS providers to avoid spending a lot of time installations and configurations.</v>
      </c>
      <c r="E77" s="15"/>
      <c r="F77" s="9" t="s">
        <v>404</v>
      </c>
      <c r="G77" s="54" t="s">
        <v>12</v>
      </c>
      <c r="H77" s="53"/>
    </row>
    <row r="78">
      <c r="A78" s="7">
        <v>143.0</v>
      </c>
      <c r="B78" s="8" t="s">
        <v>191</v>
      </c>
      <c r="C78" s="15" t="str">
        <f>IFERROR(__xludf.DUMMYFUNCTION("filter('Imported Recommendations'!B:D,'Imported Recommendations'!A:A=A78)"),"I'm having conversations with the university about trying to take the devops course and essentially converting it to a three course sequence one for agile, one for kind of the dev part of devops and one for the ops part of devops.")</f>
        <v>I'm having conversations with the university about trying to take the devops course and essentially converting it to a three course sequence one for agile, one for kind of the dev part of devops and one for the ops part of devops.</v>
      </c>
      <c r="D78" s="15" t="str">
        <f>IFERROR(__xludf.DUMMYFUNCTION("""COMPUTED_VALUE"""),"separate the dev and ops part into different courses.")</f>
        <v>separate the dev and ops part into different courses.</v>
      </c>
      <c r="E78" s="15"/>
      <c r="F78" s="9" t="s">
        <v>405</v>
      </c>
      <c r="G78" s="54" t="s">
        <v>10</v>
      </c>
      <c r="H78" s="53"/>
    </row>
    <row r="79">
      <c r="A79" s="7">
        <v>144.0</v>
      </c>
      <c r="B79" s="8" t="s">
        <v>191</v>
      </c>
      <c r="C79" s="15" t="str">
        <f>IFERROR(__xludf.DUMMYFUNCTION("filter('Imported Recommendations'!B:D,'Imported Recommendations'!A:A=A79)"),"And that level of what you're trying to do is to build a business case for why you want that at all. And now you're starting to get a little bit around of the computer science and into around of business and being able to tie those two things together in "&amp;"such a way that you can sell it to an organization that would have to spend resources, people, time, energy, money, building out that kind of a technical pipeline, right? 
 ... you have to somehow sell them on why you should spend your sources doing that "&amp;"versus building a new feature or adding a new product or any one of a number of other competing priorities that the business has.")</f>
        <v>And that level of what you're trying to do is to build a business case for why you want that at all. And now you're starting to get a little bit around of the computer science and into around of business and being able to tie those two things together in such a way that you can sell it to an organization that would have to spend resources, people, time, energy, money, building out that kind of a technical pipeline, right? 
 ... you have to somehow sell them on why you should spend your sources doing that versus building a new feature or adding a new product or any one of a number of other competing priorities that the business has.</v>
      </c>
      <c r="D79" s="15" t="str">
        <f>IFERROR(__xludf.DUMMYFUNCTION("""COMPUTED_VALUE"""),"Teach students to know how to sell DevOps benefits to their directors who are from the business area. For example, pipeline reduce developers work time and save money. You can also build a new feature or add a new product that the business has.")</f>
        <v>Teach students to know how to sell DevOps benefits to their directors who are from the business area. For example, pipeline reduce developers work time and save money. You can also build a new feature or add a new product that the business has.</v>
      </c>
      <c r="E79" s="15"/>
      <c r="F79" s="9" t="s">
        <v>406</v>
      </c>
      <c r="G79" s="54" t="s">
        <v>16</v>
      </c>
      <c r="H79" s="53"/>
    </row>
    <row r="80">
      <c r="A80" s="7">
        <v>146.0</v>
      </c>
      <c r="B80" s="8" t="s">
        <v>191</v>
      </c>
      <c r="C80" s="15" t="str">
        <f>IFERROR(__xludf.DUMMYFUNCTION("filter('Imported Recommendations'!B:D,'Imported Recommendations'!A:A=A80)"),"So I try to give folks one or two small projects.
We will also build a sample, which is on github. I'll send you the link. If you want. We build a sample that is called a cookie factory. Um, it's, it's a system to handle a cookie factory where you can or"&amp;"der cookie pay for them, and you get a shopping cart with cookies, et cetera, right? So it's just a small sample.
We have built a little simulator that is quite simple, but that's easy to traverse the whole, essentially the main phases of DevOps.")</f>
        <v>So I try to give folks one or two small projects.
We will also build a sample, which is on github. I'll send you the link. If you want. We build a sample that is called a cookie factory. Um, it's, it's a system to handle a cookie factory where you can order cookie pay for them, and you get a shopping cart with cookies, et cetera, right? So it's just a small sample.
We have built a little simulator that is quite simple, but that's easy to traverse the whole, essentially the main phases of DevOps.</v>
      </c>
      <c r="D80" s="15" t="str">
        <f>IFERROR(__xludf.DUMMYFUNCTION("""COMPUTED_VALUE"""),"Specify what projects the students will work and provide one or two small projects.
Use small projects with students.
Use a simple application to walk through all DevOps concepts.")</f>
        <v>Specify what projects the students will work and provide one or two small projects.
Use small projects with students.
Use a simple application to walk through all DevOps concepts.</v>
      </c>
      <c r="E80" s="15" t="str">
        <f>IFERROR(__xludf.DUMMYFUNCTION("""COMPUTED_VALUE"""),"Research small projects for the students.")</f>
        <v>Research small projects for the students.</v>
      </c>
      <c r="F80" s="9" t="s">
        <v>407</v>
      </c>
      <c r="G80" s="54" t="s">
        <v>336</v>
      </c>
      <c r="H80" s="53"/>
    </row>
    <row r="81">
      <c r="A81" s="7">
        <v>147.0</v>
      </c>
      <c r="B81" s="8" t="s">
        <v>191</v>
      </c>
      <c r="C81" s="15" t="str">
        <f>IFERROR(__xludf.DUMMYFUNCTION("filter('Imported Recommendations'!B:D,'Imported Recommendations'!A:A=A81)"),"I will try to provide, uh, some kind of, of jump-starting as far as people learning at technology. So for example, here's commonly used commands. Here's why you use them. Here's how you use them.")</f>
        <v>I will try to provide, uh, some kind of, of jump-starting as far as people learning at technology. So for example, here's commonly used commands. Here's why you use them. Here's how you use them.</v>
      </c>
      <c r="D81" s="15" t="str">
        <f>IFERROR(__xludf.DUMMYFUNCTION("""COMPUTED_VALUE"""),"Provide jump-starting examples of commonly used commands of tools.")</f>
        <v>Provide jump-starting examples of commonly used commands of tools.</v>
      </c>
      <c r="E81" s="15"/>
      <c r="F81" s="9" t="s">
        <v>408</v>
      </c>
      <c r="G81" s="54" t="s">
        <v>27</v>
      </c>
      <c r="H81" s="53"/>
    </row>
    <row r="82">
      <c r="A82" s="7">
        <v>149.0</v>
      </c>
      <c r="B82" s="8" t="s">
        <v>191</v>
      </c>
      <c r="C82" s="15" t="str">
        <f>IFERROR(__xludf.DUMMYFUNCTION("filter('Imported Recommendations'!B:D,'Imported Recommendations'!A:A=A82)"),"Our particular curriculum tends to allow out of, some degree of necessity and amount of interest based learning. You know, I care about software architecture. And so that's where I want to focus.")</f>
        <v>Our particular curriculum tends to allow out of, some degree of necessity and amount of interest based learning. You know, I care about software architecture. And so that's where I want to focus.</v>
      </c>
      <c r="D82" s="15" t="str">
        <f>IFERROR(__xludf.DUMMYFUNCTION("""COMPUTED_VALUE"""),"Our curriculum allows some degree of freedom according to the teacher's preferences.")</f>
        <v>Our curriculum allows some degree of freedom according to the teacher's preferences.</v>
      </c>
      <c r="E82" s="15"/>
      <c r="F82" s="9" t="s">
        <v>409</v>
      </c>
      <c r="G82" s="54" t="s">
        <v>10</v>
      </c>
      <c r="H82" s="53"/>
    </row>
    <row r="83">
      <c r="A83" s="7">
        <v>150.0</v>
      </c>
      <c r="B83" s="8" t="s">
        <v>191</v>
      </c>
      <c r="C83" s="15" t="str">
        <f>IFERROR(__xludf.DUMMYFUNCTION("filter('Imported Recommendations'!B:D,'Imported Recommendations'!A:A=A83)"),"We let the students build only one project, one code base, which is evaluated both on the standpoint of the architecture. ... but also from the angle of continuous integration, do they include build plan?")</f>
        <v>We let the students build only one project, one code base, which is evaluated both on the standpoint of the architecture. ... but also from the angle of continuous integration, do they include build plan?</v>
      </c>
      <c r="D83" s="15" t="str">
        <f>IFERROR(__xludf.DUMMYFUNCTION("""COMPUTED_VALUE"""),"Evaluate the single project of the students on the standpoint of the architecture and also from the angle of continuous integration.")</f>
        <v>Evaluate the single project of the students on the standpoint of the architecture and also from the angle of continuous integration.</v>
      </c>
      <c r="E83" s="15"/>
      <c r="F83" s="9" t="s">
        <v>410</v>
      </c>
      <c r="G83" s="54" t="s">
        <v>398</v>
      </c>
      <c r="H83" s="53"/>
    </row>
    <row r="84">
      <c r="A84" s="7">
        <v>152.0</v>
      </c>
      <c r="B84" s="8" t="s">
        <v>191</v>
      </c>
      <c r="C84" s="15" t="str">
        <f>IFERROR(__xludf.DUMMYFUNCTION("filter('Imported Recommendations'!B:D,'Imported Recommendations'!A:A=A84)"),"And then another team uses in a 13 deploys to environment that the first team cannot get to because it's a production environment that the coder will not get access to it. So in real life, you have different teams of people that talk only through some cha"&amp;"nnels.")</f>
        <v>And then another team uses in a 13 deploys to environment that the first team cannot get to because it's a production environment that the coder will not get access to it. So in real life, you have different teams of people that talk only through some channels.</v>
      </c>
      <c r="D84" s="15" t="str">
        <f>IFERROR(__xludf.DUMMYFUNCTION("""COMPUTED_VALUE"""),"Show the operational constraints to students like coder will not get access to production environment.")</f>
        <v>Show the operational constraints to students like coder will not get access to production environment.</v>
      </c>
      <c r="E84" s="15"/>
      <c r="F84" s="9" t="s">
        <v>411</v>
      </c>
      <c r="G84" s="54" t="s">
        <v>27</v>
      </c>
      <c r="H84" s="53"/>
    </row>
    <row r="85">
      <c r="A85" s="7">
        <v>153.0</v>
      </c>
      <c r="B85" s="8" t="s">
        <v>191</v>
      </c>
      <c r="C85" s="15" t="str">
        <f>IFERROR(__xludf.DUMMYFUNCTION("filter('Imported Recommendations'!B:D,'Imported Recommendations'!A:A=A85)"),"And then as we go into more concept, like what is Jenkins and what is Artifactory and what is Docker, then we can go back on those things.")</f>
        <v>And then as we go into more concept, like what is Jenkins and what is Artifactory and what is Docker, then we can go back on those things.</v>
      </c>
      <c r="D85" s="15" t="str">
        <f>IFERROR(__xludf.DUMMYFUNCTION("""COMPUTED_VALUE"""),"Study the tools more when you go into the concepts. For example, deep Docker when you teach containers.")</f>
        <v>Study the tools more when you go into the concepts. For example, deep Docker when you teach containers.</v>
      </c>
      <c r="E85" s="15"/>
      <c r="F85" s="9" t="s">
        <v>412</v>
      </c>
      <c r="G85" s="54" t="s">
        <v>27</v>
      </c>
      <c r="H85" s="53"/>
    </row>
    <row r="86">
      <c r="A86" s="7">
        <v>155.0</v>
      </c>
      <c r="B86" s="8" t="s">
        <v>191</v>
      </c>
      <c r="C86" s="15" t="str">
        <f>IFERROR(__xludf.DUMMYFUNCTION("filter('Imported Recommendations'!B:D,'Imported Recommendations'!A:A=A86)"),"In this year, if you do that, it's too early and it's going to be too hard for you as a teacher to, to know what's going on. So by forcing the technology stack and telling them.
I mean, they're free to do what they want from a functional standpoint in th"&amp;"e project.
But from a tools and technology, we force just on them to avoid too many variation between the groups.
We use a very specific language. This is to just make it easy. I mean, sometimes we give it a bit too flexible. So right now we use a Java "&amp;"and Javascript because we are targeting web application. But, uh, when we students are implementing, uh, new features, so we give them the flexibility. We say, okay, parents, if you want to implement in Python, you can do it as long as you can wrap it in,"&amp;" uh, integrated in the new code.
 We give some kind of rough summary of what the application is supposed to do.")</f>
        <v>In this year, if you do that, it's too early and it's going to be too hard for you as a teacher to, to know what's going on. So by forcing the technology stack and telling them.
I mean, they're free to do what they want from a functional standpoint in the project.
But from a tools and technology, we force just on them to avoid too many variation between the groups.
We use a very specific language. This is to just make it easy. I mean, sometimes we give it a bit too flexible. So right now we use a Java and Javascript because we are targeting web application. But, uh, when we students are implementing, uh, new features, so we give them the flexibility. We say, okay, parents, if you want to implement in Python, you can do it as long as you can wrap it in, uh, integrated in the new code.
 We give some kind of rough summary of what the application is supposed to do.</v>
      </c>
      <c r="D86" s="15" t="str">
        <f>IFERROR(__xludf.DUMMYFUNCTION("""COMPUTED_VALUE"""),"Force students to use technology stack used on course.
It is necessary to give freedom to student develop their functional solution.
We force tools and tecnology and alert them to avoid too many variation between the groups.
It is important to give fle"&amp;"xibility to students to develop their solution although some things are determined.
Give students a rough summary of what their application are supposed to do.")</f>
        <v>Force students to use technology stack used on course.
It is necessary to give freedom to student develop their functional solution.
We force tools and tecnology and alert them to avoid too many variation between the groups.
It is important to give flexibility to students to develop their solution although some things are determined.
Give students a rough summary of what their application are supposed to do.</v>
      </c>
      <c r="E86" s="15" t="str">
        <f>IFERROR(__xludf.DUMMYFUNCTION("""COMPUTED_VALUE"""),"Force students to use technology stack used on course.")</f>
        <v>Force students to use technology stack used on course.</v>
      </c>
      <c r="F86" s="9" t="s">
        <v>413</v>
      </c>
      <c r="G86" s="54" t="s">
        <v>18</v>
      </c>
      <c r="H86" s="53"/>
    </row>
    <row r="87">
      <c r="A87" s="7">
        <v>156.0</v>
      </c>
      <c r="B87" s="8" t="s">
        <v>191</v>
      </c>
      <c r="C87" s="15" t="str">
        <f>IFERROR(__xludf.DUMMYFUNCTION("filter('Imported Recommendations'!B:D,'Imported Recommendations'!A:A=A87)"),"Go gradually. Um, so tha t,that was part of my strategy. The other thing is I've built a few, what I called a, um, whiteboard free session. So I go something like every week we have half a day, one hour of, uh, formal teaching. And then two hours exercise"&amp;" and we do that for like three weeks in a row. [...] So I do like three classrooms, one free session inspired by what they fail on and I continue.
")</f>
        <v>Go gradually. Um, so tha t,that was part of my strategy. The other thing is I've built a few, what I called a, um, whiteboard free session. So I go something like every week we have half a day, one hour of, uh, formal teaching. And then two hours exercise and we do that for like three weeks in a row. [...] So I do like three classrooms, one free session inspired by what they fail on and I continue.
</v>
      </c>
      <c r="D87" s="15" t="str">
        <f>IFERROR(__xludf.DUMMYFUNCTION("""COMPUTED_VALUE"""),"Build whiteboard free sessions inspired by what students have failed and the two hours exercise.")</f>
        <v>Build whiteboard free sessions inspired by what students have failed and the two hours exercise.</v>
      </c>
      <c r="E87" s="15"/>
      <c r="F87" s="9" t="s">
        <v>414</v>
      </c>
      <c r="G87" s="54" t="s">
        <v>27</v>
      </c>
      <c r="H87" s="53"/>
    </row>
    <row r="88">
      <c r="A88" s="7">
        <v>158.0</v>
      </c>
      <c r="B88" s="8" t="s">
        <v>191</v>
      </c>
      <c r="C88" s="15" t="str">
        <f>IFERROR(__xludf.DUMMYFUNCTION("filter('Imported Recommendations'!B:D,'Imported Recommendations'!A:A=A88)")," we also do two evaluations, one in the middle and one at the end. So the one in the middle, we call it MVP evaluation. And we tell them, at this point, you should have reached an MVP, which is basically a walking skeleton for your code. We don't care if "&amp;"when you call the API, the only code of the API is return true, or which are 12, but we care that you have the components in place. You can build them independently and they can talk to each other. Right? So at this, we validate that your componentization"&amp;" and your architecture is good even before you start building algorithms and the functional code. Um, so we do that and that's, again, that's to catch early, um, architecture mistakes.
")</f>
        <v> we also do two evaluations, one in the middle and one at the end. So the one in the middle, we call it MVP evaluation. And we tell them, at this point, you should have reached an MVP, which is basically a walking skeleton for your code. We don't care if when you call the API, the only code of the API is return true, or which are 12, but we care that you have the components in place. You can build them independently and they can talk to each other. Right? So at this, we validate that your componentization and your architecture is good even before you start building algorithms and the functional code. Um, so we do that and that's, again, that's to catch early, um, architecture mistakes.
</v>
      </c>
      <c r="D88" s="15" t="str">
        <f>IFERROR(__xludf.DUMMYFUNCTION("""COMPUTED_VALUE"""),"Use MVP (Minimum viable product) evaluation to validate components of the project. Make an evaluation in the middle and the final course.")</f>
        <v>Use MVP (Minimum viable product) evaluation to validate components of the project. Make an evaluation in the middle and the final course.</v>
      </c>
      <c r="E88" s="15"/>
      <c r="F88" s="9" t="s">
        <v>415</v>
      </c>
      <c r="G88" s="54" t="s">
        <v>398</v>
      </c>
      <c r="H88" s="53"/>
    </row>
    <row r="89">
      <c r="A89" s="7">
        <v>159.0</v>
      </c>
      <c r="B89" s="8" t="s">
        <v>191</v>
      </c>
      <c r="C89" s="15" t="str">
        <f>IFERROR(__xludf.DUMMYFUNCTION("filter('Imported Recommendations'!B:D,'Imported Recommendations'!A:A=A89)"),"we also have a lot of evaluation during the exercise. When group after group, where we, we give them flags if week green, yellow, or red, based on where we think they are, uh, regarding the objectives.")</f>
        <v>we also have a lot of evaluation during the exercise. When group after group, where we, we give them flags if week green, yellow, or red, based on where we think they are, uh, regarding the objectives.</v>
      </c>
      <c r="D89" s="15" t="str">
        <f>IFERROR(__xludf.DUMMYFUNCTION("""COMPUTED_VALUE"""),"Do many evaluations of students project along with the discipline. Use green, yellow or red flags to evaluate the group.")</f>
        <v>Do many evaluations of students project along with the discipline. Use green, yellow or red flags to evaluate the group.</v>
      </c>
      <c r="E89" s="15"/>
      <c r="F89" s="9" t="s">
        <v>416</v>
      </c>
      <c r="G89" s="54" t="s">
        <v>398</v>
      </c>
      <c r="H89" s="53"/>
    </row>
    <row r="90">
      <c r="A90" s="7">
        <v>161.0</v>
      </c>
      <c r="B90" s="8" t="s">
        <v>191</v>
      </c>
      <c r="C90" s="15" t="str">
        <f>IFERROR(__xludf.DUMMYFUNCTION("filter('Imported Recommendations'!B:D,'Imported Recommendations'!A:A=A90)"),"We show them Kubernetes.
Let's go for something that we have more control on, uh, using for tools like Jenkins and and a stuff like Docker or Kubernetes was kind of good in a way to, uh, support the deployment and the, uh, like the building plus deployme"&amp;"nt stuff.
I want to be able to deploy it with containers. So it can be, um, through Kubernetes, it can be through Docker.")</f>
        <v>We show them Kubernetes.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v>
      </c>
      <c r="D90" s="15" t="str">
        <f>IFERROR(__xludf.DUMMYFUNCTION("""COMPUTED_VALUE"""),"Kubernetes can be chosen as DevOps tool.
Use tools like Kubernetes to have more control on support the deployment.
Uses Kubernetes as container deployment tool adopted by the course.")</f>
        <v>Kubernetes can be chosen as DevOps tool.
Use tools like Kubernetes to have more control on support the deployment.
Uses Kubernetes as container deployment tool adopted by the course.</v>
      </c>
      <c r="E90" s="15" t="str">
        <f>IFERROR(__xludf.DUMMYFUNCTION("""COMPUTED_VALUE"""),"Kubernetes can be chosen as DevOps tool.")</f>
        <v>Kubernetes can be chosen as DevOps tool.</v>
      </c>
      <c r="F90" s="9" t="s">
        <v>417</v>
      </c>
      <c r="G90" s="54" t="s">
        <v>18</v>
      </c>
      <c r="H90" s="53"/>
    </row>
    <row r="91">
      <c r="A91" s="7">
        <v>162.0</v>
      </c>
      <c r="B91" s="8" t="s">
        <v>191</v>
      </c>
      <c r="C91" s="15" t="str">
        <f>IFERROR(__xludf.DUMMYFUNCTION("filter('Imported Recommendations'!B:D,'Imported Recommendations'!A:A=A91)"),"I covered it is a few lectures, like on, on DevOps and, um, which look at DevOps from a kind of generic perspective, like introducing the concept of DevOps and the challenges related to DevOps and, and, and so on. And then introducing them some of the bas"&amp;"ic tools, like for instance, so using things like continuous integration tools, like Jenkins SIM swollen. And, uh, so I tried to introduce, uh, between maybe spending about a couple of weeks doing that, like the course was about 12 weeks. And so in Zen Ap"&amp;"p there, I focus more on specialized issues. So we spent some time on performance and scalability testing and things like the good testing and so on.")</f>
        <v>I covered it is a few lectures, like on, on DevOps and, um, which look at DevOps from a kind of generic perspective, like introducing the concept of DevOps and the challenges related to DevOps and, and, and so on. And then introducing them some of the basic tools, like for instance, so using things like continuous integration tools, like Jenkins SIM swollen. And, uh, so I tried to introduce, uh, between maybe spending about a couple of weeks doing that, like the course was about 12 weeks. And so in Zen App there, I focus more on specialized issues. So we spent some time on performance and scalability testing and things like the good testing and so on.</v>
      </c>
      <c r="D91" s="15" t="str">
        <f>IFERROR(__xludf.DUMMYFUNCTION("""COMPUTED_VALUE"""),"Start with a generic perspective of DevOps, basic concepts, and after a few weeks start to focus on specialized issues.")</f>
        <v>Start with a generic perspective of DevOps, basic concepts, and after a few weeks start to focus on specialized issues.</v>
      </c>
      <c r="E91" s="15"/>
      <c r="F91" s="9" t="s">
        <v>418</v>
      </c>
      <c r="G91" s="54" t="s">
        <v>336</v>
      </c>
      <c r="H91" s="53"/>
    </row>
    <row r="92">
      <c r="A92" s="7">
        <v>164.0</v>
      </c>
      <c r="B92" s="8" t="s">
        <v>191</v>
      </c>
      <c r="C92" s="15" t="str">
        <f>IFERROR(__xludf.DUMMYFUNCTION("filter('Imported Recommendations'!B:D,'Imported Recommendations'!A:A=A92)"),"The students have to do in the projects is to start by coming up with the requirements of the obvious application, and then start setting up their own environment and provide some additional functionalities that we want to implement.
 So they have set up"&amp;" their environment.
The second one is to, we give them an application. It's an actually an HVAC humidity, air conditioning and ventilation, um, and they don't develop the application, but they have to build the pipeline to support this existing applicati"&amp;"on.")</f>
        <v>The students have to do in the projects is to start by coming up with the requirements of the obvious application, and then start setting up their own environment and provide some additional functionalities that we want to implement.
 So they have set up their environment.
The second one is to, we give them an application. It's an actually an HVAC humidity, air conditioning and ventilation, um, and they don't develop the application, but they have to build the pipeline to support this existing application.</v>
      </c>
      <c r="D92" s="15" t="str">
        <f>IFERROR(__xludf.DUMMYFUNCTION("""COMPUTED_VALUE"""),"Students start setting up their own DevOps environment and provide additional feature using simple application in the project.
Let students setup their environment for themselves.
Give students an application that they have to build the pipeline to supp"&amp;"ort it.")</f>
        <v>Students start setting up their own DevOps environment and provide additional feature using simple application in the project.
Let students setup their environment for themselves.
Give students an application that they have to build the pipeline to support it.</v>
      </c>
      <c r="E92" s="15" t="str">
        <f>IFERROR(__xludf.DUMMYFUNCTION("""COMPUTED_VALUE"""),"Students setting up their own DevOps environment.")</f>
        <v>Students setting up their own DevOps environment.</v>
      </c>
      <c r="F92" s="9" t="s">
        <v>419</v>
      </c>
      <c r="G92" s="54" t="s">
        <v>12</v>
      </c>
      <c r="H92" s="53"/>
    </row>
    <row r="93">
      <c r="A93" s="7">
        <v>165.0</v>
      </c>
      <c r="B93" s="8" t="s">
        <v>191</v>
      </c>
      <c r="C93" s="15" t="str">
        <f>IFERROR(__xludf.DUMMYFUNCTION("filter('Imported Recommendations'!B:D,'Imported Recommendations'!A:A=A93)"),"Also making the project interesting is important because it, you can, it's very easy when you are teaching to just take a very small project, which is not very, uh, challenging in all with students.
")</f>
        <v>Also making the project interesting is important because it, you can, it's very easy when you are teaching to just take a very small project, which is not very, uh, challenging in all with students.
</v>
      </c>
      <c r="D93" s="15" t="str">
        <f>IFERROR(__xludf.DUMMYFUNCTION("""COMPUTED_VALUE"""),"The project of the class should not be very small and must be challenging.")</f>
        <v>The project of the class should not be very small and must be challenging.</v>
      </c>
      <c r="E93" s="15"/>
      <c r="F93" s="9" t="s">
        <v>420</v>
      </c>
      <c r="G93" s="54" t="s">
        <v>27</v>
      </c>
      <c r="H93" s="53"/>
    </row>
    <row r="94">
      <c r="A94" s="7">
        <v>167.0</v>
      </c>
      <c r="B94" s="8" t="s">
        <v>191</v>
      </c>
      <c r="C94" s="15" t="str">
        <f>IFERROR(__xludf.DUMMYFUNCTION("filter('Imported Recommendations'!B:D,'Imported Recommendations'!A:A=A94)"),"we use also SonarQube to help us on the automation")</f>
        <v>we use also SonarQube to help us on the automation</v>
      </c>
      <c r="D94" s="15" t="str">
        <f>IFERROR(__xludf.DUMMYFUNCTION("""COMPUTED_VALUE"""),"Use SonarQube to help on the automation.")</f>
        <v>Use SonarQube to help on the automation.</v>
      </c>
      <c r="E94" s="15"/>
      <c r="F94" s="9" t="s">
        <v>421</v>
      </c>
      <c r="G94" s="54" t="s">
        <v>12</v>
      </c>
      <c r="H94" s="53"/>
    </row>
    <row r="95">
      <c r="A95" s="7">
        <v>168.0</v>
      </c>
      <c r="B95" s="8" t="s">
        <v>191</v>
      </c>
      <c r="C95" s="15" t="str">
        <f>IFERROR(__xludf.DUMMYFUNCTION("filter('Imported Recommendations'!B:D,'Imported Recommendations'!A:A=A95)"),"for performance testing we use JMeter")</f>
        <v>for performance testing we use JMeter</v>
      </c>
      <c r="D95" s="15" t="str">
        <f>IFERROR(__xludf.DUMMYFUNCTION("""COMPUTED_VALUE"""),"Use JMeter for performance testing.")</f>
        <v>Use JMeter for performance testing.</v>
      </c>
      <c r="E95" s="15"/>
      <c r="F95" s="9" t="s">
        <v>422</v>
      </c>
      <c r="G95" s="54" t="s">
        <v>18</v>
      </c>
      <c r="H95" s="53"/>
    </row>
    <row r="96">
      <c r="A96" s="7">
        <v>170.0</v>
      </c>
      <c r="B96" s="8" t="s">
        <v>191</v>
      </c>
      <c r="C96" s="15" t="str">
        <f>IFERROR(__xludf.DUMMYFUNCTION("filter('Imported Recommendations'!B:D,'Imported Recommendations'!A:A=A96)"),"So in terms of the tools, I feel better. I think one of the good aspect in DevOps is that there are a lot of tools [...] DevOps tools are available and where a lot of them are free and some of them are conscious of those. So a lot of them are free. And, a"&amp;"nd then, so, so far, I think it has been good.")</f>
        <v>So in terms of the tools, I feel better. I think one of the good aspect in DevOps is that there are a lot of tools [...] DevOps tools are available and where a lot of them are free and some of them are conscious of those. So a lot of them are free. And, and then, so, so far, I think it has been good.</v>
      </c>
      <c r="D96" s="15" t="str">
        <f>IFERROR(__xludf.DUMMYFUNCTION("""COMPUTED_VALUE"""),"There are many free DevOps tools available.")</f>
        <v>There are many free DevOps tools available.</v>
      </c>
      <c r="E96" s="15"/>
      <c r="F96" s="9" t="s">
        <v>423</v>
      </c>
      <c r="G96" s="54" t="s">
        <v>18</v>
      </c>
      <c r="H96" s="53"/>
    </row>
    <row r="97">
      <c r="A97" s="7">
        <v>171.0</v>
      </c>
      <c r="B97" s="8" t="s">
        <v>191</v>
      </c>
      <c r="C97" s="15" t="str">
        <f>IFERROR(__xludf.DUMMYFUNCTION("filter('Imported Recommendations'!B:D,'Imported Recommendations'!A:A=A97)"),"Quite often, what we do is have someone in our team to implement the application.")</f>
        <v>Quite often, what we do is have someone in our team to implement the application.</v>
      </c>
      <c r="D97" s="15" t="str">
        <f>IFERROR(__xludf.DUMMYFUNCTION("""COMPUTED_VALUE"""),"Someone from teacher staff implements the sample application.")</f>
        <v>Someone from teacher staff implements the sample application.</v>
      </c>
      <c r="E97" s="15"/>
      <c r="F97" s="9" t="s">
        <v>424</v>
      </c>
      <c r="G97" s="54" t="s">
        <v>336</v>
      </c>
      <c r="H97" s="53"/>
    </row>
    <row r="98">
      <c r="A98" s="7">
        <v>173.0</v>
      </c>
      <c r="B98" s="8" t="s">
        <v>191</v>
      </c>
      <c r="C98" s="15" t="str">
        <f>IFERROR(__xludf.DUMMYFUNCTION("filter('Imported Recommendations'!B:D,'Imported Recommendations'!A:A=A98)"),"We presented as a lab project [...] So the students start initially by defining the requirements and then after they start a secondary pipeline, and then they do at least a couple of weeks iterations cycle and develop cycle. And then after they go to do p"&amp;"erformance testing to do a security testing and all those kinds of things, and for each of these deliverables, we submit something, every report. And, and, uh, so that's very easy to map because it's a very practical.")</f>
        <v>We presented as a lab project [...] So the students start initially by defining the requirements and then after they start a secondary pipeline, and then they do at least a couple of weeks iterations cycle and develop cycle. And then after they go to do performance testing to do a security testing and all those kinds of things, and for each of these deliverables, we submit something, every report. And, and, uh, so that's very easy to map because it's a very practical.</v>
      </c>
      <c r="D98" s="15" t="str">
        <f>IFERROR(__xludf.DUMMYFUNCTION("""COMPUTED_VALUE"""),"We presented as a lab project with five deliverables. The students start by defining the requirements and then after they start a secondary pipeline, and then they do at least a couple of weeks iterations cycle and develop cycle. And then after they go to"&amp;" do performance testing to do a security testing, and for each of these deliverables, we submit something, every report.")</f>
        <v>We presented as a lab project with five deliverables. The students start by defining the requirements and then after they start a secondary pipeline, and then they do at least a couple of weeks iterations cycle and develop cycle. And then after they go to do performance testing to do a security testing, and for each of these deliverables, we submit something, every report.</v>
      </c>
      <c r="E98" s="15"/>
      <c r="F98" s="9" t="s">
        <v>425</v>
      </c>
      <c r="G98" s="54" t="s">
        <v>398</v>
      </c>
      <c r="H98" s="53"/>
    </row>
    <row r="99">
      <c r="A99" s="7">
        <v>176.0</v>
      </c>
      <c r="B99" s="8" t="s">
        <v>191</v>
      </c>
      <c r="C99" s="15" t="str">
        <f>IFERROR(__xludf.DUMMYFUNCTION("filter('Imported Recommendations'!B:D,'Imported Recommendations'!A:A=A99)"),"the unicorn [project book] who was just, just published last year is more about the Dev stuff, but it really brings it into the mindset of, of, okay, what are the issues concretely that we face.")</f>
        <v>the unicorn [project book] who was just, just published last year is more about the Dev stuff, but it really brings it into the mindset of, of, okay, what are the issues concretely that we face.</v>
      </c>
      <c r="D99" s="15" t="str">
        <f>IFERROR(__xludf.DUMMYFUNCTION("""COMPUTED_VALUE"""),"The Unicorn project book is a novel which covers the Dev side issues of DevOps.")</f>
        <v>The Unicorn project book is a novel which covers the Dev side issues of DevOps.</v>
      </c>
      <c r="E99" s="55"/>
      <c r="F99" s="9" t="s">
        <v>426</v>
      </c>
      <c r="G99" s="9" t="s">
        <v>336</v>
      </c>
      <c r="H99" s="53"/>
    </row>
    <row r="100">
      <c r="A100" s="7">
        <v>177.0</v>
      </c>
      <c r="B100" s="8" t="s">
        <v>191</v>
      </c>
      <c r="C100" s="15" t="str">
        <f>IFERROR(__xludf.DUMMYFUNCTION("filter('Imported Recommendations'!B:D,'Imported Recommendations'!A:A=A100)"),"The Phoenix project ...  it's written also by essentially Jean Kim ... , it's written as a novel ... you get into the, the life of people that are facing issues that's are essentially DevOps issues ... he Phoenix project is more about the Ops side of thin"&amp;"gs.")</f>
        <v>The Phoenix project ...  it's written also by essentially Jean Kim ... , it's written as a novel ... you get into the, the life of people that are facing issues that's are essentially DevOps issues ... he Phoenix project is more about the Ops side of things.</v>
      </c>
      <c r="D100" s="15" t="str">
        <f>IFERROR(__xludf.DUMMYFUNCTION("""COMPUTED_VALUE"""),"The Phoenix book by Jean Kim is a novel that covers the Ops side of DevOps.")</f>
        <v>The Phoenix book by Jean Kim is a novel that covers the Ops side of DevOps.</v>
      </c>
      <c r="E100" s="55"/>
      <c r="F100" s="9" t="s">
        <v>427</v>
      </c>
      <c r="G100" s="9" t="s">
        <v>336</v>
      </c>
      <c r="H100" s="53"/>
    </row>
    <row r="101">
      <c r="A101" s="7">
        <v>179.0</v>
      </c>
      <c r="B101" s="8" t="s">
        <v>191</v>
      </c>
      <c r="C101" s="15" t="str">
        <f>IFERROR(__xludf.DUMMYFUNCTION("filter('Imported Recommendations'!B:D,'Imported Recommendations'!A:A=A101)"),"So I chose, um, tuleap, which is an open source that was missing in mainly DevOps in France.")</f>
        <v>So I chose, um, tuleap, which is an open source that was missing in mainly DevOps in France.</v>
      </c>
      <c r="D101" s="15" t="str">
        <f>IFERROR(__xludf.DUMMYFUNCTION("""COMPUTED_VALUE"""),"Use Tuleap for lifecycle management.")</f>
        <v>Use Tuleap for lifecycle management.</v>
      </c>
      <c r="E101" s="55"/>
      <c r="F101" s="9" t="s">
        <v>428</v>
      </c>
      <c r="G101" s="9" t="s">
        <v>12</v>
      </c>
      <c r="H101" s="53"/>
    </row>
    <row r="102">
      <c r="A102" s="7">
        <v>180.0</v>
      </c>
      <c r="B102" s="8" t="s">
        <v>191</v>
      </c>
      <c r="C102" s="15" t="str">
        <f>IFERROR(__xludf.DUMMYFUNCTION("filter('Imported Recommendations'!B:D,'Imported Recommendations'!A:A=A102)"),"We try to make it minimal")</f>
        <v>We try to make it minimal</v>
      </c>
      <c r="D102" s="15" t="str">
        <f>IFERROR(__xludf.DUMMYFUNCTION("""COMPUTED_VALUE"""),"Try to make the environment setup minimal.")</f>
        <v>Try to make the environment setup minimal.</v>
      </c>
      <c r="E102" s="55"/>
      <c r="F102" s="9" t="s">
        <v>313</v>
      </c>
      <c r="G102" s="9" t="s">
        <v>12</v>
      </c>
      <c r="H102" s="53"/>
    </row>
    <row r="103">
      <c r="A103" s="7">
        <v>183.0</v>
      </c>
      <c r="B103" s="8" t="s">
        <v>191</v>
      </c>
      <c r="C103" s="15" t="str">
        <f>IFERROR(__xludf.DUMMYFUNCTION("filter('Imported Recommendations'!B:D,'Imported Recommendations'!A:A=A103)"),"First define the objectives of your course and making sure you stick to it.
But with respect to the technologies, I think that knowledge is, will change [...] I think like one of the, uh, not too good to give it giving advices or, but I can share my expe"&amp;"rience and my thoughts. Um, I think that that's important to remember one thing as important as what is the objectives of your course.
"" I think if we lay the rooms, uh, maybe it's more clearly and more specifically, I think students, we know better wha"&amp;"t they will get from what they do. [...]
I think we will have, uh, we will, um, uh, rewrite some of the rules to make sure that, uh, students know how many points they get for what they do, uh, beforehand we should do it because, uh, it will not be perfec"&amp;"t because students can choose many different things. """)</f>
        <v>First define the objectives of your course and making sure you stick to it.
But with respect to the technologies, I think that knowledge is, will change [...] I think like one of the, uh, not too good to give it giving advices or, but I can share my experience and my thoughts. Um, I think that that's important to remember one thing as important as what is the objectives of your course.
" I think if we lay the rooms, uh, maybe it's more clearly and more specifically, I think students, we know better what they will get from what they do. [...]
I think we will have, uh, we will, um, uh, rewrite some of the rules to make sure that, uh, students know how many points they get for what they do, uh, beforehand we should do it because, uh, it will not be perfect because students can choose many different things. "</v>
      </c>
      <c r="D103" s="15" t="str">
        <f>IFERROR(__xludf.DUMMYFUNCTION("""COMPUTED_VALUE"""),"Define clearly the objectives of your course and make sure you stick to it.
Constantly remember the students about the objective of the course.
Make sure the students know the rules of the course. For example how many points they get for what they do.")</f>
        <v>Define clearly the objectives of your course and make sure you stick to it.
Constantly remember the students about the objective of the course.
Make sure the students know the rules of the course. For example how many points they get for what they do.</v>
      </c>
      <c r="E103" s="15" t="str">
        <f>IFERROR(__xludf.DUMMYFUNCTION("""COMPUTED_VALUE"""),"Explain the course objectives to the students.")</f>
        <v>Explain the course objectives to the students.</v>
      </c>
      <c r="F103" s="9" t="s">
        <v>429</v>
      </c>
      <c r="G103" s="54" t="s">
        <v>27</v>
      </c>
      <c r="H103" s="53"/>
    </row>
    <row r="104">
      <c r="A104" s="7">
        <v>185.0</v>
      </c>
      <c r="B104" s="8" t="s">
        <v>191</v>
      </c>
      <c r="C104" s="15" t="str">
        <f>IFERROR(__xludf.DUMMYFUNCTION("filter('Imported Recommendations'!B:D,'Imported Recommendations'!A:A=A104)"),"we use one of the topics in DevOps that becomes quite important is value stream mapping. So to be able to capture your process is pretty simple in terms of modeling as a flow of activities, value stream mapping is a technique that has been used for quite "&amp;"a long time and in production.")</f>
        <v>we use one of the topics in DevOps that becomes quite important is value stream mapping. So to be able to capture your process is pretty simple in terms of modeling as a flow of activities, value stream mapping is a technique that has been used for quite a long time and in production.</v>
      </c>
      <c r="D104" s="15" t="str">
        <f>IFERROR(__xludf.DUMMYFUNCTION("""COMPUTED_VALUE"""),"Be able to capture your DevOps process in terms of modeling as a flow of activities using value stream mapping technique.")</f>
        <v>Be able to capture your DevOps process in terms of modeling as a flow of activities using value stream mapping technique.</v>
      </c>
      <c r="E104" s="15"/>
      <c r="F104" s="9" t="s">
        <v>430</v>
      </c>
      <c r="G104" s="54" t="s">
        <v>16</v>
      </c>
      <c r="H104" s="53"/>
    </row>
    <row r="105">
      <c r="A105" s="7">
        <v>186.0</v>
      </c>
      <c r="B105" s="8" t="s">
        <v>191</v>
      </c>
      <c r="C105" s="15" t="str">
        <f>IFERROR(__xludf.DUMMYFUNCTION("filter('Imported Recommendations'!B:D,'Imported Recommendations'!A:A=A105)"),"it's not an analysis course, but I tried to bring it back regularly and say, okay, if you want to improve a process, whether you do so, it's one of the, one of the section in the book. And so it's okay. [...] you go from there to identify the, the points "&amp;"that could be improved, right. And then how do you want to improve it, then the techniques that are described in the book?")</f>
        <v>it's not an analysis course, but I tried to bring it back regularly and say, okay, if you want to improve a process, whether you do so, it's one of the, one of the section in the book. And so it's okay. [...] you go from there to identify the, the points that could be improved, right. And then how do you want to improve it, then the techniques that are described in the book?</v>
      </c>
      <c r="D105" s="15" t="str">
        <f>IFERROR(__xludf.DUMMYFUNCTION("""COMPUTED_VALUE"""),"constantly try to figure out how to improve the quality of the course")</f>
        <v>constantly try to figure out how to improve the quality of the course</v>
      </c>
      <c r="E105" s="15"/>
      <c r="F105" s="9" t="s">
        <v>431</v>
      </c>
      <c r="G105" s="54" t="s">
        <v>10</v>
      </c>
      <c r="H105" s="53"/>
    </row>
    <row r="106">
      <c r="A106" s="7">
        <v>188.0</v>
      </c>
      <c r="B106" s="8" t="s">
        <v>191</v>
      </c>
      <c r="C106" s="15" t="str">
        <f>IFERROR(__xludf.DUMMYFUNCTION("filter('Imported Recommendations'!B:D,'Imported Recommendations'!A:A=A106)"),"So that, I think it's one of our job to, to, to communicate with the student that it's not about the buzzword, this is something extremely serious.")</f>
        <v>So that, I think it's one of our job to, to, to communicate with the student that it's not about the buzzword, this is something extremely serious.</v>
      </c>
      <c r="D106" s="15" t="str">
        <f>IFERROR(__xludf.DUMMYFUNCTION("""COMPUTED_VALUE"""),"It's important to communicate with students that DevOps is not buzzword, it is extremely serious.")</f>
        <v>It's important to communicate with students that DevOps is not buzzword, it is extremely serious.</v>
      </c>
      <c r="E106" s="15"/>
      <c r="F106" s="9" t="s">
        <v>432</v>
      </c>
      <c r="G106" s="54" t="s">
        <v>27</v>
      </c>
      <c r="H106" s="53"/>
    </row>
    <row r="107">
      <c r="A107" s="7">
        <v>189.0</v>
      </c>
      <c r="B107" s="8" t="s">
        <v>191</v>
      </c>
      <c r="C107" s="15" t="str">
        <f>IFERROR(__xludf.DUMMYFUNCTION("filter('Imported Recommendations'!B:D,'Imported Recommendations'!A:A=A107)"),"Then do, um, do some research about it, write an essay or, uh, or if there is, um, there is a tool available, uh, on GitHub it's, if it's open source, they can contribute to that, uh, to that tool and maybe fix some issues and report it to the teachers.
"&amp;"Many of them did was to engage in the, uh, in the development process of the, uh, of the large projects that other people are working on. And, uh, they could choose a project, I think with more than a hundred stars. ...  And they had to make sure that the"&amp;"y pass all the, uh, all the steps and they had to do some contributions, but to there, to those for repositories. And, uh, and they had to also engage in a conversation with other people from other teams, uh, in the process that, uh, they were, uh, making"&amp;" those contributions.
They could contribute to some open source projects that are large projects and they are being used. So it's something that I'm looking for. Something we had some stats, uh, on github.")</f>
        <v>Then do, um, do some research about it, write an essay or, uh, or if there is, um, there is a tool available, uh, on GitHub it's, if it's open source, they can contribute to that, uh, to that tool and maybe fix some issues and report it to the teachers.
Many of them did was to engage in the, uh, in the development process of the, uh, of the large projects that other people are working on. And, uh, they could choose a project, I think with more than a hundred stars. ...  And they had to make sure that they pass all the, uh, all the steps and they had to do some contributions, but to there, to those for repositories. And, uh, and they had to also engage in a conversation with other people from other teams, uh, in the process that, uh, they were, uh, making those contributions.
They could contribute to some open source projects that are large projects and they are being used. So it's something that I'm looking for. Something we had some stats, uh, on github.</v>
      </c>
      <c r="D107" s="15" t="str">
        <f>IFERROR(__xludf.DUMMYFUNCTION("""COMPUTED_VALUE"""),"Do some research about DevOps topic, write an essay, and if the tool is open source, contribute to that tool and fix some issues and report it to the teachers.
The students should contribute and engage in the development process of the large projects wit"&amp;"h more than a hundred stars on Github.
Students could contribute to some open source projects that are large and being used and had more than one hundred stars.")</f>
        <v>Do some research about DevOps topic, write an essay, and if the tool is open source, contribute to that tool and fix some issues and report it to the teachers.
The students should contribute and engage in the development process of the large projects with more than a hundred stars on Github.
Students could contribute to some open source projects that are large and being used and had more than one hundred stars.</v>
      </c>
      <c r="E107" s="15" t="str">
        <f>IFERROR(__xludf.DUMMYFUNCTION("""COMPUTED_VALUE"""),"Do some research about DevOps topic, write an essay, and if the tool is open source, contribute to that tool and fix some issues and report it to the teachers. The open source project should have more than a hundred stars on Github.")</f>
        <v>Do some research about DevOps topic, write an essay, and if the tool is open source, contribute to that tool and fix some issues and report it to the teachers. The open source project should have more than a hundred stars on Github.</v>
      </c>
      <c r="F107" s="9" t="s">
        <v>433</v>
      </c>
      <c r="G107" s="54" t="s">
        <v>336</v>
      </c>
      <c r="H107" s="53"/>
    </row>
    <row r="108">
      <c r="A108" s="7">
        <v>191.0</v>
      </c>
      <c r="B108" s="8" t="s">
        <v>191</v>
      </c>
      <c r="C108" s="15" t="str">
        <f>IFERROR(__xludf.DUMMYFUNCTION("filter('Imported Recommendations'!B:D,'Imported Recommendations'!A:A=A108)"),"In fact, some of them, we asked them to, um, to, if they wanted to do a tutorial on a tool, we ask them to upload that tutorial on, uh, Katacoda.
So we asked the students, uh, to, uh, use another tool if they want to present something that doesn't work o"&amp;"n katacoda. So, uh, the way that we solved it was to change the requirements and to change the, uh, change the environment and the tools that they had to use.
So that's the course automation and executable tutorial was, uh, chatter, katacoda, um, website"&amp;". They use the katacoda that website to, uh, to write a tutorial on a tool for them DevOps.")</f>
        <v>In fact, some of them, we asked them to, um, to, if they wanted to do a tutorial on a tool, we ask them to upload that tutorial on, uh, Katacoda.
So we asked the students, uh, to, uh, use another tool if they want to present something that doesn't work on katacoda. So, uh, the way that we solved it was to change the requirements and to change the, uh, change the environment and the tools that they had to use.
So that's the course automation and executable tutorial was, uh, chatter, katacoda, um, website. They use the katacoda that website to, uh, to write a tutorial on a tool for them DevOps.</v>
      </c>
      <c r="D108" s="15" t="str">
        <f>IFERROR(__xludf.DUMMYFUNCTION("""COMPUTED_VALUE"""),"Use the Katacoda website to students create tutorials about tools.
Change the requirements and the tools to solve the issues in environment setup on Katacoda.
The students write a tutorial about a DevOps tool on katacoda to describe the course automatio"&amp;"n.")</f>
        <v>Use the Katacoda website to students create tutorials about tools.
Change the requirements and the tools to solve the issues in environment setup on Katacoda.
The students write a tutorial about a DevOps tool on katacoda to describe the course automation.</v>
      </c>
      <c r="E108" s="15" t="str">
        <f>IFERROR(__xludf.DUMMYFUNCTION("""COMPUTED_VALUE"""),"Use the Katacoda website to students create tutorials about tools. Change the requirements and the tools to solve the issues on Katacoda.")</f>
        <v>Use the Katacoda website to students create tutorials about tools. Change the requirements and the tools to solve the issues on Katacoda.</v>
      </c>
      <c r="F108" s="9" t="s">
        <v>434</v>
      </c>
      <c r="G108" s="54" t="s">
        <v>18</v>
      </c>
      <c r="H108" s="53"/>
    </row>
    <row r="109">
      <c r="A109" s="7">
        <v>192.0</v>
      </c>
      <c r="B109" s="8" t="s">
        <v>191</v>
      </c>
      <c r="C109" s="15" t="str">
        <f>IFERROR(__xludf.DUMMYFUNCTION("filter('Imported Recommendations'!B:D,'Imported Recommendations'!A:A=A109)"),"And they had to also engage in a conversation with other people from other teams, uh, in the process that, uh, they were, uh, making those contributions.
Other task that we ask them to do something for our own course, and, uh, then, uh, engage in a conve"&amp;"rsation with TAs and other students to make sure everything's more work well.
")</f>
        <v>And they had to also engage in a conversation with other people from other teams, uh, in the process that, uh, they were, uh, making those contributions.
Other task that we ask them to do something for our own course, and, uh, then, uh, engage in a conversation with TAs and other students to make sure everything's more work well.
</v>
      </c>
      <c r="D109" s="15" t="str">
        <f>IFERROR(__xludf.DUMMYFUNCTION("""COMPUTED_VALUE"""),"Make students engage with people from other teams in the classes.
Engage in a conversation with teacher assistants and other students to make sure everything's more work well.")</f>
        <v>Make students engage with people from other teams in the classes.
Engage in a conversation with teacher assistants and other students to make sure everything's more work well.</v>
      </c>
      <c r="E109" s="15" t="str">
        <f>IFERROR(__xludf.DUMMYFUNCTION("""COMPUTED_VALUE"""),"Make students engage with people from other teams in the classes.")</f>
        <v>Make students engage with people from other teams in the classes.</v>
      </c>
      <c r="F109" s="9" t="s">
        <v>435</v>
      </c>
      <c r="G109" s="54" t="s">
        <v>27</v>
      </c>
      <c r="H109" s="53"/>
    </row>
    <row r="110">
      <c r="A110" s="7">
        <v>194.0</v>
      </c>
      <c r="B110" s="8" t="s">
        <v>191</v>
      </c>
      <c r="C110" s="15" t="str">
        <f>IFERROR(__xludf.DUMMYFUNCTION("filter('Imported Recommendations'!B:D,'Imported Recommendations'!A:A=A110)"),"I think the time that we had was actually enough, it was, I think about two months ... Students had, uh, four hours in each week and they had to work on the projects, um, as well.  ...  they had some information, some background about software engineering"&amp;".")</f>
        <v>I think the time that we had was actually enough, it was, I think about two months ... Students had, uh, four hours in each week and they had to work on the projects, um, as well.  ...  they had some information, some background about software engineering.</v>
      </c>
      <c r="D110" s="15" t="str">
        <f>IFERROR(__xludf.DUMMYFUNCTION("""COMPUTED_VALUE"""),"Two months with four hours in each week is enough to students with some background about software engineering.")</f>
        <v>Two months with four hours in each week is enough to students with some background about software engineering.</v>
      </c>
      <c r="E110" s="15"/>
      <c r="F110" s="9" t="s">
        <v>436</v>
      </c>
      <c r="G110" s="54" t="s">
        <v>10</v>
      </c>
      <c r="H110" s="53"/>
    </row>
    <row r="111">
      <c r="A111" s="7">
        <v>195.0</v>
      </c>
      <c r="B111" s="8" t="s">
        <v>191</v>
      </c>
      <c r="C111" s="15" t="str">
        <f>IFERROR(__xludf.DUMMYFUNCTION("filter('Imported Recommendations'!B:D,'Imported Recommendations'!A:A=A111)"),"So I had to find one that was dying and, uh, hopefully the colleague who was handling his dying course forgot to answer to an email.")</f>
        <v>So I had to find one that was dying and, uh, hopefully the colleague who was handling his dying course forgot to answer to an email.</v>
      </c>
      <c r="D111" s="15" t="str">
        <f>IFERROR(__xludf.DUMMYFUNCTION("""COMPUTED_VALUE"""),"Look for a dying course to include a DevOps one in the curriculum.")</f>
        <v>Look for a dying course to include a DevOps one in the curriculum.</v>
      </c>
      <c r="E111" s="15"/>
      <c r="F111" s="9" t="s">
        <v>437</v>
      </c>
      <c r="G111" s="54" t="s">
        <v>10</v>
      </c>
      <c r="H111" s="53"/>
    </row>
    <row r="112">
      <c r="A112" s="7">
        <v>197.0</v>
      </c>
      <c r="B112" s="8" t="s">
        <v>191</v>
      </c>
      <c r="C112" s="15" t="str">
        <f>IFERROR(__xludf.DUMMYFUNCTION("filter('Imported Recommendations'!B:D,'Imported Recommendations'!A:A=A112)"),"So this guy was really half time IBM and half time in the faculty of engineering.")</f>
        <v>So this guy was really half time IBM and half time in the faculty of engineering.</v>
      </c>
      <c r="D112" s="15" t="str">
        <f>IFERROR(__xludf.DUMMYFUNCTION("""COMPUTED_VALUE"""),"Teachers could be half time industrial and half time faculty.")</f>
        <v>Teachers could be half time industrial and half time faculty.</v>
      </c>
      <c r="E112" s="15"/>
      <c r="F112" s="9" t="s">
        <v>438</v>
      </c>
      <c r="G112" s="54" t="s">
        <v>439</v>
      </c>
      <c r="H112" s="53"/>
    </row>
    <row r="113">
      <c r="A113" s="7">
        <v>198.0</v>
      </c>
      <c r="B113" s="8" t="s">
        <v>191</v>
      </c>
      <c r="C113" s="15" t="str">
        <f>IFERROR(__xludf.DUMMYFUNCTION("filter('Imported Recommendations'!B:D,'Imported Recommendations'!A:A=A113)"),"we use the bluemix, uh, platform from, uh, IBM, that was really, everything was integrated and those kinds of things that was really good in a way,")</f>
        <v>we use the bluemix, uh, platform from, uh, IBM, that was really, everything was integrated and those kinds of things that was really good in a way,</v>
      </c>
      <c r="D113" s="15" t="str">
        <f>IFERROR(__xludf.DUMMYFUNCTION("""COMPUTED_VALUE"""),"DevOps tools are well integrated in Bluemix platform from IBM.")</f>
        <v>DevOps tools are well integrated in Bluemix platform from IBM.</v>
      </c>
      <c r="E113" s="15"/>
      <c r="F113" s="9" t="s">
        <v>440</v>
      </c>
      <c r="G113" s="54" t="s">
        <v>18</v>
      </c>
      <c r="H113" s="53"/>
    </row>
    <row r="114">
      <c r="A114" s="7">
        <v>200.0</v>
      </c>
      <c r="B114" s="8" t="s">
        <v>191</v>
      </c>
      <c r="C114" s="15" t="str">
        <f>IFERROR(__xludf.DUMMYFUNCTION("filter('Imported Recommendations'!B:D,'Imported Recommendations'!A:A=A114)"),"what we've done was first to, um, continuously evaluate the teams are they were working on the project.")</f>
        <v>what we've done was first to, um, continuously evaluate the teams are they were working on the project.</v>
      </c>
      <c r="D114" s="15" t="str">
        <f>IFERROR(__xludf.DUMMYFUNCTION("""COMPUTED_VALUE"""),"Make a continuous evaluation of the projects of the students.")</f>
        <v>Make a continuous evaluation of the projects of the students.</v>
      </c>
      <c r="E114" s="15"/>
      <c r="F114" s="9" t="s">
        <v>441</v>
      </c>
      <c r="G114" s="54" t="s">
        <v>398</v>
      </c>
      <c r="H114" s="53"/>
    </row>
  </sheetData>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3.71"/>
    <col customWidth="1" min="2" max="2" width="25.29"/>
    <col customWidth="1" min="3" max="3" width="95.86"/>
    <col customWidth="1" min="4" max="5" width="59.0"/>
    <col customWidth="1" min="6" max="6" width="28.71"/>
    <col customWidth="1" min="7" max="7" width="27.43"/>
    <col customWidth="1" min="8" max="8" width="29.29"/>
  </cols>
  <sheetData>
    <row r="1">
      <c r="A1" s="1" t="s">
        <v>0</v>
      </c>
      <c r="B1" s="2" t="s">
        <v>1</v>
      </c>
      <c r="C1" s="3" t="s">
        <v>2</v>
      </c>
      <c r="D1" s="4" t="s">
        <v>3</v>
      </c>
      <c r="E1" s="4" t="s">
        <v>4</v>
      </c>
      <c r="F1" s="5" t="s">
        <v>5</v>
      </c>
      <c r="G1" s="6" t="s">
        <v>6</v>
      </c>
      <c r="H1" s="6" t="s">
        <v>7</v>
      </c>
    </row>
    <row r="2">
      <c r="A2" s="7">
        <v>1.0</v>
      </c>
      <c r="B2" s="8" t="s">
        <v>191</v>
      </c>
      <c r="C2" s="7" t="str">
        <f>IFERROR(__xludf.DUMMYFUNCTION("filter('Imported Recommendations'!B:D,'Imported Recommendations'!A:A=A2)"),"Amazon sometimes has some agreements, which I think now that the Federal Institute is doing, that it makes this student accounts available that they could test it for a period.
Most of these tools have free layers, in the case of Cloud providers. All thr"&amp;"ee of the main ones have an education-oriented version, and that is very good. This for the teacher is a very great facilitator.
I recommend [...] Moving all teaching to a cloud. [...] contact AWS. They have a student program, or Google, with Ali Baba, A"&amp;"zure, and IBM Cloud.
There were times when I combined a set of free services to be used, Heroku. I combined some free services to run these things. I already had a partnership to use closed [...] there is Red Hat Academy, right, where you can use OpenShi"&amp;"ft and everything else in the context of the effort you want to make. So, this kind of thing helps a lot.
They have a real experience with respect to Amazon, it's pretty simple, and you can get a free Amazon, you just have to register. ")</f>
        <v>Amazon sometimes has some agreements, which I think now that the Federal Institute is doing, that it makes this student accounts available that they could test it for a period.
Most of these tools have free layers, in the case of Cloud providers. All three of the main ones have an education-oriented version, and that is very good. This for the teacher is a very great facilitator.
I recommend [...] Moving all teaching to a cloud. [...] contact AWS. They have a student program, or Google, with Ali Baba, Azure, and IBM Cloud.
There were times when I combined a set of free services to be used, Heroku. I combined some free services to run these things. I already had a partnership to use closed [...] there is Red Hat Academy, right, where you can use OpenShift and everything else in the context of the effort you want to make. So, this kind of thing helps a lot.
They have a real experience with respect to Amazon, it's pretty simple, and you can get a free Amazon, you just have to register. </v>
      </c>
      <c r="D2" s="7" t="str">
        <f>IFERROR(__xludf.DUMMYFUNCTION("""COMPUTED_VALUE"""),"Cloud service companies such as AWS, through a contract with an educational institution, can provide the computing resource for the student's use.
All three main cloud providers have an education-oriented version.
Use student program cloud services like"&amp;" AWS, Google, Azure or IBM Cloud to eliminate hardware and network limitation for students.
Use private cloud services through academia-industry partnerships such as Red Hat Academy.
Amazon cloud provider has a free plan helpful to students.")</f>
        <v>Cloud service companies such as AWS, through a contract with an educational institution, can provide the computing resource for the student's use.
All three main cloud providers have an education-oriented version.
Use student program cloud services like AWS, Google, Azure or IBM Cloud to eliminate hardware and network limitation for students.
Use private cloud services through academia-industry partnerships such as Red Hat Academy.
Amazon cloud provider has a free plan helpful to students.</v>
      </c>
      <c r="E2" s="7" t="str">
        <f>IFERROR(__xludf.DUMMYFUNCTION("""COMPUTED_VALUE"""),"Use cloud provider services with students plans.")</f>
        <v>Use cloud provider services with students plans.</v>
      </c>
      <c r="F2" s="9" t="s">
        <v>192</v>
      </c>
      <c r="G2" s="9" t="s">
        <v>12</v>
      </c>
      <c r="H2" s="25"/>
    </row>
    <row r="3" ht="123.75" customHeight="1">
      <c r="A3" s="8">
        <v>2.0</v>
      </c>
      <c r="B3" s="8" t="s">
        <v>191</v>
      </c>
      <c r="C3" s="7" t="str">
        <f>IFERROR(__xludf.DUMMYFUNCTION("filter('Imported Recommendations'!B:D,'Imported Recommendations'!A:A=A3)"),"Set up scenarios that they can run on their computer.
Sometimes give up certain things you would like to teach [...] to the detriment of the student not having the ability to perform.
Solutions that the student can run on his computer. [...] adapt to so"&amp;"mething perhaps with less computational demand.")</f>
        <v>Set up scenarios that they can run on their computer.
Sometimes give up certain things you would like to teach [...] to the detriment of the student not having the ability to perform.
Solutions that the student can run on his computer. [...] adapt to something perhaps with less computational demand.</v>
      </c>
      <c r="D3" s="7" t="str">
        <f>IFERROR(__xludf.DUMMYFUNCTION("""COMPUTED_VALUE"""),"Build scenarios that students can run on their own computer.
Give up teaching content that the student cannot run on their machine.
Take advantage of the student's own computational resource and adapt to something that requires less computational demand"&amp;".")</f>
        <v>Build scenarios that students can run on their own computer.
Give up teaching content that the student cannot run on their machine.
Take advantage of the student's own computational resource and adapt to something that requires less computational demand.</v>
      </c>
      <c r="E3" s="7" t="str">
        <f>IFERROR(__xludf.DUMMYFUNCTION("""COMPUTED_VALUE"""),"Build scenarios that students can run on their own computer.")</f>
        <v>Build scenarios that students can run on their own computer.</v>
      </c>
      <c r="F3" s="9" t="s">
        <v>193</v>
      </c>
      <c r="G3" s="9" t="s">
        <v>12</v>
      </c>
      <c r="H3" s="25"/>
    </row>
    <row r="4" ht="115.5" customHeight="1">
      <c r="A4" s="7">
        <v>4.0</v>
      </c>
      <c r="B4" s="8" t="s">
        <v>191</v>
      </c>
      <c r="C4" s="7" t="str">
        <f>IFERROR(__xludf.DUMMYFUNCTION("filter('Imported Recommendations'!B:D,'Imported Recommendations'!A:A=A4)"),"This was somehow harmonized.")</f>
        <v>This was somehow harmonized.</v>
      </c>
      <c r="D4" s="7" t="str">
        <f>IFERROR(__xludf.DUMMYFUNCTION("""COMPUTED_VALUE"""),"Define what are the devops concepts.")</f>
        <v>Define what are the devops concepts.</v>
      </c>
      <c r="E4" s="7"/>
      <c r="F4" s="9" t="s">
        <v>194</v>
      </c>
      <c r="G4" s="9" t="s">
        <v>16</v>
      </c>
      <c r="H4" s="9"/>
    </row>
    <row r="5">
      <c r="A5" s="7">
        <v>5.0</v>
      </c>
      <c r="B5" s="8" t="s">
        <v>191</v>
      </c>
      <c r="C5" s="7" t="str">
        <f>IFERROR(__xludf.DUMMYFUNCTION("filter('Imported Recommendations'!B:D,'Imported Recommendations'!A:A=A5)"),"You can't evaluate with proof; you have to assess with projects with some activity.
With some practical activity.
Taking a test, simply evaluating him, is even a way of doing this, but in this more practical approach, I believe that the student is bette"&amp;"r prepared and we are able to evaluate, in fact, the most important aspects of his education [.. .] If he is really acquiring that knowledge, what we really wanted to convey in that particular topic, in that particular subject.
We have adopted project-ba"&amp;"sed assessment a lot [...] the assessment of this project puts a student in his context to test in practice or simulate, in practice, a little of what he saw during classes.
From a practical point of view, I simply pass on the exercise.
I think that pro"&amp;"of would not be a nice deal, but it would be more or less certification from AWS, for example, from Azure, Google, and that is not the purpose. [...] Taking the test, written, open, I do not like it, I do not like the test model as an assessment, I do not"&amp;" think it is cool, I prefer to work with more practical things.
You propose a practical challenge to solve a problem. I think the students end up learning more.")</f>
        <v>You can't evaluate with proof; you have to assess with projects with some activity.
With some practical activity.
Taking a test, simply evaluating him, is even a way of doing this, but in this more practical approach, I believe that the student is better prepared and we are able to evaluate, in fact, the most important aspects of his education [.. .] If he is really acquiring that knowledge, what we really wanted to convey in that particular topic, in that particular subject.
We have adopted project-based assessment a lot [...] the assessment of this project puts a student in his context to test in practice or simulate, in practice, a little of what he saw during classes.
From a practical point of view, I simply pass on the exercise.
I think that proof would not be a nice deal, but it would be more or less certification from AWS, for example, from Azure, Google, and that is not the purpose. [...] Taking the test, written, open, I do not like it, I do not like the test model as an assessment, I do not think it is cool, I prefer to work with more practical things.
You propose a practical challenge to solve a problem. I think the students end up learning more.</v>
      </c>
      <c r="D5" s="8" t="str">
        <f>IFERROR(__xludf.DUMMYFUNCTION("""COMPUTED_VALUE"""),"You can't assess students' DevOps learning with a test, it's necessary to assess with projects, with some kind of hands-on activity.
DevOps teaching with practical activities.
Prefer practical assessments to written tests in order to verify student lear"&amp;"ning on the subject.
Prefer assessment based on practical projects.
Evaluate through practical exercises.
The assessment must be practical.
Evaluate through practical challenges.")</f>
        <v>You can't assess students' DevOps learning with a test, it's necessary to assess with projects, with some kind of hands-on activity.
DevOps teaching with practical activities.
Prefer practical assessments to written tests in order to verify student learning on the subject.
Prefer assessment based on practical projects.
Evaluate through practical exercises.
The assessment must be practical.
Evaluate through practical challenges.</v>
      </c>
      <c r="E5" s="8" t="str">
        <f>IFERROR(__xludf.DUMMYFUNCTION("""COMPUTED_VALUE"""),"The assess should be with hands-on activity.")</f>
        <v>The assess should be with hands-on activity.</v>
      </c>
      <c r="F5" s="9" t="s">
        <v>195</v>
      </c>
      <c r="G5" s="9" t="s">
        <v>29</v>
      </c>
      <c r="H5" s="9"/>
    </row>
    <row r="6" ht="221.25" customHeight="1">
      <c r="A6" s="7">
        <v>7.0</v>
      </c>
      <c r="B6" s="8" t="s">
        <v>191</v>
      </c>
      <c r="C6" s="7" t="str">
        <f>IFERROR(__xludf.DUMMYFUNCTION("filter('Imported Recommendations'!B:D,'Imported Recommendations'!A:A=A6)"),"I think a potential candidate is GNS3.")</f>
        <v>I think a potential candidate is GNS3.</v>
      </c>
      <c r="D6" s="7" t="str">
        <f>IFERROR(__xludf.DUMMYFUNCTION("""COMPUTED_VALUE"""),"The GNS3 tool is a potential candidate as a tool for teaching DevOps.")</f>
        <v>The GNS3 tool is a potential candidate as a tool for teaching DevOps.</v>
      </c>
      <c r="E6" s="7"/>
      <c r="F6" s="9" t="s">
        <v>196</v>
      </c>
      <c r="G6" s="9" t="s">
        <v>18</v>
      </c>
      <c r="H6" s="9"/>
    </row>
    <row r="7">
      <c r="A7" s="7">
        <v>8.0</v>
      </c>
      <c r="B7" s="8" t="s">
        <v>191</v>
      </c>
      <c r="C7" s="7" t="str">
        <f>IFERROR(__xludf.DUMMYFUNCTION("filter('Imported Recommendations'!B:D,'Imported Recommendations'!A:A=A7)"),"All the DevOps tooling behind it like [...] the ansible or terraform here, or any of those other flavors of automation and deployment and stuff like that you can use.")</f>
        <v>All the DevOps tooling behind it like [...] the ansible or terraform here, or any of those other flavors of automation and deployment and stuff like that you can use.</v>
      </c>
      <c r="D7" s="7" t="str">
        <f>IFERROR(__xludf.DUMMYFUNCTION("""COMPUTED_VALUE"""),"Ansible as deployment automation tools can be used in teaching DevOps.")</f>
        <v>Ansible as deployment automation tools can be used in teaching DevOps.</v>
      </c>
      <c r="E7" s="7"/>
      <c r="F7" s="9" t="s">
        <v>197</v>
      </c>
      <c r="G7" s="9" t="s">
        <v>18</v>
      </c>
      <c r="H7" s="9"/>
    </row>
    <row r="8">
      <c r="A8" s="7">
        <v>9.0</v>
      </c>
      <c r="B8" s="8" t="s">
        <v>191</v>
      </c>
      <c r="C8" s="7" t="str">
        <f>IFERROR(__xludf.DUMMYFUNCTION("filter('Imported Recommendations'!B:D,'Imported Recommendations'!A:A=A8)"),"For me, the approach, from the point of view of the teaching method, would be based on projects and practical activities throughout the course.
It will always be project-based.
Being able to evaluate the actions has to be a script of practical actions t"&amp;"hat the student has to carry out, and you will evaluate while that student is doing that there.
So, I think it's more fruitful, didactically, pedagogically, teaching in this way, with the most practical approach.
Development classes [...] want to unders"&amp;"tand better the issue of DevOps related to continuous delivery processes or how it translates into practice and into delivery tools and models that streamline application building.
Teach DevOps [...] how it applies in practice.
I cannot see a discipline"&amp;", a DevOps teaching that is not hands-on [...] That is not getting hands-on and making people at least exercise the tools.
There is much technology on the market [...] you cannot cover everything, right? However, at the same time, just giving the concept"&amp;", I do not think it is enough. So you have to make a choice. I will teach this here.
It needed to be some practical project [...] Not to be just in the theory part.
You cannot teach DevOps only in theory. You have to experience it. You have to have prac"&amp;"tical experimentation for that.
Build this entire journey based on practical, incremental activities or missions that are all correlated so that the lessons learned during these practical activities and revisiting the theory of knowledge can flow into a "&amp;"project that involves a set of decision-making, which also in addition to the subjects theoretically covered in the room.
I've tried to be very incremental. Um, first teach the value of tests, then write the script to build everything on your desk. You d"&amp;"on't need any you're alone. ... Then break it down into several components and build them one by one, then put an Artifactory in the middle. So you have the dependency. ... So you can imagine that each people in the group is like a different team in the w"&amp;"orld.")</f>
        <v>For me, the approach, from the point of view of the teaching method, would be based on projects and practical activities throughout the course.
It will always be project-based.
Being able to evaluate the actions has to be a script of practical actions that the student has to carry out, and you will evaluate while that student is doing that there.
So, I think it's more fruitful, didactically, pedagogically, teaching in this way, with the most practical approach.
Development classes [...] want to understand better the issue of DevOps related to continuous delivery processes or how it translates into practice and into delivery tools and models that streamline application building.
Teach DevOps [...] how it applies in practice.
I cannot see a discipline, a DevOps teaching that is not hands-on [...] That is not getting hands-on and making people at least exercise the tools.
There is much technology on the market [...] you cannot cover everything, right? However, at the same time, just giving the concept, I do not think it is enough. So you have to make a choice. I will teach this here.
It needed to be some practical project [...] Not to be just in the theory part.
You cannot teach DevOps only in theory. You have to experience it. You have to have practical experimentation for that.
Build this entire journey based on practical, incremental activities or missions that are all correlated so that the lessons learned during these practical activities and revisiting the theory of knowledge can flow into a project that involves a set of decision-making, which also in addition to the subjects theoretically covered in the room.
I've tried to be very incremental. Um, first teach the value of tests, then write the script to build everything on your desk. You don't need any you're alone. ... Then break it down into several components and build them one by one, then put an Artifactory in the middle. So you have the dependency. ... So you can imagine that each people in the group is like a different team in the world.</v>
      </c>
      <c r="D8" s="7" t="str">
        <f>IFERROR(__xludf.DUMMYFUNCTION("""COMPUTED_VALUE"""),"Incremental teaching method based on projects and practical activities.
DevOps teaching should be project-based.
Create script for practical devops activities.
Use a practical approach.
Teach continuous delivery in a more practical context for develop"&amp;"ment classes, using tools and delivery models.
Teach devops in a practical way by applying it.
DevOps disciplines should use hands-on activities.
Teaching must be practical, not just theoretical.
Teaching needs a practical project, not just theoretica"&amp;"l teaching.
Teaching devops should be practical, not just theoretical.
Build an incremental teaching journey based on activities and missions, always combining practical activities with theoretical knowledge.
Try to be very incremental. Everything on y"&amp;"our desk first. Splits into several components. Build them one by one. Start working in group.")</f>
        <v>Incremental teaching method based on projects and practical activities.
DevOps teaching should be project-based.
Create script for practical devops activities.
Use a practical approach.
Teach continuous delivery in a more practical context for development classes, using tools and delivery models.
Teach devops in a practical way by applying it.
DevOps disciplines should use hands-on activities.
Teaching must be practical, not just theoretical.
Teaching needs a practical project, not just theoretical teaching.
Teaching devops should be practical, not just theoretical.
Build an incremental teaching journey based on activities and missions, always combining practical activities with theoretical knowledge.
Try to be very incremental. Everything on your desk first. Splits into several components. Build them one by one. Start working in group.</v>
      </c>
      <c r="E8" s="7" t="str">
        <f>IFERROR(__xludf.DUMMYFUNCTION("""COMPUTED_VALUE"""),"Teaching method based on practical activities.")</f>
        <v>Teaching method based on practical activities.</v>
      </c>
      <c r="F8" s="9" t="s">
        <v>198</v>
      </c>
      <c r="G8" s="9" t="s">
        <v>442</v>
      </c>
      <c r="H8" s="9"/>
    </row>
    <row r="9" ht="134.25" customHeight="1">
      <c r="A9" s="7">
        <v>10.0</v>
      </c>
      <c r="B9" s="8" t="s">
        <v>191</v>
      </c>
      <c r="C9" s="7" t="str">
        <f>IFERROR(__xludf.DUMMYFUNCTION("filter('Imported Recommendations'!B:D,'Imported Recommendations'!A:A=A9)"),"The practice that should occupy eighty percent of the class there, at least.
The practical discipline has a balance between concept and practice, with the practice being the most important.
The concepts need to be objectively presented, but there is not"&amp;" much discussion about.
My classes are about an hour lecture. And then the other hour and a half is lab it's hands-on, you know, I give them a concept, let's go do it. And by doing it, that's where it really sticks.
First year I did a lot of concept on "&amp;"the whiteboard, um, and then went to exercise for the students to practice. It's not efficient.
That's why we build a class where we have a ratio of about one hour of classroom concept teaching on the whiteboard or something at three hours where they act"&amp;"ually type on the keyboard of practical session. I think that's important. Otherwise they don't see it. 
So all of us, we covered a bit in really in the course, but also the, I mean, the lectures, but also they practice that in the lab.")</f>
        <v>The practice that should occupy eighty percent of the class there, at least.
The practical discipline has a balance between concept and practice, with the practice being the most important.
The concepts need to be objectively presented, but there is not much discussion about.
My classes are about an hour lecture. And then the other hour and a half is lab it's hands-on, you know, I give them a concept, let's go do it. And by doing it, that's where it really sticks.
First year I did a lot of concept on the whiteboard, um, and then went to exercise for the students to practice. It's not efficient.
That's why we build a class where we have a ratio of about one hour of classroom concept teaching on the whiteboard or something at three hours where they actually type on the keyboard of practical session. I think that's important. Otherwise they don't see it. 
So all of us, we covered a bit in really in the course, but also the, I mean, the lectures, but also they practice that in the lab.</v>
      </c>
      <c r="D9" s="7" t="str">
        <f>IFERROR(__xludf.DUMMYFUNCTION("""COMPUTED_VALUE"""),"The practical part must occupy at least 80% of the class.
Balance the presentation of the concepts and the practicals.
Do not delve so deeply into discussions about the theoretical part of devops.
Teach each DevOps concept using one hour lecture follow"&amp;"ed by one hour and a half lab hands-on.
Is not efficient to have more theoretical part than practice part during the course.
One hour of classrom concept teaching and three hours of practical session.
Make use of labs and lectures.")</f>
        <v>The practical part must occupy at least 80% of the class.
Balance the presentation of the concepts and the practicals.
Do not delve so deeply into discussions about the theoretical part of devops.
Teach each DevOps concept using one hour lecture followed by one hour and a half lab hands-on.
Is not efficient to have more theoretical part than practice part during the course.
One hour of classrom concept teaching and three hours of practical session.
Make use of labs and lectures.</v>
      </c>
      <c r="E9" s="7" t="str">
        <f>IFERROR(__xludf.DUMMYFUNCTION("""COMPUTED_VALUE"""),"Focus more on the practical part compared to the theoretical part of DevOps.")</f>
        <v>Focus more on the practical part compared to the theoretical part of DevOps.</v>
      </c>
      <c r="F9" s="9" t="s">
        <v>200</v>
      </c>
      <c r="G9" s="9" t="s">
        <v>27</v>
      </c>
      <c r="H9" s="9"/>
    </row>
    <row r="10">
      <c r="A10" s="7">
        <v>11.0</v>
      </c>
      <c r="B10" s="8" t="s">
        <v>191</v>
      </c>
      <c r="C10" s="7" t="str">
        <f>IFERROR(__xludf.DUMMYFUNCTION("filter('Imported Recommendations'!B:D,'Imported Recommendations'!A:A=A10)"),"The strategy we used was to divide the workload in half, divide the workload in half [...] and occupy half of this workload with content that is more suited to the area of networks [...] And half of this with the one with content that has more aptitude fo"&amp;"r the programming area.
I believe that for DevOps, you have this balance [...] if you go to a course, that the focus is more development [...] Taking students there to see the other side [...] See Ops and the guys over there from Ops when you can have th"&amp;"e opportunity to see more of the Dev too.")</f>
        <v>The strategy we used was to divide the workload in half, divide the workload in half [...] and occupy half of this workload with content that is more suited to the area of networks [...] And half of this with the one with content that has more aptitude for the programming area.
I believe that for DevOps, you have this balance [...] if you go to a course, that the focus is more development [...] Taking students there to see the other side [...] See Ops and the guys over there from Ops when you can have the opportunity to see more of the Dev too.</v>
      </c>
      <c r="D10" s="7" t="str">
        <f>IFERROR(__xludf.DUMMYFUNCTION("""COMPUTED_VALUE"""),"Divide the workload of subjects that are related to networking and programming.
Seeking balance in teaching development and operation.")</f>
        <v>Divide the workload of subjects that are related to networking and programming.
Seeking balance in teaching development and operation.</v>
      </c>
      <c r="E10" s="7" t="str">
        <f>IFERROR(__xludf.DUMMYFUNCTION("""COMPUTED_VALUE"""),"Divide the workload of subjects that are related to networking and programming.")</f>
        <v>Divide the workload of subjects that are related to networking and programming.</v>
      </c>
      <c r="F10" s="9" t="s">
        <v>201</v>
      </c>
      <c r="G10" s="9" t="s">
        <v>10</v>
      </c>
      <c r="H10" s="9"/>
    </row>
    <row r="11">
      <c r="A11" s="7">
        <v>12.0</v>
      </c>
      <c r="B11" s="8" t="s">
        <v>191</v>
      </c>
      <c r="C11" s="7" t="str">
        <f>IFERROR(__xludf.DUMMYFUNCTION("filter('Imported Recommendations'!B:D,'Imported Recommendations'!A:A=A11)"),"I had to delegate this responsibility to the student.
When you do not have resources in the structure you are linked to, as an institution, you have to delegate that the student really finds his ways.")</f>
        <v>I had to delegate this responsibility to the student.
When you do not have resources in the structure you are linked to, as an institution, you have to delegate that the student really finds his ways.</v>
      </c>
      <c r="D11" s="7" t="str">
        <f>IFERROR(__xludf.DUMMYFUNCTION("""COMPUTED_VALUE"""),"Delegating the responsibility for finding adequate infrastructure for the student when it is not possible to obtain the necessary resources from the institution.
Delegate responsibility to the student.")</f>
        <v>Delegating the responsibility for finding adequate infrastructure for the student when it is not possible to obtain the necessary resources from the institution.
Delegate responsibility to the student.</v>
      </c>
      <c r="E11" s="7" t="str">
        <f>IFERROR(__xludf.DUMMYFUNCTION("""COMPUTED_VALUE"""),"Delegate the responsibility for finding adequate infrastructure for the student.")</f>
        <v>Delegate the responsibility for finding adequate infrastructure for the student.</v>
      </c>
      <c r="F11" s="9" t="s">
        <v>202</v>
      </c>
      <c r="G11" s="9" t="s">
        <v>12</v>
      </c>
      <c r="H11" s="6"/>
    </row>
    <row r="12">
      <c r="A12" s="7">
        <v>13.0</v>
      </c>
      <c r="B12" s="8" t="s">
        <v>191</v>
      </c>
      <c r="C12" s="7" t="str">
        <f>IFERROR(__xludf.DUMMYFUNCTION("filter('Imported Recommendations'!B:D,'Imported Recommendations'!A:A=A12)"),"I like to base it on a textbook because I think a sequence is evident for the students, right? We can even choose some chapters, even making an essential part of this material [...] we research several things to set up our class. Still, having a backbone "&amp;"formed by literature I think it's always important.
 I was looking for books to use. And, um, you know, I started to look at the books from Jane Kim. Um, and essentially I found this DevOps handbook, which has really not written as a textbook, but it's, "&amp;"it covers it's, it's built around the three ways of DevOps. So the first way is the notion of flow. The second way is the notion of, um, feedback. And the third way is continual learning and experimentation.
So this book [DevOps Handbook] is very well do"&amp;"ne in this sense [...] it goes to the foundations of devops and gets to the different key ideas, right?
The lectures, um, for the first part it's okay. I think for, until the midterm to have just get essentially through the book.
The book has a lot of c"&amp;"ase study and examples like Facebook, Google, LinkedIn, uh, Netflix.")</f>
        <v>I like to base it on a textbook because I think a sequence is evident for the students, right? We can even choose some chapters, even making an essential part of this material [...] we research several things to set up our class. Still, having a backbone formed by literature I think it's always important.
 I was looking for books to use. And, um, you know, I started to look at the books from Jane Kim. Um, and essentially I found this DevOps handbook, which has really not written as a textbook, but it's, it covers it's, it's built around the three ways of DevOps. So the first way is the notion of flow. The second way is the notion of, um, feedback. And the third way is continual learning and experimentation.
So this book [DevOps Handbook] is very well done in this sense [...] it goes to the foundations of devops and gets to the different key ideas, right?
The lectures, um, for the first part it's okay. I think for, until the midterm to have just get essentially through the book.
The book has a lot of case study and examples like Facebook, Google, LinkedIn, uh, Netflix.</v>
      </c>
      <c r="D12" s="7" t="str">
        <f>IFERROR(__xludf.DUMMYFUNCTION("""COMPUTED_VALUE"""),"Using a textbook as a basis and to give students a better idea of the sequence of the course contents.
Take Gene Kim's book DevOps Handbook as a reference to prepare a DevOps class.
Devops Handbook goes to the foundations of DevOps and gets to the diffe"&amp;"rent key ideas.
Use DevOps Handbook to create the lectures.
Find books like DevOps Handbook that have industrial case studies about Facebook, Google, etc.")</f>
        <v>Using a textbook as a basis and to give students a better idea of the sequence of the course contents.
Take Gene Kim's book DevOps Handbook as a reference to prepare a DevOps class.
Devops Handbook goes to the foundations of DevOps and gets to the different key ideas.
Use DevOps Handbook to create the lectures.
Find books like DevOps Handbook that have industrial case studies about Facebook, Google, etc.</v>
      </c>
      <c r="E12" s="7" t="str">
        <f>IFERROR(__xludf.DUMMYFUNCTION("""COMPUTED_VALUE"""),"Use a textbook as a basis to guide the course classes.")</f>
        <v>Use a textbook as a basis to guide the course classes.</v>
      </c>
      <c r="F12" s="9" t="s">
        <v>203</v>
      </c>
      <c r="G12" s="9" t="s">
        <v>24</v>
      </c>
      <c r="H12" s="9"/>
    </row>
    <row r="13">
      <c r="A13" s="7">
        <v>14.0</v>
      </c>
      <c r="B13" s="8" t="s">
        <v>191</v>
      </c>
      <c r="C13" s="7" t="str">
        <f>IFERROR(__xludf.DUMMYFUNCTION("filter('Imported Recommendations'!B:D,'Imported Recommendations'!A:A=A13)"),"There are a [...] series of features to be developed, and [...] the student has been trained for this. But other aspects related more to putting the system into production, to be careful [...] after the procedure is operational, not focusing on factors re"&amp;"lated to the system's functionalities anymore, but directing to non-functional aspects, then the students they need to have a better sense of it.")</f>
        <v>There are a [...] series of features to be developed, and [...] the student has been trained for this. But other aspects related more to putting the system into production, to be careful [...] after the procedure is operational, not focusing on factors related to the system's functionalities anymore, but directing to non-functional aspects, then the students they need to have a better sense of it.</v>
      </c>
      <c r="D13" s="7" t="str">
        <f>IFERROR(__xludf.DUMMYFUNCTION("""COMPUTED_VALUE"""),"Work on improving students' skills related to non-functional requirements.")</f>
        <v>Work on improving students' skills related to non-functional requirements.</v>
      </c>
      <c r="E13" s="7"/>
      <c r="F13" s="9" t="s">
        <v>204</v>
      </c>
      <c r="G13" s="9" t="s">
        <v>10</v>
      </c>
      <c r="H13" s="9"/>
    </row>
    <row r="14">
      <c r="A14" s="7">
        <v>15.0</v>
      </c>
      <c r="B14" s="8" t="s">
        <v>191</v>
      </c>
      <c r="C14" s="7" t="str">
        <f>IFERROR(__xludf.DUMMYFUNCTION("filter('Imported Recommendations'!B:D,'Imported Recommendations'!A:A=A14)"),"The microservices tool is one of the tools I have been using with them. A device, an environment in which we put the students' solutions there and they can see more of the Continuous Integration part there.
These systems being made available and then wit"&amp;"h the creation of the DevOps tool from the IFRN cloud, the microservices system there, it was then possible for us to have this more practical view of the process as a whole. So, I have adopted it in all semesters, including, I have always asked students "&amp;"to work with this tool.
Having this system already in the air, I also believe that it is another gain, why? Because as you advance in the themes, you can already put ""look, this aspect here that we are working on, you will have already contemplated in t"&amp;"he system through this, this and this"".
When it comes to teaching devops concepts, like, continuous integration, there will be a tool.")</f>
        <v>The microservices tool is one of the tools I have been using with them. A device, an environment in which we put the students' solutions there and they can see more of the Continuous Integration part there.
These systems being made available and then with the creation of the DevOps tool from the IFRN cloud, the microservices system there, it was then possible for us to have this more practical view of the process as a whole. So, I have adopted it in all semesters, including, I have always asked students to work with this tool.
Having this system already in the air, I also believe that it is another gain, why? Because as you advance in the themes, you can already put "look, this aspect here that we are working on, you will have already contemplated in the system through this, this and this".
When it comes to teaching devops concepts, like, continuous integration, there will be a tool.</v>
      </c>
      <c r="D14" s="7" t="str">
        <f>IFERROR(__xludf.DUMMYFUNCTION("""COMPUTED_VALUE"""),"Use of a learning tool to facilitate understanding of the concept of Continuous Integration.
Using a learning tool helps in DevOps teaching.
Using a learning tool helps in DevOps teaching.
Use tools while explaining the continuous integration concept.")</f>
        <v>Use of a learning tool to facilitate understanding of the concept of Continuous Integration.
Using a learning tool helps in DevOps teaching.
Using a learning tool helps in DevOps teaching.
Use tools while explaining the continuous integration concept.</v>
      </c>
      <c r="E14" s="7" t="str">
        <f>IFERROR(__xludf.DUMMYFUNCTION("""COMPUTED_VALUE"""),"Use a learning tool to easy the DevOps teaching.")</f>
        <v>Use a learning tool to easy the DevOps teaching.</v>
      </c>
      <c r="F14" s="9" t="s">
        <v>443</v>
      </c>
      <c r="G14" s="9" t="s">
        <v>18</v>
      </c>
      <c r="H14" s="25"/>
    </row>
    <row r="15">
      <c r="A15" s="7">
        <v>17.0</v>
      </c>
      <c r="B15" s="8" t="s">
        <v>191</v>
      </c>
      <c r="C15" s="7" t="str">
        <f>IFERROR(__xludf.DUMMYFUNCTION("filter('Imported Recommendations'!B:D,'Imported Recommendations'!A:A=A15)"),"We can assess teamwork in students, like those who are collaborating, those who are more overloaded, those who are perhaps less overloaded, those who develop and deliver more features, those who do not cooperate with teamwork.
The evaluation part [...] t"&amp;"he recommendation would be to try to come up [...] some project or some challenge in the project itself that involves collaboration between people. Be able to divide the class there, the students into groups and each one will attack a problem and then eve"&amp;"rything has to come together, right? So, watch them.")</f>
        <v>We can assess teamwork in students, like those who are collaborating, those who are more overloaded, those who are perhaps less overloaded, those who develop and deliver more features, those who do not cooperate with teamwork.
The evaluation part [...] the recommendation would be to try to come up [...] some project or some challenge in the project itself that involves collaboration between people. Be able to divide the class there, the students into groups and each one will attack a problem and then everything has to come together, right? So, watch them.</v>
      </c>
      <c r="D15" s="7" t="str">
        <f>IFERROR(__xludf.DUMMYFUNCTION("""COMPUTED_VALUE"""),"Evaluate level of participation and difficulty of students in teamwork.
Assess students through project and group exercises, more specifically the collaboration of each one within the group.")</f>
        <v>Evaluate level of participation and difficulty of students in teamwork.
Assess students through project and group exercises, more specifically the collaboration of each one within the group.</v>
      </c>
      <c r="E15" s="7" t="str">
        <f>IFERROR(__xludf.DUMMYFUNCTION("""COMPUTED_VALUE"""),"Evaluate level of participation and difficulty of students in teamwork.")</f>
        <v>Evaluate level of participation and difficulty of students in teamwork.</v>
      </c>
      <c r="F15" s="9" t="s">
        <v>444</v>
      </c>
      <c r="G15" s="9" t="s">
        <v>29</v>
      </c>
      <c r="H15" s="25"/>
    </row>
    <row r="16">
      <c r="A16" s="7">
        <v>18.0</v>
      </c>
      <c r="B16" s="8" t="s">
        <v>191</v>
      </c>
      <c r="C16" s="7" t="str">
        <f>IFERROR(__xludf.DUMMYFUNCTION("filter('Imported Recommendations'!B:D,'Imported Recommendations'!A:A=A16)"),"We can monitor this part of the evaluation a lot due to their activity. So part of it is the cloud system tool that allows us to do this monitoring.")</f>
        <v>We can monitor this part of the evaluation a lot due to their activity. So part of it is the cloud system tool that allows us to do this monitoring.</v>
      </c>
      <c r="D16" s="7" t="str">
        <f>IFERROR(__xludf.DUMMYFUNCTION("""COMPUTED_VALUE"""),"Monitoring of students through activities in a learning support environment.")</f>
        <v>Monitoring of students through activities in a learning support environment.</v>
      </c>
      <c r="E16" s="7"/>
      <c r="F16" s="9" t="s">
        <v>329</v>
      </c>
      <c r="G16" s="9" t="s">
        <v>18</v>
      </c>
      <c r="H16" s="9"/>
    </row>
    <row r="17">
      <c r="A17" s="7">
        <v>20.0</v>
      </c>
      <c r="B17" s="8" t="s">
        <v>191</v>
      </c>
      <c r="C17" s="7" t="str">
        <f>IFERROR(__xludf.DUMMYFUNCTION("filter('Imported Recommendations'!B:D,'Imported Recommendations'!A:A=A17)"),"Suppose the course is a development course or one that involves the operation part. In that case, it is essential to have a discipline that centralizes this information, a domain, perhaps, later on, that gathers these concepts, already preparing the stude"&amp;"nt more for the market.[...] a rather considerable workload to have this dynamic with the students.")</f>
        <v>Suppose the course is a development course or one that involves the operation part. In that case, it is essential to have a discipline that centralizes this information, a domain, perhaps, later on, that gathers these concepts, already preparing the student more for the market.[...] a rather considerable workload to have this dynamic with the students.</v>
      </c>
      <c r="D17" s="7" t="str">
        <f>IFERROR(__xludf.DUMMYFUNCTION("""COMPUTED_VALUE"""),"A discipline must have a considerable workload to centralize and harmonize development and operation information.")</f>
        <v>A discipline must have a considerable workload to centralize and harmonize development and operation information.</v>
      </c>
      <c r="E17" s="7"/>
      <c r="F17" s="9" t="s">
        <v>445</v>
      </c>
      <c r="G17" s="9" t="s">
        <v>10</v>
      </c>
      <c r="H17" s="9"/>
    </row>
    <row r="18">
      <c r="A18" s="7">
        <v>21.0</v>
      </c>
      <c r="B18" s="8" t="s">
        <v>191</v>
      </c>
      <c r="C18" s="7" t="str">
        <f>IFERROR(__xludf.DUMMYFUNCTION("filter('Imported Recommendations'!B:D,'Imported Recommendations'!A:A=A18)"),"They use the system, and I always ask them to socialize. Now, of more remote education, we're doing that they associate what they did.  And when we are at this moment of socialization, the students can take advantage of the gain and knowledge that another"&amp;" team had in an aspect that, at times, they had not noticed.
 I teach them about social coding.
It's tough to get the students to be more social if you will, in their coding practices and do pair programming, uh, and follow the, get feature branch workf"&amp;"low. ")</f>
        <v>They use the system, and I always ask them to socialize. Now, of more remote education, we're doing that they associate what they did.  And when we are at this moment of socialization, the students can take advantage of the gain and knowledge that another team had in an aspect that, at times, they had not noticed.
 I teach them about social coding.
It's tough to get the students to be more social if you will, in their coding practices and do pair programming, uh, and follow the, get feature branch workflow. </v>
      </c>
      <c r="D18" s="7" t="str">
        <f>IFERROR(__xludf.DUMMYFUNCTION("""COMPUTED_VALUE"""),"Socializing knowledge acquired in practical activities is essential for learning.
Teach social coding.
Get the students to be more social in their coding practices and do pair programming ")</f>
        <v>Socializing knowledge acquired in practical activities is essential for learning.
Teach social coding.
Get the students to be more social in their coding practices and do pair programming </v>
      </c>
      <c r="E18" s="7" t="str">
        <f>IFERROR(__xludf.DUMMYFUNCTION("""COMPUTED_VALUE"""),"Teach social coding.")</f>
        <v>Teach social coding.</v>
      </c>
      <c r="F18" s="9" t="s">
        <v>331</v>
      </c>
      <c r="G18" s="9" t="s">
        <v>442</v>
      </c>
      <c r="H18" s="9"/>
    </row>
    <row r="19" ht="106.5" customHeight="1">
      <c r="A19" s="7">
        <v>23.0</v>
      </c>
      <c r="B19" s="8" t="s">
        <v>191</v>
      </c>
      <c r="C19" s="7" t="str">
        <f>IFERROR(__xludf.DUMMYFUNCTION("filter('Imported Recommendations'!B:D,'Imported Recommendations'!A:A=A19)"),"The aspects that we address about continuous integration, [...] use of the tools we use in the environment, on a day-to-day basis, facilitate development that speeds up delivery; this is one of the topics we have. In the discipline, I believe that these t"&amp;"hemes should be part of their curriculum; they should contact this theme there.")</f>
        <v>The aspects that we address about continuous integration, [...] use of the tools we use in the environment, on a day-to-day basis, facilitate development that speeds up delivery; this is one of the topics we have. In the discipline, I believe that these themes should be part of their curriculum; they should contact this theme there.</v>
      </c>
      <c r="D19" s="7" t="str">
        <f>IFERROR(__xludf.DUMMYFUNCTION("""COMPUTED_VALUE"""),"The Continuous Integration and industry tools must be in the curricula.")</f>
        <v>The Continuous Integration and industry tools must be in the curricula.</v>
      </c>
      <c r="E19" s="7"/>
      <c r="F19" s="9" t="s">
        <v>446</v>
      </c>
      <c r="G19" s="9" t="s">
        <v>10</v>
      </c>
      <c r="H19" s="9"/>
    </row>
    <row r="20" ht="106.5" customHeight="1">
      <c r="A20" s="37">
        <v>24.0</v>
      </c>
      <c r="B20" s="38" t="s">
        <v>191</v>
      </c>
      <c r="C20" s="7" t="str">
        <f>IFERROR(__xludf.DUMMYFUNCTION("filter('Imported Recommendations'!B:D,'Imported Recommendations'!A:A=A20)"),"But as there isn't, we find different materials; we have several publications.")</f>
        <v>But as there isn't, we find different materials; we have several publications.</v>
      </c>
      <c r="D20" s="37" t="str">
        <f>IFERROR(__xludf.DUMMYFUNCTION("""COMPUTED_VALUE"""),"Combine the various materials and publications available to make up for the lack of a unified, complete, and high-level material.")</f>
        <v>Combine the various materials and publications available to make up for the lack of a unified, complete, and high-level material.</v>
      </c>
      <c r="E20" s="37"/>
      <c r="F20" s="9" t="s">
        <v>447</v>
      </c>
      <c r="G20" s="9" t="s">
        <v>24</v>
      </c>
      <c r="H20" s="9"/>
    </row>
    <row r="21" ht="106.5" customHeight="1">
      <c r="A21" s="37">
        <v>25.0</v>
      </c>
      <c r="B21" s="38" t="s">
        <v>191</v>
      </c>
      <c r="C21" s="7" t="str">
        <f>IFERROR(__xludf.DUMMYFUNCTION("filter('Imported Recommendations'!B:D,'Imported Recommendations'!A:A=A21)"),"[...] With the addition of our Project of Software Development team of professor Sales, he has access, so, more within the tool, he already knows the most diverse aspects. It was already possible for us to solve several difficulties.[...]")</f>
        <v>[...] With the addition of our Project of Software Development team of professor Sales, he has access, so, more within the tool, he already knows the most diverse aspects. It was already possible for us to solve several difficulties.[...]</v>
      </c>
      <c r="D21" s="37" t="str">
        <f>IFERROR(__xludf.DUMMYFUNCTION("""COMPUTED_VALUE"""),"When using a tool to help teach, you must have a good command of it and the necessary permissions/accompaniment of someone with such permissions to deal well with the possible difficulties during its use in the discipline.")</f>
        <v>When using a tool to help teach, you must have a good command of it and the necessary permissions/accompaniment of someone with such permissions to deal well with the possible difficulties during its use in the discipline.</v>
      </c>
      <c r="E21" s="37"/>
      <c r="F21" s="9" t="s">
        <v>448</v>
      </c>
      <c r="G21" s="9" t="s">
        <v>18</v>
      </c>
      <c r="H21" s="9"/>
    </row>
    <row r="22" ht="106.5" customHeight="1">
      <c r="A22" s="46">
        <v>26.0</v>
      </c>
      <c r="B22" s="47" t="s">
        <v>191</v>
      </c>
      <c r="C22" s="7" t="str">
        <f>IFERROR(__xludf.DUMMYFUNCTION("filter('Imported Recommendations'!B:D,'Imported Recommendations'!A:A=A22)"),"The same DevOps discipline now applies at the institution where I teach concerning classes focused on security and vulnerability management and courses focused on application development and construction.")</f>
        <v>The same DevOps discipline now applies at the institution where I teach concerning classes focused on security and vulnerability management and courses focused on application development and construction.</v>
      </c>
      <c r="D22" s="46" t="str">
        <f>IFERROR(__xludf.DUMMYFUNCTION("""COMPUTED_VALUE"""),"You can use the same discipline of DevOps for operation groups focused on safety and development groups.")</f>
        <v>You can use the same discipline of DevOps for operation groups focused on safety and development groups.</v>
      </c>
      <c r="E22" s="46"/>
      <c r="F22" s="9" t="s">
        <v>449</v>
      </c>
      <c r="G22" s="9" t="s">
        <v>10</v>
      </c>
      <c r="H22" s="21"/>
    </row>
    <row r="23" ht="106.5" customHeight="1">
      <c r="A23" s="46">
        <v>27.0</v>
      </c>
      <c r="B23" s="47" t="s">
        <v>191</v>
      </c>
      <c r="C23" s="7" t="str">
        <f>IFERROR(__xludf.DUMMYFUNCTION("filter('Imported Recommendations'!B:D,'Imported Recommendations'!A:A=A23)"),"In DevOps [...], the security teams are much more in understanding what it represents from the point of view of vulnerability management and architecture, from the network concerning the cloud.")</f>
        <v>In DevOps [...], the security teams are much more in understanding what it represents from the point of view of vulnerability management and architecture, from the network concerning the cloud.</v>
      </c>
      <c r="D23" s="46" t="str">
        <f>IFERROR(__xludf.DUMMYFUNCTION("""COMPUTED_VALUE"""),"Teach the part of cloud vulnerability, architecture, and network management to the security classes in DevOps.")</f>
        <v>Teach the part of cloud vulnerability, architecture, and network management to the security classes in DevOps.</v>
      </c>
      <c r="E23" s="46"/>
      <c r="F23" s="9" t="s">
        <v>334</v>
      </c>
      <c r="G23" s="9" t="s">
        <v>16</v>
      </c>
      <c r="H23" s="21"/>
    </row>
    <row r="24" ht="106.5" customHeight="1">
      <c r="A24" s="46">
        <v>29.0</v>
      </c>
      <c r="B24" s="47" t="s">
        <v>191</v>
      </c>
      <c r="C24" s="7" t="str">
        <f>IFERROR(__xludf.DUMMYFUNCTION("filter('Imported Recommendations'!B:D,'Imported Recommendations'!A:A=A24)"),"The recommendation is to understand the learning context of the class.
Adapt the menu according to the student profile you have.")</f>
        <v>The recommendation is to understand the learning context of the class.
Adapt the menu according to the student profile you have.</v>
      </c>
      <c r="D24" s="46" t="str">
        <f>IFERROR(__xludf.DUMMYFUNCTION("""COMPUTED_VALUE"""),"Identify the most compatible DevOps scope for each class.
Adapt the course according to the profile of students.")</f>
        <v>Identify the most compatible DevOps scope for each class.
Adapt the course according to the profile of students.</v>
      </c>
      <c r="E24" s="46" t="str">
        <f>IFERROR(__xludf.DUMMYFUNCTION("""COMPUTED_VALUE"""),"Identify the most compatible DevOps scope for each class.")</f>
        <v>Identify the most compatible DevOps scope for each class.</v>
      </c>
      <c r="F24" s="9" t="s">
        <v>216</v>
      </c>
      <c r="G24" s="9" t="s">
        <v>16</v>
      </c>
      <c r="H24" s="21"/>
    </row>
    <row r="25" ht="106.5" customHeight="1">
      <c r="A25" s="46">
        <v>30.0</v>
      </c>
      <c r="B25" s="47" t="s">
        <v>191</v>
      </c>
      <c r="C25" s="7" t="str">
        <f>IFERROR(__xludf.DUMMYFUNCTION("filter('Imported Recommendations'!B:D,'Imported Recommendations'!A:A=A25)"),"Having a unique mechanism and an initial step, the final step you want to reach within this test, makes it much easier when you teach, when you do, especially for examples.
Explain how the methodology can be applied, with examples and even tools.
I am n"&amp;"ot going to deliver a ready-made recipe. I am going to use different tools. diverse methodologies that are also tools for them to try to apply within their process.
The lab is like in the lab, because it's a very practical ...   we've implemented an appl"&amp;"ication, uh, a web application, which, uh, in, currently we are using the application we use is a banking application. It is the online banking where people can go in and create an account or transfer between accounts and do all those kind of thing.
In s"&amp;"ome topics, maybe it's introducing a bit more. So say that you're getting in the topic in the, in the lecture where, um, containers are, are relevant and then deployment is relevant. Then maybe the way is to discuss a bit more maybe than use Kubernetes an"&amp;"d Docker, give concrete examples and stuff like that that supports the reading that they have done.")</f>
        <v>Having a unique mechanism and an initial step, the final step you want to reach within this test, makes it much easier when you teach, when you do, especially for examples.
Explain how the methodology can be applied, with examples and even tools.
I am not going to deliver a ready-made recipe. I am going to use different tools. diverse methodologies that are also tools for them to try to apply within their process.
The lab is like in the lab, because it's a very practical ...   we've implemented an application, uh, a web application, which, uh, in, currently we are using the application we use is a banking application. It is the online banking where people can go in and create an account or transfer between accounts and do all those kind of thing.
In some topics, maybe it's introducing a bit more. So say that you're getting in the topic in the, in the lecture where, um, containers are, are relevant and then deployment is relevant. Then maybe the way is to discuss a bit more maybe than use Kubernetes and Docker, give concrete examples and stuff like that that supports the reading that they have done.</v>
      </c>
      <c r="D25" s="46" t="str">
        <f>IFERROR(__xludf.DUMMYFUNCTION("""COMPUTED_VALUE"""),"Make an example to the student in a practical context from the initial stage to the final step.
During the explanation of how to apply devops methodology, make use of example including tools.
Use different tools and methodologies.
Provide sample applic"&amp;"ation in the labs.
Show concrete examples when you are presenting some tool like Kubernetes and Docker.")</f>
        <v>Make an example to the student in a practical context from the initial stage to the final step.
During the explanation of how to apply devops methodology, make use of example including tools.
Use different tools and methodologies.
Provide sample application in the labs.
Show concrete examples when you are presenting some tool like Kubernetes and Docker.</v>
      </c>
      <c r="E25" s="46" t="str">
        <f>IFERROR(__xludf.DUMMYFUNCTION("""COMPUTED_VALUE"""),"Teach using examples.")</f>
        <v>Teach using examples.</v>
      </c>
      <c r="F25" s="9" t="s">
        <v>335</v>
      </c>
      <c r="G25" s="9" t="s">
        <v>442</v>
      </c>
      <c r="H25" s="21"/>
    </row>
    <row r="26" ht="106.5" customHeight="1">
      <c r="A26" s="46">
        <v>32.0</v>
      </c>
      <c r="B26" s="47" t="s">
        <v>191</v>
      </c>
      <c r="C26" s="7" t="str">
        <f>IFERROR(__xludf.DUMMYFUNCTION("filter('Imported Recommendations'!B:D,'Imported Recommendations'!A:A=A26)"),"Present concepts that are well established in the community, such as axes, [...] in the DevOps process.
I simply want them to be able to set up some kind of a pipeline and understand how it works.")</f>
        <v>Present concepts that are well established in the community, such as axes, [...] in the DevOps process.
I simply want them to be able to set up some kind of a pipeline and understand how it works.</v>
      </c>
      <c r="D26" s="46" t="str">
        <f>IFERROR(__xludf.DUMMYFUNCTION("""COMPUTED_VALUE"""),"Introduce well-established concepts by the DevOps community, such as the DevOps pipeline process.
Teach how to set up a pipeline and explain how it works.")</f>
        <v>Introduce well-established concepts by the DevOps community, such as the DevOps pipeline process.
Teach how to set up a pipeline and explain how it works.</v>
      </c>
      <c r="E26" s="46" t="str">
        <f>IFERROR(__xludf.DUMMYFUNCTION("""COMPUTED_VALUE"""),"Introduce well-established concepts by the DevOps community, such as the DevOps pipeline process.")</f>
        <v>Introduce well-established concepts by the DevOps community, such as the DevOps pipeline process.</v>
      </c>
      <c r="F26" s="9" t="s">
        <v>450</v>
      </c>
      <c r="G26" s="9" t="s">
        <v>16</v>
      </c>
      <c r="H26" s="21"/>
    </row>
    <row r="27" ht="106.5" customHeight="1">
      <c r="A27" s="46">
        <v>33.0</v>
      </c>
      <c r="B27" s="47" t="s">
        <v>191</v>
      </c>
      <c r="C27" s="7" t="str">
        <f>IFERROR(__xludf.DUMMYFUNCTION("filter('Imported Recommendations'!B:D,'Imported Recommendations'!A:A=A27)"),"Present [...] cases on how this translates, [...] eliminating the silos between operations and development.")</f>
        <v>Present [...] cases on how this translates, [...] eliminating the silos between operations and development.</v>
      </c>
      <c r="D27" s="46" t="str">
        <f>IFERROR(__xludf.DUMMYFUNCTION("""COMPUTED_VALUE"""),"Present the use case of devops, for example, the elimination of silos among the development team.
Identify the market use cases of devops such as the Google case and the relationship between DevOps and the SRE professional to illustrate the importance of"&amp;" DevOps concepts.
Try to use case study together labs.
Use lectures to show case studies and emphasize in some of the DevOps concepts.")</f>
        <v>Present the use case of devops, for example, the elimination of silos among the development team.
Identify the market use cases of devops such as the Google case and the relationship between DevOps and the SRE professional to illustrate the importance of DevOps concepts.
Try to use case study together labs.
Use lectures to show case studies and emphasize in some of the DevOps concepts.</v>
      </c>
      <c r="E27" s="46" t="str">
        <f>IFERROR(__xludf.DUMMYFUNCTION("""COMPUTED_VALUE"""),"Show use cases of DevOps.")</f>
        <v>Show use cases of DevOps.</v>
      </c>
      <c r="F27" s="9" t="s">
        <v>337</v>
      </c>
      <c r="G27" s="9" t="s">
        <v>442</v>
      </c>
      <c r="H27" s="21"/>
    </row>
    <row r="28" ht="106.5" customHeight="1">
      <c r="A28" s="46">
        <v>35.0</v>
      </c>
      <c r="B28" s="47" t="s">
        <v>191</v>
      </c>
      <c r="C28" s="15" t="str">
        <f>IFERROR(__xludf.DUMMYFUNCTION("filter('Imported Recommendations'!B:D,'Imported Recommendations'!A:A=A28)"),"Build a cohesive [...] laboratory in a specific setting that can better demonstrate the concept being taught there.
So, the recommendation is to abuse the use of online solutions, which facilitate this process, but at the same time, stop the journey [..."&amp;"] So, the recommendation is to abuse the use of online solutions, which facilitate this process, but at the same time, stop the journey.")</f>
        <v>Build a cohesive [...] laboratory in a specific setting that can better demonstrate the concept being taught there.
So, the recommendation is to abuse the use of online solutions, which facilitate this process, but at the same time, stop the journey [...] So, the recommendation is to abuse the use of online solutions, which facilitate this process, but at the same time, stop the journey.</v>
      </c>
      <c r="D28" s="46" t="str">
        <f>IFERROR(__xludf.DUMMYFUNCTION("""COMPUTED_VALUE"""),"Delimit a specific set of tools to build a scenario in order to demonstrate a concept to be taught.
Standardize the use of tools in a well-defined setting.")</f>
        <v>Delimit a specific set of tools to build a scenario in order to demonstrate a concept to be taught.
Standardize the use of tools in a well-defined setting.</v>
      </c>
      <c r="E28" s="46" t="str">
        <f>IFERROR(__xludf.DUMMYFUNCTION("""COMPUTED_VALUE"""),"Delimit a specific set of tools to build a scenario.")</f>
        <v>Delimit a specific set of tools to build a scenario.</v>
      </c>
      <c r="F28" s="9" t="s">
        <v>451</v>
      </c>
      <c r="G28" s="9" t="s">
        <v>18</v>
      </c>
      <c r="H28" s="21"/>
    </row>
    <row r="29" ht="106.5" customHeight="1">
      <c r="A29" s="46">
        <v>36.0</v>
      </c>
      <c r="B29" s="47" t="s">
        <v>191</v>
      </c>
      <c r="C29" s="15" t="str">
        <f>IFERROR(__xludf.DUMMYFUNCTION("filter('Imported Recommendations'!B:D,'Imported Recommendations'!A:A=A29)"),"If it's a case where I don't have access to almost anything, I need to go to a cloud to take a class with the student, even if it doesn't involve the course itself. I need to do everything remote.
Everyone is already using Google or Amazon, with their Ku"&amp;"bernetes environments available for you to use.
The environment setup is key. What I would love to do is have an environment in the cloud. That's always consistent. That would kind of be the best.
The recommendation is we just get them off their local m"&amp;"achines and get them working off cloud servers or something like that. So that at least a, you can kind of script the stuff be if it gets messed up, there's no risk. You just tear it down and build a new one.
The third lab, that's what we do since last w"&amp;"inter. We didn't do it last summer, did deploy on, on, on AWS. So we have, we have built accounts on Amazon, so they can go all the way.
I think maybe the, um, the using external cloud services would give you the better in terms of DevOps philosophy, let"&amp;"'s say, because then you're really pushing and you bring stuff outside of the academy ecosystem.")</f>
        <v>If it's a case where I don't have access to almost anything, I need to go to a cloud to take a class with the student, even if it doesn't involve the course itself. I need to do everything remote.
Everyone is already using Google or Amazon, with their Kubernetes environments available for you to use.
The environment setup is key. What I would love to do is have an environment in the cloud. That's always consistent. That would kind of be the best.
The recommendation is we just get them off their local machines and get them working off cloud servers or something like that. So that at least a, you can kind of script the stuff be if it gets messed up, there's no risk. You just tear it down and build a new one.
The third lab, that's what we do since last winter. We didn't do it last summer, did deploy on, on, on AWS. So we have, we have built accounts on Amazon, so they can go all the way.
I think maybe the, um, the using external cloud services would give you the better in terms of DevOps philosophy, let's say, because then you're really pushing and you bring stuff outside of the academy ecosystem.</v>
      </c>
      <c r="D29" s="46" t="str">
        <f>IFERROR(__xludf.DUMMYFUNCTION("""COMPUTED_VALUE"""),"For a scenario with limited resources, it is recommended to make use of public cloud services.
Use available cloud services (AWS, Google) with Kubernetes.
Do environment setup in the cloud is the best option because they are always consistent.
Get stud"&amp;"ents off their local machines and get them working off cloud servers.
Make the students experiment how to use a cloud provider like AWS.
Using external cloud services would give you the better in terms of DevOps philosophy, because then you're really pu"&amp;"shing and you bring stuff outside of the academy ecosystem.")</f>
        <v>For a scenario with limited resources, it is recommended to make use of public cloud services.
Use available cloud services (AWS, Google) with Kubernetes.
Do environment setup in the cloud is the best option because they are always consistent.
Get students off their local machines and get them working off cloud servers.
Make the students experiment how to use a cloud provider like AWS.
Using external cloud services would give you the better in terms of DevOps philosophy, because then you're really pushing and you bring stuff outside of the academy ecosystem.</v>
      </c>
      <c r="E29" s="46" t="str">
        <f>IFERROR(__xludf.DUMMYFUNCTION("""COMPUTED_VALUE"""),"Use cloud provider services.")</f>
        <v>Use cloud provider services.</v>
      </c>
      <c r="F29" s="9" t="s">
        <v>339</v>
      </c>
      <c r="G29" s="9" t="s">
        <v>18</v>
      </c>
      <c r="H29" s="21"/>
    </row>
    <row r="30" ht="106.5" customHeight="1">
      <c r="A30" s="46">
        <v>38.0</v>
      </c>
      <c r="B30" s="47" t="s">
        <v>191</v>
      </c>
      <c r="C30" s="7" t="str">
        <f>IFERROR(__xludf.DUMMYFUNCTION("filter('Imported Recommendations'!B:D,'Imported Recommendations'!A:A=A30)"),"This menu will have some possibilities to create mutations in this menu because the DevOps concept is very open; right, it encompasses different areas between development, security, and operations.")</f>
        <v>This menu will have some possibilities to create mutations in this menu because the DevOps concept is very open; right, it encompasses different areas between development, security, and operations.</v>
      </c>
      <c r="D30" s="46" t="str">
        <f>IFERROR(__xludf.DUMMYFUNCTION("""COMPUTED_VALUE"""),"Create mutations in the menu due to the breadth of DevOps encompassing the development, operation, and security part.")</f>
        <v>Create mutations in the menu due to the breadth of DevOps encompassing the development, operation, and security part.</v>
      </c>
      <c r="E30" s="46"/>
      <c r="F30" s="9" t="s">
        <v>452</v>
      </c>
      <c r="G30" s="9" t="s">
        <v>10</v>
      </c>
      <c r="H30" s="21"/>
    </row>
    <row r="31" ht="106.5" customHeight="1">
      <c r="A31" s="46">
        <v>39.0</v>
      </c>
      <c r="B31" s="47" t="s">
        <v>191</v>
      </c>
      <c r="C31" s="7" t="str">
        <f>IFERROR(__xludf.DUMMYFUNCTION("filter('Imported Recommendations'!B:D,'Imported Recommendations'!A:A=A31)"),"This curriculum, a part of it, do you understand? With about forty percent, about sixty percent fixed, which is culture, main historical characteristics of how it came about, what does culture represent, what it changes about development processes, securi"&amp;"ty operations. The changeable part is the tools, where you will apply them or what matches you to the students within the classroom in the course syllabus.")</f>
        <v>This curriculum, a part of it, do you understand? With about forty percent, about sixty percent fixed, which is culture, main historical characteristics of how it came about, what does culture represent, what it changes about development processes, security operations. The changeable part is the tools, where you will apply them or what matches you to the students within the classroom in the course syllabus.</v>
      </c>
      <c r="D31" s="46" t="str">
        <f>IFERROR(__xludf.DUMMYFUNCTION("""COMPUTED_VALUE"""),"Half of the curriculum with DevOps concepts/culture. Half the curriculum with tools.")</f>
        <v>Half of the curriculum with DevOps concepts/culture. Half the curriculum with tools.</v>
      </c>
      <c r="E31" s="46"/>
      <c r="F31" s="9" t="s">
        <v>341</v>
      </c>
      <c r="G31" s="9" t="s">
        <v>10</v>
      </c>
      <c r="H31" s="21"/>
    </row>
    <row r="32" ht="106.5" customHeight="1">
      <c r="A32" s="46">
        <v>41.0</v>
      </c>
      <c r="B32" s="47" t="s">
        <v>191</v>
      </c>
      <c r="C32" s="15" t="str">
        <f>IFERROR(__xludf.DUMMYFUNCTION("filter('Imported Recommendations'!B:D,'Imported Recommendations'!A:A=A32)"),"Always focus on culture, the tools are excellent, they attract a student, they create a practical scenario, but oh, DevOps implementation errors in practice are mainly caused by companies and professionals who do not interpret this as a culture.
More imp"&amp;"ortant [...] is to understand that concepts such as observability, development culture, communication, sharing are core. They are the core of what is proposed in relation to DevOps.
Teach the DevOps culture: respect the individualities of your team, not "&amp;"looking to blame anyone but for solutions.
The only way to teach culture, the only way to experience culture is to immerse the students in the culture. [...] one of the examples I give to my students is I say, you know, I took three years of Spanish in h"&amp;"igh school and I don't speak a word of Spanish, but I bet if I spent a summer in Spain, I would come back speaking, fluent Spanish. So I tell them: ""this class is your summer in Spain"", right? We are going to live DevOps. We're going to experience DevOp"&amp;"s. And that's the only way you can properly teach it.
Working as an agile team and using the DevOps tools, but most importantly, living the DevOps culture.
Like, what do you teach in a DevOps course? Like, do you teach just technologies like Kubernetes "&amp;"and Docker? And, and I kept saying, no, this is not why I went back to university. I don't want to be just teaching techniques and tools because these will change over time.
")</f>
        <v>Always focus on culture, the tools are excellent, they attract a student, they create a practical scenario, but oh, DevOps implementation errors in practice are mainly caused by companies and professionals who do not interpret this as a culture.
More important [...] is to understand that concepts such as observability, development culture, communication, sharing are core. They are the core of what is proposed in relation to DevOps.
Teach the DevOps culture: respect the individualities of your team, not looking to blame anyone but for solutions.
The only way to teach culture, the only way to experience culture is to immerse the students in the culture. [...] one of the examples I give to my students is I say, you know, I took three years of Spanish in high school and I don't speak a word of Spanish, but I bet if I spent a summer in Spain, I would come back speaking, fluent Spanish. So I tell them: "this class is your summer in Spain", right? We are going to live DevOps. We're going to experience DevOps. And that's the only way you can properly teach it.
Working as an agile team and using the DevOps tools, but most importantly, living the DevOps culture.
Like, what do you teach in a DevOps course? Like, do you teach just technologies like Kubernetes and Docker? And, and I kept saying, no, this is not why I went back to university. I don't want to be just teaching techniques and tools because these will change over time.
</v>
      </c>
      <c r="D32" s="48" t="str">
        <f>IFERROR(__xludf.DUMMYFUNCTION("""COMPUTED_VALUE"""),"Emphasize the importance of the DevOps culture and propagate it.
It is important to teach concepts such as observability and other cultural aspects such as sharing and communication.
Teach the DevOps culture: respect the individualities of your team, no"&amp;"t looking for blame, but for solutions.
Live DevOps and its culture is the best way to learn it.
Living DevOps culture is more important than just learning DevOps tools.
Don't teach a DevOps course only focusing on tools and technologies because it cha"&amp;"nges over time.")</f>
        <v>Emphasize the importance of the DevOps culture and propagate it.
It is important to teach concepts such as observability and other cultural aspects such as sharing and communication.
Teach the DevOps culture: respect the individualities of your team, not looking for blame, but for solutions.
Live DevOps and its culture is the best way to learn it.
Living DevOps culture is more important than just learning DevOps tools.
Don't teach a DevOps course only focusing on tools and technologies because it changes over time.</v>
      </c>
      <c r="E32" s="48" t="str">
        <f>IFERROR(__xludf.DUMMYFUNCTION("""COMPUTED_VALUE"""),"Teach the DevOps mindset.")</f>
        <v>Teach the DevOps mindset.</v>
      </c>
      <c r="F32" s="9" t="s">
        <v>223</v>
      </c>
      <c r="G32" s="9" t="s">
        <v>16</v>
      </c>
      <c r="H32" s="21"/>
    </row>
    <row r="33" ht="106.5" customHeight="1">
      <c r="A33" s="46">
        <v>44.0</v>
      </c>
      <c r="B33" s="47" t="s">
        <v>191</v>
      </c>
      <c r="C33" s="7" t="str">
        <f>IFERROR(__xludf.DUMMYFUNCTION("filter('Imported Recommendations'!B:D,'Imported Recommendations'!A:A=A33)"),"Nor use VM virtual machines because the virtual machine demands hardware resources. And it's not always that you have availability to upload two virtual machines on the student's device.")</f>
        <v>Nor use VM virtual machines because the virtual machine demands hardware resources. And it's not always that you have availability to upload two virtual machines on the student's device.</v>
      </c>
      <c r="D33" s="46" t="str">
        <f>IFERROR(__xludf.DUMMYFUNCTION("""COMPUTED_VALUE"""),"Avoid using virtual machines because they demand hardware resources, which are not always available on the students' devices.")</f>
        <v>Avoid using virtual machines because they demand hardware resources, which are not always available on the students' devices.</v>
      </c>
      <c r="E33" s="46"/>
      <c r="F33" s="9" t="s">
        <v>453</v>
      </c>
      <c r="G33" s="9" t="s">
        <v>18</v>
      </c>
      <c r="H33" s="21"/>
    </row>
    <row r="34" ht="106.5" customHeight="1">
      <c r="A34" s="46">
        <v>45.0</v>
      </c>
      <c r="B34" s="47" t="s">
        <v>191</v>
      </c>
      <c r="C34" s="7" t="str">
        <f>IFERROR(__xludf.DUMMYFUNCTION("filter('Imported Recommendations'!B:D,'Imported Recommendations'!A:A=A34)"),"All the devops tooling behind it like [...] the ansible or terraform here, or any of those other flavors of automaters and deployment and stuff like that you can use.
I am going to upload the environment here on AWS using Terraform. So, provision the stu"&amp;"dents' machines with TerraForm, explain to the students what you are doing, at the right time, on schedule, but decouple the need for the infrastructure.")</f>
        <v>All the devops tooling behind it like [...] the ansible or terraform here, or any of those other flavors of automaters and deployment and stuff like that you can use.
I am going to upload the environment here on AWS using Terraform. So, provision the students' machines with TerraForm, explain to the students what you are doing, at the right time, on schedule, but decouple the need for the infrastructure.</v>
      </c>
      <c r="D34" s="46" t="str">
        <f>IFERROR(__xludf.DUMMYFUNCTION("""COMPUTED_VALUE"""),"Terraform as a deployment automation tool can be used in teaching devops.
Use Terraform as a provisioning tool (Infrastructure as Code).")</f>
        <v>Terraform as a deployment automation tool can be used in teaching devops.
Use Terraform as a provisioning tool (Infrastructure as Code).</v>
      </c>
      <c r="E34" s="46" t="str">
        <f>IFERROR(__xludf.DUMMYFUNCTION("""COMPUTED_VALUE"""),"Terraform as a deployment provisioning tool can be used in teaching devops.")</f>
        <v>Terraform as a deployment provisioning tool can be used in teaching devops.</v>
      </c>
      <c r="F34" s="9" t="s">
        <v>344</v>
      </c>
      <c r="G34" s="9" t="s">
        <v>18</v>
      </c>
      <c r="H34" s="21"/>
    </row>
    <row r="35">
      <c r="A35" s="46">
        <v>48.0</v>
      </c>
      <c r="B35" s="47" t="s">
        <v>191</v>
      </c>
      <c r="C35" s="7" t="str">
        <f>IFERROR(__xludf.DUMMYFUNCTION("filter('Imported Recommendations'!B:D,'Imported Recommendations'!A:A=A35)"),"So, I think it's essential for you to break both the tone of voice, the didactics you're using, put examples, you'll explain something theoretical, like Lean, for example, does an exercise that simulates the Lean process, not in software, it can even be w"&amp;"ith software, it can be with blocks, use Trello, interact with the student because if you spend more than twenty minutes talking, anyway, any situation, even in a typical lecture, you lose the student, you lose the audience.")</f>
        <v>So, I think it's essential for you to break both the tone of voice, the didactics you're using, put examples, you'll explain something theoretical, like Lean, for example, does an exercise that simulates the Lean process, not in software, it can even be with software, it can be with blocks, use Trello, interact with the student because if you spend more than twenty minutes talking, anyway, any situation, even in a typical lecture, you lose the student, you lose the audience.</v>
      </c>
      <c r="D35" s="46" t="str">
        <f>IFERROR(__xludf.DUMMYFUNCTION("""COMPUTED_VALUE"""),"Use examples with students to teach theory. For instance, we are using blocks or Trello to teach Lean.")</f>
        <v>Use examples with students to teach theory. For instance, we are using blocks or Trello to teach Lean.</v>
      </c>
      <c r="E35" s="46"/>
      <c r="F35" s="9" t="s">
        <v>346</v>
      </c>
      <c r="G35" s="9" t="s">
        <v>442</v>
      </c>
      <c r="H35" s="21"/>
    </row>
    <row r="36" ht="106.5" customHeight="1">
      <c r="A36" s="46">
        <v>51.0</v>
      </c>
      <c r="B36" s="47" t="s">
        <v>191</v>
      </c>
      <c r="C36" s="7" t="str">
        <f>IFERROR(__xludf.DUMMYFUNCTION("filter('Imported Recommendations'!B:D,'Imported Recommendations'!A:A=A36)"),"If it's a mixed class, we send students a document that shows them beforehand, right? What are the prerequisites for him to take the course, software, software versions, how to install, well documented.")</f>
        <v>If it's a mixed class, we send students a document that shows them beforehand, right? What are the prerequisites for him to take the course, software, software versions, how to install, well documented.</v>
      </c>
      <c r="D36" s="46" t="str">
        <f>IFERROR(__xludf.DUMMYFUNCTION("""COMPUTED_VALUE"""),"Share course prerequisites with students in advance.")</f>
        <v>Share course prerequisites with students in advance.</v>
      </c>
      <c r="E36" s="46"/>
      <c r="F36" s="9" t="s">
        <v>348</v>
      </c>
      <c r="G36" s="9" t="s">
        <v>24</v>
      </c>
      <c r="H36" s="21"/>
    </row>
    <row r="37" ht="106.5" customHeight="1">
      <c r="A37" s="46">
        <v>53.0</v>
      </c>
      <c r="B37" s="47" t="s">
        <v>191</v>
      </c>
      <c r="C37" s="15" t="str">
        <f>IFERROR(__xludf.DUMMYFUNCTION("filter('Imported Recommendations'!B:D,'Imported Recommendations'!A:A=A37)"),"So we break the infrastructure documents to do the Kaisen process within Lean-to unify the documentation so that the student understands the difficulty he faced and the difficulty he will meet daily.
So we employ someone in our team, a couple of people w"&amp;"ho work on implementing that, and we created some issues in the application, like some bugs.")</f>
        <v>So we break the infrastructure documents to do the Kaisen process within Lean-to unify the documentation so that the student understands the difficulty he faced and the difficulty he will meet daily.
So we employ someone in our team, a couple of people who work on implementing that, and we created some issues in the application, like some bugs.</v>
      </c>
      <c r="D37" s="56" t="str">
        <f>IFERROR(__xludf.DUMMYFUNCTION("""COMPUTED_VALUE"""),"Simulate real problems that the student will likely face in their daily lives.
Try to simulate a real scenario employing someone in the group to insert issues and bugs in students project.")</f>
        <v>Simulate real problems that the student will likely face in their daily lives.
Try to simulate a real scenario employing someone in the group to insert issues and bugs in students project.</v>
      </c>
      <c r="E37" s="56" t="str">
        <f>IFERROR(__xludf.DUMMYFUNCTION("""COMPUTED_VALUE"""),"Simulate real problems with the students.")</f>
        <v>Simulate real problems with the students.</v>
      </c>
      <c r="F37" s="9" t="s">
        <v>454</v>
      </c>
      <c r="G37" s="9" t="s">
        <v>442</v>
      </c>
      <c r="H37" s="21"/>
    </row>
    <row r="38" ht="106.5" customHeight="1">
      <c r="A38" s="46">
        <v>54.0</v>
      </c>
      <c r="B38" s="47" t="s">
        <v>191</v>
      </c>
      <c r="C38" s="15" t="str">
        <f>IFERROR(__xludf.DUMMYFUNCTION("filter('Imported Recommendations'!B:D,'Imported Recommendations'!A:A=A38)"),"From a didactic point of view, we leave one or two hours before each day; there is a specific infra team to answer any student's doubts.")</f>
        <v>From a didactic point of view, we leave one or two hours before each day; there is a specific infra team to answer any student's doubts.</v>
      </c>
      <c r="D38" s="48" t="str">
        <f>IFERROR(__xludf.DUMMYFUNCTION("""COMPUTED_VALUE"""),"There is a specific support team to answer students' questions about the related infrastructure part.")</f>
        <v>There is a specific support team to answer students' questions about the related infrastructure part.</v>
      </c>
      <c r="E38" s="48"/>
      <c r="F38" s="9" t="s">
        <v>350</v>
      </c>
      <c r="G38" s="9" t="s">
        <v>24</v>
      </c>
      <c r="H38" s="21"/>
    </row>
    <row r="39" ht="106.5" customHeight="1">
      <c r="A39" s="46">
        <v>56.0</v>
      </c>
      <c r="B39" s="47" t="s">
        <v>191</v>
      </c>
      <c r="C39" s="15" t="str">
        <f>IFERROR(__xludf.DUMMYFUNCTION("filter('Imported Recommendations'!B:D,'Imported Recommendations'!A:A=A39)"),"A task tracking tool. Then it can be Notion or Trello; I think it's essential.")</f>
        <v>A task tracking tool. Then it can be Notion or Trello; I think it's essential.</v>
      </c>
      <c r="D39" s="48" t="str">
        <f>IFERROR(__xludf.DUMMYFUNCTION("""COMPUTED_VALUE"""),"Use a task tracking tool like Trello or Notion.")</f>
        <v>Use a task tracking tool like Trello or Notion.</v>
      </c>
      <c r="E39" s="48"/>
      <c r="F39" s="9" t="s">
        <v>455</v>
      </c>
      <c r="G39" s="9" t="s">
        <v>18</v>
      </c>
      <c r="H39" s="21"/>
    </row>
    <row r="40" ht="106.5" customHeight="1">
      <c r="A40" s="46">
        <v>57.0</v>
      </c>
      <c r="B40" s="47" t="s">
        <v>191</v>
      </c>
      <c r="C40" s="15" t="str">
        <f>IFERROR(__xludf.DUMMYFUNCTION("filter('Imported Recommendations'!B:D,'Imported Recommendations'!A:A=A40)"),"There must always be two tools, the stream that would be the zoom, Google Meet, any device that does that, Webex I don't know, it depends on the company.
Because of the remote learning  [...] I've been teaching my classes on zoom.")</f>
        <v>There must always be two tools, the stream that would be the zoom, Google Meet, any device that does that, Webex I don't know, it depends on the company.
Because of the remote learning  [...] I've been teaching my classes on zoom.</v>
      </c>
      <c r="D40" s="48" t="str">
        <f>IFERROR(__xludf.DUMMYFUNCTION("""COMPUTED_VALUE"""),"Use a streaming tool like Zoom, Google Meet, or Webex in remote learning scenario.
Use Zoom in remote learning scenario.")</f>
        <v>Use a streaming tool like Zoom, Google Meet, or Webex in remote learning scenario.
Use Zoom in remote learning scenario.</v>
      </c>
      <c r="E40" s="48" t="str">
        <f>IFERROR(__xludf.DUMMYFUNCTION("""COMPUTED_VALUE"""),"Use streaming tool like Zoom in remote learning scenario.")</f>
        <v>Use streaming tool like Zoom in remote learning scenario.</v>
      </c>
      <c r="F40" s="9" t="s">
        <v>352</v>
      </c>
      <c r="G40" s="9" t="s">
        <v>18</v>
      </c>
      <c r="H40" s="21"/>
    </row>
    <row r="41" ht="106.5" customHeight="1">
      <c r="A41" s="46">
        <v>59.0</v>
      </c>
      <c r="B41" s="47" t="s">
        <v>191</v>
      </c>
      <c r="C41" s="15" t="str">
        <f>IFERROR(__xludf.DUMMYFUNCTION("filter('Imported Recommendations'!B:D,'Imported Recommendations'!A:A=A41)"),"And a code repository, you can GitLab, Github, which you can share with students, this situation.
They use GitHub. .. The only thing we really need is that the students give us, uh, access to their accounts.
This course has a very specific structure, wh"&amp;"ich is not usual. Uh, the structure is that, uh, everything. Um, I think you have access to our GitHub repository and everything is, uh, available.
Everything in this course was, uh, was, uh, done through the GitHub repository, there are many issues, the"&amp;"re are many pull requests and the discussions between TAs and the students and grading everything is there.
The student had to have the code that goes so git as a version control system, uh, GitHub GitLab, the, we had a Bitbucket on-premise also, uh, dep"&amp;"loyed inside the school.")</f>
        <v>And a code repository, you can GitLab, Github, which you can share with students, this situation.
They use GitHub. .. The only thing we really need is that the students give us, uh, access to their accounts.
This course has a very specific structure, which is not usual. Uh, the structure is that, uh, everything. Um, I think you have access to our GitHub repository and everything is, uh, available.
Everything in this course was, uh, was, uh, done through the GitHub repository, there are many issues, there are many pull requests and the discussions between TAs and the students and grading everything is there.
The student had to have the code that goes so git as a version control system, uh, GitHub GitLab, the, we had a Bitbucket on-premise also, uh, deployed inside the school.</v>
      </c>
      <c r="D41" s="48" t="str">
        <f>IFERROR(__xludf.DUMMYFUNCTION("""COMPUTED_VALUE"""),"Use a code repository tool like Gitlab or Github.
Use Github with access to students accounts repositories.
Make public access the content of the course using the GitHub.
Use Github to record grading, pull requests and discussions between teacher assis"&amp;"tants and the students.
Use github, gitlab or bitbucket as version control system tools adopted by the course.")</f>
        <v>Use a code repository tool like Gitlab or Github.
Use Github with access to students accounts repositories.
Make public access the content of the course using the GitHub.
Use Github to record grading, pull requests and discussions between teacher assistants and the students.
Use github, gitlab or bitbucket as version control system tools adopted by the course.</v>
      </c>
      <c r="E41" s="48" t="str">
        <f>IFERROR(__xludf.DUMMYFUNCTION("""COMPUTED_VALUE"""),"Use a code repository tool like Github.")</f>
        <v>Use a code repository tool like Github.</v>
      </c>
      <c r="F41" s="9" t="s">
        <v>456</v>
      </c>
      <c r="G41" s="9" t="s">
        <v>18</v>
      </c>
      <c r="H41" s="21"/>
    </row>
    <row r="42" ht="106.5" customHeight="1">
      <c r="A42" s="46">
        <v>60.0</v>
      </c>
      <c r="B42" s="47" t="s">
        <v>191</v>
      </c>
      <c r="C42" s="15" t="str">
        <f>IFERROR(__xludf.DUMMYFUNCTION("filter('Imported Recommendations'!B:D,'Imported Recommendations'!A:A=A42)"),"We usually use Jenkins as an integration tool because it's open-source, it's everywhere, despite having other devices that do the job even better, but it's spread out, it's ancient.
The software [...] built with Jenkins.
Jenkins, you do not pay anything"&amp;", you install it on your server, and it has gone.
They need Jenkins. So either you tell them to go install Jenkins, or what I've done is I say, Hey, here's a Docker image for Jenkins.
Now I realize every day that I need testing and continuous, I mean, J"&amp;"enkins is my friend.
And, and, uh, so in terms of the continuous integration server, and there are many different services available, but can we use Jenkins because it is a, it is free and, and a lot of companies are using, but there are some other optio"&amp;"ns that can be used.
Let's go for something that we have more control on, uh, using for tools like Jenkins and and a stuff like Docker or Kubernetes was kind of good in a way to, uh, support the deployment and the, uh, like the building plus deployment s"&amp;"tuff.")</f>
        <v>We usually use Jenkins as an integration tool because it's open-source, it's everywhere, despite having other devices that do the job even better, but it's spread out, it's ancient.
The software [...] built with Jenkins.
Jenkins, you do not pay anything, you install it on your server, and it has gone.
They need Jenkins. So either you tell them to go install Jenkins, or what I've done is I say, Hey, here's a Docker image for Jenkins.
Now I realize every day that I need testing and continuous, I mean, Jenkins is my friend.
And, and, uh, so in terms of the continuous integration server, and there are many different services available, but can we use Jenkins because it is a, it is free and, and a lot of companies are using, but there are some other options that can be used.
Let's go for something that we have more control on, uh, using for tools like Jenkins and and a stuff like Docker or Kubernetes was kind of good in a way to, uh, support the deployment and the, uh, like the building plus deployment stuff.</v>
      </c>
      <c r="D42" s="48" t="str">
        <f>IFERROR(__xludf.DUMMYFUNCTION("""COMPUTED_VALUE"""),"Use a Continuous Integration tool. in particular, Jenkins is open source and very widespread. 
Use Jenkins to do continuous integration.
Use Jenkins.
Uses Jenkins through a Docker image.
Jenkins can be chosen as DevOps tool.
Jenkins can be use as con"&amp;"tinuous integration tool because it is free and lot of companies use it.
Use tools like Jenkins to have more control on support the deployment.")</f>
        <v>Use a Continuous Integration tool. in particular, Jenkins is open source and very widespread. 
Use Jenkins to do continuous integration.
Use Jenkins.
Uses Jenkins through a Docker image.
Jenkins can be chosen as DevOps tool.
Jenkins can be use as continuous integration tool because it is free and lot of companies use it.
Use tools like Jenkins to have more control on support the deployment.</v>
      </c>
      <c r="E42" s="48" t="str">
        <f>IFERROR(__xludf.DUMMYFUNCTION("""COMPUTED_VALUE"""),"Use Jenkins tool.")</f>
        <v>Use Jenkins tool.</v>
      </c>
      <c r="F42" s="9" t="s">
        <v>354</v>
      </c>
      <c r="G42" s="9" t="s">
        <v>18</v>
      </c>
      <c r="H42" s="21"/>
    </row>
    <row r="43" ht="106.5" customHeight="1">
      <c r="A43" s="46">
        <v>62.0</v>
      </c>
      <c r="B43" s="47" t="s">
        <v>191</v>
      </c>
      <c r="C43" s="15" t="str">
        <f>IFERROR(__xludf.DUMMYFUNCTION("filter('Imported Recommendations'!B:D,'Imported Recommendations'!A:A=A43)"),"So, I usually recommend it to instructors; I recommend it to students when they share it with me. Decrease the FPF rate of screen sharing because that's a lock. Zoom uses what it can if you don't limit it. So, we restrict ten FPS, for example, so that I d"&amp;"on't consume too much of my or the student's CPU because I sometimes have to correct the exercise on his side.")</f>
        <v>So, I usually recommend it to instructors; I recommend it to students when they share it with me. Decrease the FPF rate of screen sharing because that's a lock. Zoom uses what it can if you don't limit it. So, we restrict ten FPS, for example, so that I don't consume too much of my or the student's CPU because I sometimes have to correct the exercise on his side.</v>
      </c>
      <c r="D43" s="48" t="str">
        <f>IFERROR(__xludf.DUMMYFUNCTION("""COMPUTED_VALUE"""),"Limit the zoom FPS rate to 10, avoiding excessive student and instructor resource consumption.")</f>
        <v>Limit the zoom FPS rate to 10, avoiding excessive student and instructor resource consumption.</v>
      </c>
      <c r="E43" s="48"/>
      <c r="F43" s="9" t="s">
        <v>457</v>
      </c>
      <c r="G43" s="9" t="s">
        <v>18</v>
      </c>
      <c r="H43" s="21"/>
    </row>
    <row r="44" ht="106.5" customHeight="1">
      <c r="A44" s="46">
        <v>63.0</v>
      </c>
      <c r="B44" s="47" t="s">
        <v>191</v>
      </c>
      <c r="C44" s="15" t="str">
        <f>IFERROR(__xludf.DUMMYFUNCTION("filter('Imported Recommendations'!B:D,'Imported Recommendations'!A:A=A44)"),"It would help if you observed each student and, and then, you have to listen a lot, too, what was the difficulty he had and where he arrived. So, then, we do a final assessment per student, but our perception of it. If he did well, if he had a lot of doub"&amp;"t, what was the point that generated the most suspicion for him?
I tell them, I am not going to grade you on what you submit. I'm going to grade you on how you got there because getting there is not the point. It's the journey, right? That's the point. ["&amp;"...] I teach them that every failure is a learning opportunity. If you fail and you learn something, you get credit. It's not a failure because you've learned something, we're here to learn.
You can't just grade what they submit. You have to watch how th"&amp;"ey're working.
For the assessment, as I said, I give them a lot of leeway in the beginning. Um, they can make mistakes on their Kanban board and still get full credit if they know what the mistakes are that they made. However, in later sprints, if they m"&amp;"ake the same mistakes, then I start taking points off.  So I give them time to learn, uh, so that they feel that they can make a few mistakes, take a few risks, um, and not get penalized for it.
 If there's problems, I'll tell you where there's problems "&amp;"and you can go fix it, go get it, right. Go, go make it, do what it's supposed to do. You know, because in industry we're, we don't just get a one and done shot. We keep at it until it works. And so I bring that to the table and I think that provides a li"&amp;"ttle less pressure on students.
I tend not to get quite as hyper-focused on right versus wrong answers. ... so treating it as, as more of an assessment of maybe architecture, if you will, or an assessment of approach, as opposed to this is right, this is"&amp;" wrong. Uh, I think that's been fairly well received.
So people need to feel comfortable sharing, if they've made a mistake or not thinking that they're gonna have their headquarters. Right. Um, so when talking about that, if students have never worked i"&amp;"n the context where, you know, people are blaming each other and stuff, it's difficult to understand I, to, to be concrete. And this is so crucial.")</f>
        <v>It would help if you observed each student and, and then, you have to listen a lot, too, what was the difficulty he had and where he arrived. So, then, we do a final assessment per student, but our perception of it. If he did well, if he had a lot of doubt, what was the point that generated the most suspicion for him?
I tell them, I am not going to grade you on what you submit. I'm going to grade you on how you got there because getting there is not the point. It's the journey, right? That's the point. [...] I teach them that every failure is a learning opportunity. If you fail and you learn something, you get credit. It's not a failure because you've learned something, we're here to learn.
You can't just grade what they submit. You have to watch how they're working.
For the assessment, as I said, I give them a lot of leeway in the beginning. Um, they can make mistakes on their Kanban board and still get full credit if they know what the mistakes are that they made. However, in later sprints, if they make the same mistakes, then I start taking points off.  So I give them time to learn, uh, so that they feel that they can make a few mistakes, take a few risks, um, and not get penalized for it.
 If there's problems, I'll tell you where there's problems and you can go fix it, go get it, right. Go, go make it, do what it's supposed to do. You know, because in industry we're, we don't just get a one and done shot. We keep at it until it works. And so I bring that to the table and I think that provides a little less pressure on students.
I tend not to get quite as hyper-focused on right versus wrong answers. ... so treating it as, as more of an assessment of maybe architecture, if you will, or an assessment of approach, as opposed to this is right, this is wrong. Uh, I think that's been fairly well received.
So people need to feel comfortable sharing, if they've made a mistake or not thinking that they're gonna have their headquarters. Right. Um, so when talking about that, if students have never worked in the context where, you know, people are blaming each other and stuff, it's difficult to understand I, to, to be concrete. And this is so crucial.</v>
      </c>
      <c r="D44" s="48" t="str">
        <f>IFERROR(__xludf.DUMMYFUNCTION("""COMPUTED_VALUE"""),"Individually assess the student's progress throughout the course.
Grade students based on their learning journey and mistakes, not on what they submit. What's important is how they get there, because every failure is learning opportunity.
Grade based ho"&amp;"w the students working their tasks and not only what they are submitting.
For the assessment, the students can make mistakes in the beginning without fear of being penalized.
Students can fix their code problems. In industry, we keep coding until it wor"&amp;"ks. It also provides a little less pressure on students.
Do not focus your assessment on right versus wrong answers.
Create an environment that students feel comfortable with sharing about their mistakes and learn how with their teammates.")</f>
        <v>Individually assess the student's progress throughout the course.
Grade students based on their learning journey and mistakes, not on what they submit. What's important is how they get there, because every failure is learning opportunity.
Grade based how the students working their tasks and not only what they are submitting.
For the assessment, the students can make mistakes in the beginning without fear of being penalized.
Students can fix their code problems. In industry, we keep coding until it works. It also provides a little less pressure on students.
Do not focus your assessment on right versus wrong answers.
Create an environment that students feel comfortable with sharing about their mistakes and learn how with their teammates.</v>
      </c>
      <c r="E44" s="48" t="str">
        <f>IFERROR(__xludf.DUMMYFUNCTION("""COMPUTED_VALUE"""),"Grade students based on their learning journey and mistakes. What's important is how they get there, because every failure is learning opportunity.")</f>
        <v>Grade students based on their learning journey and mistakes. What's important is how they get there, because every failure is learning opportunity.</v>
      </c>
      <c r="F44" s="9" t="s">
        <v>356</v>
      </c>
      <c r="G44" s="9" t="s">
        <v>29</v>
      </c>
      <c r="H44" s="21"/>
    </row>
    <row r="45" ht="106.5" customHeight="1">
      <c r="A45" s="46">
        <v>66.0</v>
      </c>
      <c r="B45" s="47" t="s">
        <v>191</v>
      </c>
      <c r="C45" s="15" t="str">
        <f>IFERROR(__xludf.DUMMYFUNCTION("filter('Imported Recommendations'!B:D,'Imported Recommendations'!A:A=A45)"),"If possible, record at least one training for an autoscopy at the end. See if you have any language addiction, if there were any process that didn't fit the way you imagined, that would work, because when you're talking and doing, sometimes, there's a det"&amp;"ail that it shouldn't.")</f>
        <v>If possible, record at least one training for an autoscopy at the end. See if you have any language addiction, if there were any process that didn't fit the way you imagined, that would work, because when you're talking and doing, sometimes, there's a detail that it shouldn't.</v>
      </c>
      <c r="D45" s="48" t="str">
        <f>IFERROR(__xludf.DUMMYFUNCTION("""COMPUTED_VALUE"""),"Record a training for the teacher to assess language addiction and whether the class flowed as planned.")</f>
        <v>Record a training for the teacher to assess language addiction and whether the class flowed as planned.</v>
      </c>
      <c r="E45" s="48"/>
      <c r="F45" s="9" t="s">
        <v>358</v>
      </c>
      <c r="G45" s="9" t="s">
        <v>29</v>
      </c>
      <c r="H45" s="21"/>
    </row>
    <row r="46" ht="106.5" customHeight="1">
      <c r="A46" s="46">
        <v>68.0</v>
      </c>
      <c r="B46" s="47" t="s">
        <v>191</v>
      </c>
      <c r="C46" s="15" t="str">
        <f>IFERROR(__xludf.DUMMYFUNCTION("filter('Imported Recommendations'!B:D,'Imported Recommendations'!A:A=A46)"),"We need to talk about the theoretical part about Lean, which is the Toyota method, Kaisen is also very important, Agile which is significantly linked to the DevOps process.")</f>
        <v>We need to talk about the theoretical part about Lean, which is the Toyota method, Kaisen is also very important, Agile which is significantly linked to the DevOps process.</v>
      </c>
      <c r="D46" s="48" t="str">
        <f>IFERROR(__xludf.DUMMYFUNCTION("""COMPUTED_VALUE"""),"In the theoretical part of DevOps, Lean, Kaisen, and Agile should be taught.")</f>
        <v>In the theoretical part of DevOps, Lean, Kaisen, and Agile should be taught.</v>
      </c>
      <c r="E46" s="48"/>
      <c r="F46" s="9" t="s">
        <v>458</v>
      </c>
      <c r="G46" s="9" t="s">
        <v>10</v>
      </c>
      <c r="H46" s="21"/>
    </row>
    <row r="47" ht="106.5" customHeight="1">
      <c r="A47" s="46">
        <v>69.0</v>
      </c>
      <c r="B47" s="47" t="s">
        <v>191</v>
      </c>
      <c r="C47" s="15" t="str">
        <f>IFERROR(__xludf.DUMMYFUNCTION("filter('Imported Recommendations'!B:D,'Imported Recommendations'!A:A=A47)"),"What is practical, from the menu, is to make an end-to-end software, [...] But, end-to-end, and the end, which is monitoring.")</f>
        <v>What is practical, from the menu, is to make an end-to-end software, [...] But, end-to-end, and the end, which is monitoring.</v>
      </c>
      <c r="D47" s="48" t="str">
        <f>IFERROR(__xludf.DUMMYFUNCTION("""COMPUTED_VALUE"""),"Make software from start to finish, going through the DevOps steps to the monitoring step.")</f>
        <v>Make software from start to finish, going through the DevOps steps to the monitoring step.</v>
      </c>
      <c r="E47" s="48"/>
      <c r="F47" s="9" t="s">
        <v>360</v>
      </c>
      <c r="G47" s="9" t="s">
        <v>10</v>
      </c>
      <c r="H47" s="21"/>
    </row>
    <row r="48" ht="106.5" customHeight="1">
      <c r="A48" s="46">
        <v>71.0</v>
      </c>
      <c r="B48" s="47" t="s">
        <v>191</v>
      </c>
      <c r="C48" s="15" t="str">
        <f>IFERROR(__xludf.DUMMYFUNCTION("filter('Imported Recommendations'!B:D,'Imported Recommendations'!A:A=A48)"),"The software [...] a monitoring tool, in the end, for you to look at. [...] Look at a Grafana, for example, with Prometheus, which is free software, like that.")</f>
        <v>The software [...] a monitoring tool, in the end, for you to look at. [...] Look at a Grafana, for example, with Prometheus, which is free software, like that.</v>
      </c>
      <c r="D48" s="48" t="str">
        <f>IFERROR(__xludf.DUMMYFUNCTION("""COMPUTED_VALUE"""),"Use Grafana and Prometheus as monitoring tools.")</f>
        <v>Use Grafana and Prometheus as monitoring tools.</v>
      </c>
      <c r="E48" s="48"/>
      <c r="F48" s="9" t="s">
        <v>459</v>
      </c>
      <c r="G48" s="9" t="s">
        <v>18</v>
      </c>
      <c r="H48" s="21"/>
    </row>
    <row r="49">
      <c r="A49" s="46">
        <v>72.0</v>
      </c>
      <c r="B49" s="47" t="s">
        <v>191</v>
      </c>
      <c r="C49" s="15" t="str">
        <f>IFERROR(__xludf.DUMMYFUNCTION("filter('Imported Recommendations'!B:D,'Imported Recommendations'!A:A=A49)"),"Of the menu is to make an end-to-end software, to understand the software in its conception. We already deliver this to the student, ready. Because we're not going to create the software from scratch, because the code is already kind of polished, it's a c"&amp;"ode from a forum in Java, where we have some features that depend on the machine to do the build, so we're going to decouple.")</f>
        <v>Of the menu is to make an end-to-end software, to understand the software in its conception. We already deliver this to the student, ready. Because we're not going to create the software from scratch, because the code is already kind of polished, it's a code from a forum in Java, where we have some features that depend on the machine to do the build, so we're going to decouple.</v>
      </c>
      <c r="D49" s="48" t="str">
        <f>IFERROR(__xludf.DUMMYFUNCTION("""COMPUTED_VALUE"""),"Use a complete example project from places such as a java discussion forum.")</f>
        <v>Use a complete example project from places such as a java discussion forum.</v>
      </c>
      <c r="E49" s="48"/>
      <c r="F49" s="9" t="s">
        <v>362</v>
      </c>
      <c r="G49" s="9" t="s">
        <v>442</v>
      </c>
      <c r="H49" s="21"/>
    </row>
    <row r="50" ht="106.5" customHeight="1">
      <c r="A50" s="46">
        <v>74.0</v>
      </c>
      <c r="B50" s="47" t="s">
        <v>191</v>
      </c>
      <c r="C50" s="15" t="str">
        <f>IFERROR(__xludf.DUMMYFUNCTION("filter('Imported Recommendations'!B:D,'Imported Recommendations'!A:A=A50)"),"Make it very clear, pedagogically, that I think it involves an exemplary sound configuration so that the student can hear you well, always with the camera open, even if the student doesn't open it, because he can't, but let him see you, that he feels this"&amp;" approach as much as possible.")</f>
        <v>Make it very clear, pedagogically, that I think it involves an exemplary sound configuration so that the student can hear you well, always with the camera open, even if the student doesn't open it, because he can't, but let him see you, that he feels this approach as much as possible.</v>
      </c>
      <c r="D50" s="49" t="str">
        <f>IFERROR(__xludf.DUMMYFUNCTION("""COMPUTED_VALUE"""),"Provide a comfortable learning environment for the student, such as remote teaching, which requires adequate audio and video equipment.")</f>
        <v>Provide a comfortable learning environment for the student, such as remote teaching, which requires adequate audio and video equipment.</v>
      </c>
      <c r="E50" s="49"/>
      <c r="F50" s="9" t="s">
        <v>460</v>
      </c>
      <c r="G50" s="9" t="s">
        <v>442</v>
      </c>
      <c r="H50" s="21"/>
    </row>
    <row r="51">
      <c r="A51" s="46">
        <v>75.0</v>
      </c>
      <c r="B51" s="47" t="s">
        <v>191</v>
      </c>
      <c r="C51" s="15" t="str">
        <f>IFERROR(__xludf.DUMMYFUNCTION("filter('Imported Recommendations'!B:D,'Imported Recommendations'!A:A=A51)"),"Within the menu, try to avoid making the student dependent on that stack you are teaching. So, if you're going to explain Jenkins, take half an hour to explain the pipeline in another tool, so he can see that it's possible. So he doesn't come out with the"&amp;" recipe ready. As much as we don't deliver it, the student creates a recipe in his head, and it won't fit in all of his daily routines. Then it will generate frustration. So, make it clear, look, can you see what we're doing? We're doing it for that reaso"&amp;"n, at Jenkins. Today we are going to use Bitbucket, for example, which is how we do it. One, as an example, correct?
They said: teacher, I can do it in such language, I can do it in such a platform, can I do it like this? [...] So, I am not going to say "&amp;"that there were, I do not know, six, seven, different environments, right? That there was, but let us put two or three, right, different ones. So, for us, professors, we are often not proficient in all of these, right? So, then the person will have to cla"&amp;"rify a doubt, then you say: man, I don't know. So, you decided to do it there, you kind of jump up, like, you know? The most we can do is try to convey the concepts, right? And when the person has a very big doubt like that, you say, boy, try to explain t"&amp;"o me how this technology is there that you are using see if I can at least translate the things that I know, that is it.")</f>
        <v>Within the menu, try to avoid making the student dependent on that stack you are teaching. So, if you're going to explain Jenkins, take half an hour to explain the pipeline in another tool, so he can see that it's possible. So he doesn't come out with the recipe ready. As much as we don't deliver it, the student creates a recipe in his head, and it won't fit in all of his daily routines. Then it will generate frustration. So, make it clear, look, can you see what we're doing? We're doing it for that reason, at Jenkins. Today we are going to use Bitbucket, for example, which is how we do it. One, as an example, correct?
They said: teacher, I can do it in such language, I can do it in such a platform, can I do it like this? [...] So, I am not going to say that there were, I do not know, six, seven, different environments, right? That there was, but let us put two or three, right, different ones. So, for us, professors, we are often not proficient in all of these, right? So, then the person will have to clarify a doubt, then you say: man, I don't know. So, you decided to do it there, you kind of jump up, like, you know? The most we can do is try to convey the concepts, right? And when the person has a very big doubt like that, you say, boy, try to explain to me how this technology is there that you are using see if I can at least translate the things that I know, that is it.</v>
      </c>
      <c r="D51" s="48" t="str">
        <f>IFERROR(__xludf.DUMMYFUNCTION("""COMPUTED_VALUE"""),"Show the student that there are several ways and tools to do the task.
Teach in a way that knowledge can be applied in different tools, but not focus on the possible specific problems of each technology.")</f>
        <v>Show the student that there are several ways and tools to do the task.
Teach in a way that knowledge can be applied in different tools, but not focus on the possible specific problems of each technology.</v>
      </c>
      <c r="E51" s="48" t="str">
        <f>IFERROR(__xludf.DUMMYFUNCTION("""COMPUTED_VALUE"""),"Show the student that there are several ways and tools to do the task.")</f>
        <v>Show the student that there are several ways and tools to do the task.</v>
      </c>
      <c r="F51" s="9" t="s">
        <v>364</v>
      </c>
      <c r="G51" s="9" t="s">
        <v>18</v>
      </c>
      <c r="H51" s="21"/>
    </row>
    <row r="52" ht="106.5" customHeight="1">
      <c r="A52" s="46">
        <v>77.0</v>
      </c>
      <c r="B52" s="47" t="s">
        <v>191</v>
      </c>
      <c r="C52" s="15" t="str">
        <f>IFERROR(__xludf.DUMMYFUNCTION("filter('Imported Recommendations'!B:D,'Imported Recommendations'!A:A=A52)"),"The point is to try to exercise as many tools as possible to provide everyone [...] with a range of things to apply in your daily life when you see the need.")</f>
        <v>The point is to try to exercise as many tools as possible to provide everyone [...] with a range of things to apply in your daily life when you see the need.</v>
      </c>
      <c r="D52" s="48" t="str">
        <f>IFERROR(__xludf.DUMMYFUNCTION("""COMPUTED_VALUE"""),"Exercise as many tools as possible.")</f>
        <v>Exercise as many tools as possible.</v>
      </c>
      <c r="E52" s="48"/>
      <c r="F52" s="9" t="s">
        <v>461</v>
      </c>
      <c r="G52" s="9" t="s">
        <v>18</v>
      </c>
      <c r="H52" s="21"/>
    </row>
    <row r="53">
      <c r="A53" s="46">
        <v>78.0</v>
      </c>
      <c r="B53" s="47" t="s">
        <v>191</v>
      </c>
      <c r="C53" s="15" t="str">
        <f>IFERROR(__xludf.DUMMYFUNCTION("filter('Imported Recommendations'!B:D,'Imported Recommendations'!A:A=A53)"),"Because you have to have the mentality that you will have to get materials from different sources, right? ... you'll have to resort to gray literature, right, which is this literature from the blog, the medium, the Nubank or Netflix blog, which are sensat"&amp;"ional articles, but that don't have that scientific rigor, peer review, and such. So, like, I think the DevOps teacher needs to understand that he's in this environment, right?
Material heterogeneity is the biggest challenge [...] you have to set up a cl"&amp;"ass sewing the fonts. So, sometimes, for example, in my integration course, I have to give several concepts, right? For you to talk about continuous integration, you need to talk about version control. You need to talk about build. You need to talk about "&amp;"testing. There are several things that are part of continuous integration, right? So, git-flow is not in the book, you know? Branch, development models, that's not in the book.
Most of the references, the most interesting cases that I considered bringing"&amp;" to the room are posts on INFO2, on Metzone, Hacker News, Twitter posts, Airbnb case study, Glitch, Orbitz, and such; other cases of those that are much more interesting than necessarily, books or ""scientific academic"" articles.")</f>
        <v>Because you have to have the mentality that you will have to get materials from different sources, right? ... you'll have to resort to gray literature, right, which is this literature from the blog, the medium, the Nubank or Netflix blog, which are sensational articles, but that don't have that scientific rigor, peer review, and such. So, like, I think the DevOps teacher needs to understand that he's in this environment, right?
Material heterogeneity is the biggest challenge [...] you have to set up a class sewing the fonts. So, sometimes, for example, in my integration course, I have to give several concepts, right? For you to talk about continuous integration, you need to talk about version control. You need to talk about build. You need to talk about testing. There are several things that are part of continuous integration, right? So, git-flow is not in the book, you know? Branch, development models, that's not in the book.
Most of the references, the most interesting cases that I considered bringing to the room are posts on INFO2, on Metzone, Hacker News, Twitter posts, Airbnb case study, Glitch, Orbitz, and such; other cases of those that are much more interesting than necessarily, books or "scientific academic" articles.</v>
      </c>
      <c r="D53" s="48" t="str">
        <f>IFERROR(__xludf.DUMMYFUNCTION("""COMPUTED_VALUE"""),"Use various sources of DevOps study materials, such as gray literature, blog (medium, Nubank, Netflix).
It is necessary to make use of several sources when creating the course.
Information in gray literature is more interesting to illustrate DevOps use "&amp;"cases: posts on INFO2, Metzone, Hacker News, Twitter, Airbnb case studies, Glitch, Orbitz.")</f>
        <v>Use various sources of DevOps study materials, such as gray literature, blog (medium, Nubank, Netflix).
It is necessary to make use of several sources when creating the course.
Information in gray literature is more interesting to illustrate DevOps use cases: posts on INFO2, Metzone, Hacker News, Twitter, Airbnb case studies, Glitch, Orbitz.</v>
      </c>
      <c r="E53" s="48" t="str">
        <f>IFERROR(__xludf.DUMMYFUNCTION("""COMPUTED_VALUE"""),"Use various sources of DevOps materials.")</f>
        <v>Use various sources of DevOps materials.</v>
      </c>
      <c r="F53" s="9" t="s">
        <v>366</v>
      </c>
      <c r="G53" s="9" t="s">
        <v>24</v>
      </c>
      <c r="H53" s="21"/>
    </row>
    <row r="54" ht="106.5" customHeight="1">
      <c r="A54" s="46">
        <v>80.0</v>
      </c>
      <c r="B54" s="47" t="s">
        <v>191</v>
      </c>
      <c r="C54" s="15" t="str">
        <f>IFERROR(__xludf.DUMMYFUNCTION("filter('Imported Recommendations'!B:D,'Imported Recommendations'!A:A=A54)"),"Maybe it makes sense for you to provide the environment for the students, right? And this provision, you can use a docker of life, which comes already, right?
I ended up doing was to give each group a big virtual machine. And on that machine, they run th"&amp;"ree or four Docker images. Uh, one with Artifactory, one with Jenkins.")</f>
        <v>Maybe it makes sense for you to provide the environment for the students, right? And this provision, you can use a docker of life, which comes already, right?
I ended up doing was to give each group a big virtual machine. And on that machine, they run three or four Docker images. Uh, one with Artifactory, one with Jenkins.</v>
      </c>
      <c r="D54" s="48" t="str">
        <f>IFERROR(__xludf.DUMMYFUNCTION("""COMPUTED_VALUE"""),"Provide initial environment setup for students.
Give each group a big virtual machine. And on that machine, run three or four Docker images. One with Artifactory, other with Jenkins.")</f>
        <v>Provide initial environment setup for students.
Give each group a big virtual machine. And on that machine, run three or four Docker images. One with Artifactory, other with Jenkins.</v>
      </c>
      <c r="E54" s="48" t="str">
        <f>IFERROR(__xludf.DUMMYFUNCTION("""COMPUTED_VALUE"""),"Provide initial environment setup for students.")</f>
        <v>Provide initial environment setup for students.</v>
      </c>
      <c r="F54" s="9" t="s">
        <v>462</v>
      </c>
      <c r="G54" s="9" t="s">
        <v>12</v>
      </c>
      <c r="H54" s="21"/>
    </row>
    <row r="55">
      <c r="A55" s="46">
        <v>81.0</v>
      </c>
      <c r="B55" s="47" t="s">
        <v>191</v>
      </c>
      <c r="C55" s="15" t="str">
        <f>IFERROR(__xludf.DUMMYFUNCTION("filter('Imported Recommendations'!B:D,'Imported Recommendations'!A:A=A55)"),"You need to talk about version control; you need to talk about build; you need to talk about testing; several things are part of continuous integration. So, git-flow is not in the book, you know? Branch, development models, that's not in the book. Then yo"&amp;"u start going to blogs and such, you know? Then, you will talk about software testing; if you were a software engineering book, this part of testing is extremely weak, so it is highly conceptual; there is nothing. Then you can get the articles.
 I teach "&amp;"them about the git feature branch workflow.
Some of this even goes down to git right, because a lot of people coming in know something about git a lot don't um, in many ways, my opinion, which I realize is, is probably not widely shared is that even if w"&amp;"e were restricted from a software engineering department perspective, almost everything we're teaching should be retooled along devops lines, uh.
We've introduced recently is a notion of digital branches and feature branches, for example, uh, linked to s"&amp;"tories, but we try to just give them small individual tools.")</f>
        <v>You need to talk about version control; you need to talk about build; you need to talk about testing; several things are part of continuous integration. So, git-flow is not in the book, you know? Branch, development models, that's not in the book. Then you start going to blogs and such, you know? Then, you will talk about software testing; if you were a software engineering book, this part of testing is extremely weak, so it is highly conceptual; there is nothing. Then you can get the articles.
 I teach them about the git feature branch workflow.
Some of this even goes down to git right, because a lot of people coming in know something about git a lot don't um, in many ways, my opinion, which I realize is, is probably not widely shared is that even if we were restricted from a software engineering department perspective, almost everything we're teaching should be retooled along devops lines, uh.
We've introduced recently is a notion of digital branches and feature branches, for example, uh, linked to stories, but we try to just give them small individual tools.</v>
      </c>
      <c r="D55" s="48" t="str">
        <f>IFERROR(__xludf.DUMMYFUNCTION("""COMPUTED_VALUE"""),"Version control with git feature branch workflow, build, continuous integration, and software testing content should be taught.
Teach git feature branch workflow.
Use git to teach how to manage the code.
Introduce the notion of digital branches and fea"&amp;"ture branches using small individual tools.")</f>
        <v>Version control with git feature branch workflow, build, continuous integration, and software testing content should be taught.
Teach git feature branch workflow.
Use git to teach how to manage the code.
Introduce the notion of digital branches and feature branches using small individual tools.</v>
      </c>
      <c r="E55" s="48" t="str">
        <f>IFERROR(__xludf.DUMMYFUNCTION("""COMPUTED_VALUE"""),"Teach version control with git feature branch workflow.")</f>
        <v>Teach version control with git feature branch workflow.</v>
      </c>
      <c r="F55" s="9" t="s">
        <v>369</v>
      </c>
      <c r="G55" s="9" t="s">
        <v>16</v>
      </c>
      <c r="H55" s="21"/>
    </row>
    <row r="56" ht="106.5" customHeight="1">
      <c r="A56" s="46">
        <v>83.0</v>
      </c>
      <c r="B56" s="47" t="s">
        <v>191</v>
      </c>
      <c r="C56" s="15" t="str">
        <f>IFERROR(__xludf.DUMMYFUNCTION("filter('Imported Recommendations'!B:D,'Imported Recommendations'!A:A=A56)"),"For this part of continuous integration, [...] When you talk about continuous integration, there are several tools you can use. So, you can use Jenkins; you can use Travis; you can use Circle CI, now Github Actions is here, you know?
And then I teach the"&amp;"m, CI continuous integration. I show them how to use Travis to automatically run the test cases.
From a tooling point of view, um, for the pipeline, we, we recommend Travis CI.
There are many checks in this course, we had to make sure that the students "&amp;"had done this and that, and that these, uh, checks could be, uh, automatized by your students. And they had, they added some GitHub actions and to the repository.
I want the code to go through a pipeline. It could be Jenkins. It could be github actions. "&amp;"It could be gitlab workflow. It could be GitHub action.")</f>
        <v>For this part of continuous integration, [...] When you talk about continuous integration, there are several tools you can use. So, you can use Jenkins; you can use Travis; you can use Circle CI, now Github Actions is here, you know?
And then I teach them, CI continuous integration. I show them how to use Travis to automatically run the test cases.
From a tooling point of view, um, for the pipeline, we, we recommend Travis CI.
There are many checks in this course, we had to make sure that the students had done this and that, and that these, uh, checks could be, uh, automatized by your students. And they had, they added some GitHub actions and to the repository.
I want the code to go through a pipeline. It could be Jenkins. It could be github actions. It could be gitlab workflow. It could be GitHub action.</v>
      </c>
      <c r="D56" s="48" t="str">
        <f>IFERROR(__xludf.DUMMYFUNCTION("""COMPUTED_VALUE"""),"Use Jenkins, Travis CI, Circle CI and Github Actions in teaching continuous integration.
Teach continuous integration using travis to automatically run the test cases.
Use Travis CI for the pipeline.
Do automation with Github actions.
Use Jenkins, Git"&amp;"Lab, or Github Actions as pipeline orchestration tools adopted by the course.")</f>
        <v>Use Jenkins, Travis CI, Circle CI and Github Actions in teaching continuous integration.
Teach continuous integration using travis to automatically run the test cases.
Use Travis CI for the pipeline.
Do automation with Github actions.
Use Jenkins, GitLab, or Github Actions as pipeline orchestration tools adopted by the course.</v>
      </c>
      <c r="E56" s="48" t="str">
        <f>IFERROR(__xludf.DUMMYFUNCTION("""COMPUTED_VALUE"""),"Teach continuous integration and pipeline automation.")</f>
        <v>Teach continuous integration and pipeline automation.</v>
      </c>
      <c r="F56" s="9" t="s">
        <v>463</v>
      </c>
      <c r="G56" s="9" t="s">
        <v>18</v>
      </c>
      <c r="H56" s="21"/>
    </row>
    <row r="57">
      <c r="A57" s="46">
        <v>84.0</v>
      </c>
      <c r="B57" s="47" t="s">
        <v>191</v>
      </c>
      <c r="C57" s="15" t="str">
        <f>IFERROR(__xludf.DUMMYFUNCTION("filter('Imported Recommendations'!B:D,'Imported Recommendations'!A:A=A57)"),"Jenkins, let's put it this way, he, even though he's challenging because he's not the easiest thing in the world to set up. These pains, I also think it's essential for the guys [...] Jenkins you don't pay anything [...] These pains, I also believe it is "&amp;"necessary for the guys when you get something a CI that works in the cloud and such, notice, hey, look how easy.")</f>
        <v>Jenkins, let's put it this way, he, even though he's challenging because he's not the easiest thing in the world to set up. These pains, I also think it's essential for the guys [...] Jenkins you don't pay anything [...] These pains, I also believe it is necessary for the guys when you get something a CI that works in the cloud and such, notice, hey, look how easy.</v>
      </c>
      <c r="D57" s="48" t="str">
        <f>IFERROR(__xludf.DUMMYFUNCTION("""COMPUTED_VALUE"""),"The difficulties of configuring CI tools like Jenkins are essential to student learning, facilitating a future transition to cloud CI tools.")</f>
        <v>The difficulties of configuring CI tools like Jenkins are essential to student learning, facilitating a future transition to cloud CI tools.</v>
      </c>
      <c r="E57" s="48"/>
      <c r="F57" s="9" t="s">
        <v>371</v>
      </c>
      <c r="G57" s="9" t="s">
        <v>18</v>
      </c>
      <c r="H57" s="21"/>
    </row>
    <row r="58" ht="106.5" customHeight="1">
      <c r="A58" s="46">
        <v>86.0</v>
      </c>
      <c r="B58" s="47" t="s">
        <v>191</v>
      </c>
      <c r="C58" s="15" t="str">
        <f>IFERROR(__xludf.DUMMYFUNCTION("filter('Imported Recommendations'!B:D,'Imported Recommendations'!A:A=A58)"),"I always pass some written evaluation of the basic concepts [...] I like the students to express in their own words what they understood [...] mainly from the cultural part.
 And the final exam, I keep, I keep the questions mostly conceptual, right. Beca"&amp;"use let's face it. If you understand the concepts, you can Google the details, right. But you don't know the concepts, you don't know what the Google, right. ... I do put some questions in that they would have only learned had they participated in the pro"&amp;"ject.
The exams are really more the conceptual or philosophical elements stuff, where there is a little more of a, a cut and dry response, or at least I try to structure them that way.")</f>
        <v>I always pass some written evaluation of the basic concepts [...] I like the students to express in their own words what they understood [...] mainly from the cultural part.
 And the final exam, I keep, I keep the questions mostly conceptual, right. Because let's face it. If you understand the concepts, you can Google the details, right. But you don't know the concepts, you don't know what the Google, right. ... I do put some questions in that they would have only learned had they participated in the project.
The exams are really more the conceptual or philosophical elements stuff, where there is a little more of a, a cut and dry response, or at least I try to structure them that way.</v>
      </c>
      <c r="D58" s="48" t="str">
        <f>IFERROR(__xludf.DUMMYFUNCTION("""COMPUTED_VALUE"""),"Use assessment writing of basic concepts and DevOps culture so that students can express what they understand in their own words.
Keep the exam questions mostly conceptual and about participation in the project in the final exam. 
The exams have more co"&amp;"nceptual or philosophical elements.")</f>
        <v>Use assessment writing of basic concepts and DevOps culture so that students can express what they understand in their own words.
Keep the exam questions mostly conceptual and about participation in the project in the final exam. 
The exams have more conceptual or philosophical elements.</v>
      </c>
      <c r="E58" s="48" t="str">
        <f>IFERROR(__xludf.DUMMYFUNCTION("""COMPUTED_VALUE"""),"Do exams with more conceptual questions.")</f>
        <v>Do exams with more conceptual questions.</v>
      </c>
      <c r="F58" s="9" t="s">
        <v>464</v>
      </c>
      <c r="G58" s="9" t="s">
        <v>29</v>
      </c>
      <c r="H58" s="21"/>
    </row>
    <row r="59" ht="106.5" customHeight="1">
      <c r="A59" s="46">
        <v>87.0</v>
      </c>
      <c r="B59" s="47" t="s">
        <v>191</v>
      </c>
      <c r="C59" s="15" t="str">
        <f>IFERROR(__xludf.DUMMYFUNCTION("filter('Imported Recommendations'!B:D,'Imported Recommendations'!A:A=A59)"),"DevOps [...] In the specialization course [...] you can break all this content into more extensive disciplines.")</f>
        <v>DevOps [...] In the specialization course [...] you can break all this content into more extensive disciplines.</v>
      </c>
      <c r="D59" s="48" t="str">
        <f>IFERROR(__xludf.DUMMYFUNCTION("""COMPUTED_VALUE"""),"It is possible to break the teaching of DevOps into various disciplines in a DevOps specialization course.")</f>
        <v>It is possible to break the teaching of DevOps into various disciplines in a DevOps specialization course.</v>
      </c>
      <c r="E59" s="48"/>
      <c r="F59" s="9" t="s">
        <v>373</v>
      </c>
      <c r="G59" s="9" t="s">
        <v>10</v>
      </c>
      <c r="H59" s="21"/>
    </row>
    <row r="60" ht="106.5" customHeight="1">
      <c r="A60" s="46">
        <v>89.0</v>
      </c>
      <c r="B60" s="47" t="s">
        <v>191</v>
      </c>
      <c r="C60" s="15" t="str">
        <f>IFERROR(__xludf.DUMMYFUNCTION("filter('Imported Recommendations'!B:D,'Imported Recommendations'!A:A=A60)"),"During creation [...] Everything is already prepared, and the groups are always the same [...] it is the same booklet, the same content, the same teaching didactics, so there is no preparation for each class, you know? It was just an initial preparation.")</f>
        <v>During creation [...] Everything is already prepared, and the groups are always the same [...] it is the same booklet, the same content, the same teaching didactics, so there is no preparation for each class, you know? It was just an initial preparation.</v>
      </c>
      <c r="D60" s="48" t="str">
        <f>IFERROR(__xludf.DUMMYFUNCTION("""COMPUTED_VALUE"""),"Standardize the teaching material for all classes.")</f>
        <v>Standardize the teaching material for all classes.</v>
      </c>
      <c r="E60" s="48"/>
      <c r="F60" s="9" t="s">
        <v>465</v>
      </c>
      <c r="G60" s="9" t="s">
        <v>24</v>
      </c>
      <c r="H60" s="21"/>
    </row>
    <row r="61" ht="106.5" customHeight="1">
      <c r="A61" s="46">
        <v>90.0</v>
      </c>
      <c r="B61" s="47" t="s">
        <v>191</v>
      </c>
      <c r="C61" s="15" t="str">
        <f>IFERROR(__xludf.DUMMYFUNCTION("filter('Imported Recommendations'!B:D,'Imported Recommendations'!A:A=A61)"),"Training is limited [...] we will have to cut it, right? Focuses on tools, but which tools. So, this was a big challenge, so to think about which themes are essential, which means to teach, within each piece, right?")</f>
        <v>Training is limited [...] we will have to cut it, right? Focuses on tools, but which tools. So, this was a big challenge, so to think about which themes are essential, which means to teach, within each piece, right?</v>
      </c>
      <c r="D61" s="48" t="str">
        <f>IFERROR(__xludf.DUMMYFUNCTION("""COMPUTED_VALUE"""),"It is necessary to choose which topics and tools are essential as the course time is limited.")</f>
        <v>It is necessary to choose which topics and tools are essential as the course time is limited.</v>
      </c>
      <c r="E61" s="48"/>
      <c r="F61" s="9" t="s">
        <v>374</v>
      </c>
      <c r="G61" s="9" t="s">
        <v>24</v>
      </c>
      <c r="H61" s="21"/>
    </row>
    <row r="62" ht="106.5" customHeight="1">
      <c r="A62" s="46">
        <v>92.0</v>
      </c>
      <c r="B62" s="47" t="s">
        <v>191</v>
      </c>
      <c r="C62" s="15" t="str">
        <f>IFERROR(__xludf.DUMMYFUNCTION("filter('Imported Recommendations'!B:D,'Imported Recommendations'!A:A=A62)"),"Of first showing the history, showing the motivation, showing the problem, and making some hooks with possible solutions that Devops was bringing, suitable?")</f>
        <v>Of first showing the history, showing the motivation, showing the problem, and making some hooks with possible solutions that Devops was bringing, suitable?</v>
      </c>
      <c r="D62" s="48" t="str">
        <f>IFERROR(__xludf.DUMMYFUNCTION("""COMPUTED_VALUE"""),"The assembly of classes should follow the following steps to use DevOps: history, motivation, problems that can be solved, and possible solutions with DevOps.")</f>
        <v>The assembly of classes should follow the following steps to use DevOps: history, motivation, problems that can be solved, and possible solutions with DevOps.</v>
      </c>
      <c r="E62" s="48"/>
      <c r="F62" s="9" t="s">
        <v>466</v>
      </c>
      <c r="G62" s="9" t="s">
        <v>24</v>
      </c>
      <c r="H62" s="21"/>
    </row>
    <row r="63" ht="106.5" customHeight="1">
      <c r="A63" s="46">
        <v>93.0</v>
      </c>
      <c r="B63" s="47" t="s">
        <v>191</v>
      </c>
      <c r="C63" s="15" t="str">
        <f>IFERROR(__xludf.DUMMYFUNCTION("filter('Imported Recommendations'!B:D,'Imported Recommendations'!A:A=A63)"),"So, we ended up choosing Java because it is the greatest strength; ours, that was Java.")</f>
        <v>So, we ended up choosing Java because it is the greatest strength; ours, that was Java.</v>
      </c>
      <c r="D63" s="48" t="str">
        <f>IFERROR(__xludf.DUMMYFUNCTION("""COMPUTED_VALUE"""),"Use a programming language that the teacher knows.")</f>
        <v>Use a programming language that the teacher knows.</v>
      </c>
      <c r="E63" s="48"/>
      <c r="F63" s="9" t="s">
        <v>376</v>
      </c>
      <c r="G63" s="9" t="s">
        <v>18</v>
      </c>
      <c r="H63" s="21"/>
    </row>
    <row r="64" ht="106.5" customHeight="1">
      <c r="A64" s="46">
        <v>95.0</v>
      </c>
      <c r="B64" s="47" t="s">
        <v>191</v>
      </c>
      <c r="C64" s="15" t="str">
        <f>IFERROR(__xludf.DUMMYFUNCTION("filter('Imported Recommendations'!B:D,'Imported Recommendations'!A:A=A64)"),"We don't evaluate, [...] but we keep observing, right, the students, and such throughout the training.")</f>
        <v>We don't evaluate, [...] but we keep observing, right, the students, and such throughout the training.</v>
      </c>
      <c r="D64" s="48" t="str">
        <f>IFERROR(__xludf.DUMMYFUNCTION("""COMPUTED_VALUE"""),"Monitor student progress throughout training by conducting a traditional assessment.")</f>
        <v>Monitor student progress throughout training by conducting a traditional assessment.</v>
      </c>
      <c r="E64" s="48"/>
      <c r="F64" s="9" t="s">
        <v>467</v>
      </c>
      <c r="G64" s="9" t="s">
        <v>29</v>
      </c>
      <c r="H64" s="21"/>
    </row>
    <row r="65">
      <c r="A65" s="46">
        <v>96.0</v>
      </c>
      <c r="B65" s="47" t="s">
        <v>191</v>
      </c>
      <c r="C65" s="15" t="str">
        <f>IFERROR(__xludf.DUMMYFUNCTION("filter('Imported Recommendations'!B:D,'Imported Recommendations'!A:A=A65)"),"One important thing for me, which became apparent during my studies, is that I had to show the background, the motivation somehow, so I wanted to fit it in any way in the curriculum at the beginning, showing the history of software development [...] inclu"&amp;"de these topics, like, more historical, which are not good, are not technical, right? But in a way that isn't too boring, you also [...] have to fit this with the technical part [...] With concepts of continuous integration, continuous delivery, continuou"&amp;"s deployment, tools, automation, anyway.")</f>
        <v>One important thing for me, which became apparent during my studies, is that I had to show the background, the motivation somehow, so I wanted to fit it in any way in the curriculum at the beginning, showing the history of software development [...] include these topics, like, more historical, which are not good, are not technical, right? But in a way that isn't too boring, you also [...] have to fit this with the technical part [...] With concepts of continuous integration, continuous delivery, continuous deployment, tools, automation, anyway.</v>
      </c>
      <c r="D65" s="48" t="str">
        <f>IFERROR(__xludf.DUMMYFUNCTION("""COMPUTED_VALUE"""),"Contextualize the historical aspects and definition of continuous integration, continuous delivery, continuous deployment, and automation concepts.")</f>
        <v>Contextualize the historical aspects and definition of continuous integration, continuous delivery, continuous deployment, and automation concepts.</v>
      </c>
      <c r="E65" s="48"/>
      <c r="F65" s="9" t="s">
        <v>377</v>
      </c>
      <c r="G65" s="9" t="s">
        <v>16</v>
      </c>
      <c r="H65" s="21"/>
    </row>
    <row r="66" ht="106.5" customHeight="1">
      <c r="A66" s="46">
        <v>98.0</v>
      </c>
      <c r="B66" s="47" t="s">
        <v>191</v>
      </c>
      <c r="C66" s="15" t="str">
        <f>IFERROR(__xludf.DUMMYFUNCTION("filter('Imported Recommendations'!B:D,'Imported Recommendations'!A:A=A66)"),"To get Everything ready to avoid problems and lose the focus and essence of the group.")</f>
        <v>To get Everything ready to avoid problems and lose the focus and essence of the group.</v>
      </c>
      <c r="D66" s="48" t="str">
        <f>IFERROR(__xludf.DUMMYFUNCTION("""COMPUTED_VALUE"""),"Start a class with a pre-organized structure.")</f>
        <v>Start a class with a pre-organized structure.</v>
      </c>
      <c r="E66" s="48"/>
      <c r="F66" s="9" t="s">
        <v>468</v>
      </c>
      <c r="G66" s="9" t="s">
        <v>12</v>
      </c>
      <c r="H66" s="21"/>
    </row>
    <row r="67" ht="106.5" customHeight="1">
      <c r="A67" s="46">
        <v>104.0</v>
      </c>
      <c r="B67" s="47" t="s">
        <v>191</v>
      </c>
      <c r="C67" s="15" t="str">
        <f>IFERROR(__xludf.DUMMYFUNCTION("filter('Imported Recommendations'!B:D,'Imported Recommendations'!A:A=A67)"),"DevOps comes very close in these quirks of software architecture-like chairs. You can't just stick to the concepts. In theory, you have to show the realization of these things.
You have to learn by doing.
You can't learn the DevOps culture from a book.
"&amp;"
Once you've been to the exercise session, you have to go back to the concept again and display them again because the, some concept only makes sense when you apply them.
I was saying at the beginning is that when you tell them that they're going to get "&amp;"their hands dirty and things that work one day will not work the other day, they start laughing. They don't take it seriously. Um, and then when they, when they building and they build a script to, I don't know, run some integration tests or to magically "&amp;"build Docker images and deploy them, it works on the machine on one guy of the group because they're working group, right? So they talk together. The one guy actually typing on the keyboard, he commits a script and they go, yes, we're done for the day. Le"&amp;"t's go to some of the tasks, right? And then the next day somebody else was in the group wants to use it. And it doesn't work for them because they have a different environment because the script was assuming that the Docker was installed.
If we can have"&amp;" a students together working together and, um, working on the projects and developing projects together at the same time while the teachers are there and they, uh, we can, uh, see what they are doing, that would be better. And I think we will, uh, hopeful"&amp;"ly do this, uh, next year when grown-up situation gets better.")</f>
        <v>DevOps comes very close in these quirks of software architecture-like chairs. You can't just stick to the concepts. In theory, you have to show the realization of these things.
You have to learn by doing.
You can't learn the DevOps culture from a book.
Once you've been to the exercise session, you have to go back to the concept again and display them again because the, some concept only makes sense when you apply them.
I was saying at the beginning is that when you tell them that they're going to get their hands dirty and things that work one day will not work the other day, they start laughing. They don't take it seriously. Um, and then when they, when they building and they build a script to, I don't know, run some integration tests or to magically build Docker images and deploy them, it works on the machine on one guy of the group because they're working group, right? So they talk together. The one guy actually typing on the keyboard, he commits a script and they go, yes, we're done for the day. Let's go to some of the tasks, right? And then the next day somebody else was in the group wants to use it. And it doesn't work for them because they have a different environment because the script was assuming that the Docker was installed.
If we can have a students together working together and, um, working on the projects and developing projects together at the same time while the teachers are there and they, uh, we can, uh, see what they are doing, that would be better. And I think we will, uh, hopefully do this, uh, next year when grown-up situation gets better.</v>
      </c>
      <c r="D67" s="48" t="str">
        <f>IFERROR(__xludf.DUMMYFUNCTION("""COMPUTED_VALUE"""),"It takes practice to understand DevOps concepts.
It is necessary to practice DevOps knowledge.
You can't learn the DevOps culture from a book.
DevOps concepts need to be shown in practice so that students can understand.
Students only understand probl"&amp;"ems of the environment setup when they experiment in the practice.
Promote a moment to students practice while teachers are around to help them.")</f>
        <v>It takes practice to understand DevOps concepts.
It is necessary to practice DevOps knowledge.
You can't learn the DevOps culture from a book.
DevOps concepts need to be shown in practice so that students can understand.
Students only understand problems of the environment setup when they experiment in the practice.
Promote a moment to students practice while teachers are around to help them.</v>
      </c>
      <c r="E67" s="48" t="str">
        <f>IFERROR(__xludf.DUMMYFUNCTION("""COMPUTED_VALUE"""),"It takes practice to understand DevOps concepts.")</f>
        <v>It takes practice to understand DevOps concepts.</v>
      </c>
      <c r="F67" s="9" t="s">
        <v>469</v>
      </c>
      <c r="G67" s="9" t="s">
        <v>16</v>
      </c>
      <c r="H67" s="21"/>
    </row>
    <row r="68" ht="106.5" customHeight="1">
      <c r="A68" s="46">
        <v>105.0</v>
      </c>
      <c r="B68" s="47" t="s">
        <v>191</v>
      </c>
      <c r="C68" s="15" t="str">
        <f>IFERROR(__xludf.DUMMYFUNCTION("filter('Imported Recommendations'!B:D,'Imported Recommendations'!A:A=A68)"),"I usually study the subject to understand and then see the best way to explain that subject.")</f>
        <v>I usually study the subject to understand and then see the best way to explain that subject.</v>
      </c>
      <c r="D68" s="48" t="str">
        <f>IFERROR(__xludf.DUMMYFUNCTION("""COMPUTED_VALUE"""),"Study the subject thoroughly before preparing for classes.")</f>
        <v>Study the subject thoroughly before preparing for classes.</v>
      </c>
      <c r="E68" s="48"/>
      <c r="F68" s="9" t="s">
        <v>381</v>
      </c>
      <c r="G68" s="9" t="s">
        <v>24</v>
      </c>
      <c r="H68" s="21"/>
    </row>
    <row r="69" ht="106.5" customHeight="1">
      <c r="A69" s="46">
        <v>108.0</v>
      </c>
      <c r="B69" s="47" t="s">
        <v>191</v>
      </c>
      <c r="C69" s="15" t="str">
        <f>IFERROR(__xludf.DUMMYFUNCTION("filter('Imported Recommendations'!B:D,'Imported Recommendations'!A:A=A69)"),"I try to bring this up: Mesos, Marathon, then Swarm, even to exercise the concepts is more accessible, lighter than Kubernetes, and then after Kubernetes, Rancher, for example.")</f>
        <v>I try to bring this up: Mesos, Marathon, then Swarm, even to exercise the concepts is more accessible, lighter than Kubernetes, and then after Kubernetes, Rancher, for example.</v>
      </c>
      <c r="D69" s="48" t="str">
        <f>IFERROR(__xludf.DUMMYFUNCTION("""COMPUTED_VALUE"""),"Initially, adopt more straightforward tools such as Mesos, Marathon, and Docker Swarm before using the Kubernetes tool.")</f>
        <v>Initially, adopt more straightforward tools such as Mesos, Marathon, and Docker Swarm before using the Kubernetes tool.</v>
      </c>
      <c r="E69" s="48"/>
      <c r="F69" s="9" t="s">
        <v>383</v>
      </c>
      <c r="G69" s="9" t="s">
        <v>18</v>
      </c>
      <c r="H69" s="21"/>
    </row>
    <row r="70" ht="106.5" customHeight="1">
      <c r="A70" s="46">
        <v>110.0</v>
      </c>
      <c r="B70" s="47" t="s">
        <v>191</v>
      </c>
      <c r="C70" s="15" t="str">
        <f>IFERROR(__xludf.DUMMYFUNCTION("filter('Imported Recommendations'!B:D,'Imported Recommendations'!A:A=A70)"),"Because it is based on the assumption in all my disciplines that, right, knowledge is an open work, right? I'm not the holder of all knowledge [...] So they learn to curate what is relevant, necessary or not, is part of my teaching and learning processes."&amp;"
So, in my activities, I always try to put a decision-making Delta that belongs to the team, right? To the students and who will obviously assess their understanding in all the semester's discussions. So, all decisions are valid, obviously, right?")</f>
        <v>Because it is based on the assumption in all my disciplines that, right, knowledge is an open work, right? I'm not the holder of all knowledge [...] So they learn to curate what is relevant, necessary or not, is part of my teaching and learning processes.
So, in my activities, I always try to put a decision-making Delta that belongs to the team, right? To the students and who will obviously assess their understanding in all the semester's discussions. So, all decisions are valid, obviously, right?</v>
      </c>
      <c r="D70" s="48" t="str">
        <f>IFERROR(__xludf.DUMMYFUNCTION("""COMPUTED_VALUE"""),"Instigate students' critical thinking and encourage the self-taught search for extra-class information.
Promote and evaluate students' independent decision-making in the learning process.")</f>
        <v>Instigate students' critical thinking and encourage the self-taught search for extra-class information.
Promote and evaluate students' independent decision-making in the learning process.</v>
      </c>
      <c r="E70" s="48" t="str">
        <f>IFERROR(__xludf.DUMMYFUNCTION("""COMPUTED_VALUE"""),"Promote students' independent decision-making in the learning process.")</f>
        <v>Promote students' independent decision-making in the learning process.</v>
      </c>
      <c r="F70" s="9" t="s">
        <v>470</v>
      </c>
      <c r="G70" s="9" t="s">
        <v>442</v>
      </c>
      <c r="H70" s="21"/>
    </row>
    <row r="71" ht="106.5" customHeight="1">
      <c r="A71" s="46">
        <v>111.0</v>
      </c>
      <c r="B71" s="47" t="s">
        <v>191</v>
      </c>
      <c r="C71" s="15" t="str">
        <f>IFERROR(__xludf.DUMMYFUNCTION("filter('Imported Recommendations'!B:D,'Imported Recommendations'!A:A=A71)"),"I already have mine that has my discipline ready, right? So the challenge, for those who will start one, is less.
I already have mine that has my discipline ready, right? So the challenge, for those who will start one, is less.")</f>
        <v>I already have mine that has my discipline ready, right? So the challenge, for those who will start one, is less.
I already have mine that has my discipline ready, right? So the challenge, for those who will start one, is less.</v>
      </c>
      <c r="D71" s="48" t="str">
        <f>IFERROR(__xludf.DUMMYFUNCTION("""COMPUTED_VALUE"""),"You can use the discipline that the interviewee professor Vinicius elaborated as a reference for the elaboration of other DevOps disciplines.
Use other DevOps courses as a reference.")</f>
        <v>You can use the discipline that the interviewee professor Vinicius elaborated as a reference for the elaboration of other DevOps disciplines.
Use other DevOps courses as a reference.</v>
      </c>
      <c r="E71" s="48" t="str">
        <f>IFERROR(__xludf.DUMMYFUNCTION("""COMPUTED_VALUE"""),"Use other DevOps courses as a reference.
")</f>
        <v>Use other DevOps courses as a reference.
</v>
      </c>
      <c r="F71" s="9" t="s">
        <v>385</v>
      </c>
      <c r="G71" s="9" t="s">
        <v>10</v>
      </c>
      <c r="H71" s="21"/>
    </row>
    <row r="72">
      <c r="A72" s="46">
        <v>113.0</v>
      </c>
      <c r="B72" s="47" t="s">
        <v>191</v>
      </c>
      <c r="C72" s="15" t="str">
        <f>IFERROR(__xludf.DUMMYFUNCTION("filter('Imported Recommendations'!B:D,'Imported Recommendations'!A:A=A72)"),"Today, I don't use it; I use not only PBL; there is an inverted classroom, right? I think this translation is into Portuguese; I work with missions, right? So, the execution itself is Agile; we always have a post-mortem for each task. My methodology today"&amp;", at work, is a combination of a series of different good practices that come from my professional experience and part of what I learned, seeing that it worked and didn't work while teaching.")</f>
        <v>Today, I don't use it; I use not only PBL; there is an inverted classroom, right? I think this translation is into Portuguese; I work with missions, right? So, the execution itself is Agile; we always have a post-mortem for each task. My methodology today, at work, is a combination of a series of different good practices that come from my professional experience and part of what I learned, seeing that it worked and didn't work while teaching.</v>
      </c>
      <c r="D72" s="48" t="str">
        <f>IFERROR(__xludf.DUMMYFUNCTION("""COMPUTED_VALUE"""),"Merge good practices of Problem-Based Learning (PBL), inverted class and Agile, through classroom experimentation.")</f>
        <v>Merge good practices of Problem-Based Learning (PBL), inverted class and Agile, through classroom experimentation.</v>
      </c>
      <c r="E72" s="48"/>
      <c r="F72" s="9" t="s">
        <v>471</v>
      </c>
      <c r="G72" s="9" t="s">
        <v>442</v>
      </c>
      <c r="H72" s="21"/>
    </row>
    <row r="73">
      <c r="A73" s="46">
        <v>115.0</v>
      </c>
      <c r="B73" s="47" t="s">
        <v>191</v>
      </c>
      <c r="C73" s="15" t="str">
        <f>IFERROR(__xludf.DUMMYFUNCTION("filter('Imported Recommendations'!B:D,'Imported Recommendations'!A:A=A73)"),"And then I tell them, I am not going to grade you on what you submit. I'm going to grade you on how you got there because getting there is not the point. It's the journey, right? That's the point. It's how you got there. And so, um, I teach my class in sp"&amp;"rints. We do five, two weeks sprints in a 15-week course. And I give them the requirements for each sprint, what I need them to build. And I teach them how to do agile planning. And then they go build an agile plan.
So I try to force them into these situ"&amp;"ations that really drive home the message of how to work as a DevOps team, how to work agile, but you've got to live it.
So we do things in sort of an iterative and incremental model where every week or every sprint, if you will build on the previous one"&amp;".")</f>
        <v>And then I tell them, I am not going to grade you on what you submit. I'm going to grade you on how you got there because getting there is not the point. It's the journey, right? That's the point. It's how you got there. And so, um, I teach my class in sprints. We do five, two weeks sprints in a 15-week course. And I give them the requirements for each sprint, what I need them to build. And I teach them how to do agile planning. And then they go build an agile plan.
So I try to force them into these situations that really drive home the message of how to work as a DevOps team, how to work agile, but you've got to live it.
So we do things in sort of an iterative and incremental model where every week or every sprint, if you will build on the previous one.</v>
      </c>
      <c r="D73" s="48" t="str">
        <f>IFERROR(__xludf.DUMMYFUNCTION("""COMPUTED_VALUE"""),"I teach my class in sprints. We do five, two weeks sprints in a 15-week course. I give them the requirements for each sprint, what I need them to build and I teach them how to do agile planning. Then they go build an agile plan.
Make students experiment "&amp;"situations where they can learn how to work as a DevOps team, how to work agile.
Use an incremental models with sprints.")</f>
        <v>I teach my class in sprints. We do five, two weeks sprints in a 15-week course. I give them the requirements for each sprint, what I need them to build and I teach them how to do agile planning. Then they go build an agile plan.
Make students experiment situations where they can learn how to work as a DevOps team, how to work agile.
Use an incremental models with sprints.</v>
      </c>
      <c r="E73" s="48" t="str">
        <f>IFERROR(__xludf.DUMMYFUNCTION("""COMPUTED_VALUE"""),"Do agile planning with sprints.")</f>
        <v>Do agile planning with sprints.</v>
      </c>
      <c r="F73" s="9" t="s">
        <v>472</v>
      </c>
      <c r="G73" s="9" t="s">
        <v>73</v>
      </c>
      <c r="H73" s="21"/>
    </row>
    <row r="74">
      <c r="A74" s="46">
        <v>116.0</v>
      </c>
      <c r="B74" s="47" t="s">
        <v>191</v>
      </c>
      <c r="C74" s="15" t="str">
        <f>IFERROR(__xludf.DUMMYFUNCTION("filter('Imported Recommendations'!B:D,'Imported Recommendations'!A:A=A74)"),"Those are the ones you remember, right? Not just read, right? If you learn in the abstract, you'll soon forget it. But if you learn in context, then you'll remember it because you understood why you did it. So I try to teach them just enough to get them g"&amp;"oing.
 I used to have people stand up during Jenkins instances to do the work, but that just at the end of the day, that's a distraction. My goal is not to teach them how to administer Jenkins.
I'm having conversations with the university about trying t"&amp;"o take the devops course and essentially converting it to a three course sequence one for agile, one for kind of the dev part of devops and one for the ops part of devops.
So second one is about establishing the pipeline and then they finish the second o"&amp;"ne by, uh, building the Docker images. But it's not in depth about containers or, or kubernetes, but that's easily touch it. Okay.
They need to do concrete things ... it's to be able to traverse the whole thing without necessarily going in depth about al"&amp;"l of these things.
I need very solid, uh, research. It's a sorry, a lab assistance. The people responsible for the labs of course, assistants that that can actually deal with the students. So I'm lucky to have students and have good industrial experience"&amp;", uh, to do that.")</f>
        <v>Those are the ones you remember, right? Not just read, right? If you learn in the abstract, you'll soon forget it. But if you learn in context, then you'll remember it because you understood why you did it. So I try to teach them just enough to get them going.
 I used to have people stand up during Jenkins instances to do the work, but that just at the end of the day, that's a distraction. My goal is not to teach them how to administer Jenkins.
I'm having conversations with the university about trying to take the devops course and essentially converting it to a three course sequence one for agile, one for kind of the dev part of devops and one for the ops part of devops.
So second one is about establishing the pipeline and then they finish the second one by, uh, building the Docker images. But it's not in depth about containers or, or kubernetes, but that's easily touch it. Okay.
They need to do concrete things ... it's to be able to traverse the whole thing without necessarily going in depth about all of these things.
I need very solid, uh, research. It's a sorry, a lab assistance. The people responsible for the labs of course, assistants that that can actually deal with the students. So I'm lucky to have students and have good industrial experience, uh, to do that.</v>
      </c>
      <c r="D74" s="48" t="str">
        <f>IFERROR(__xludf.DUMMYFUNCTION("""COMPUTED_VALUE"""),"Teach just enough to get them going so they can learn in the right context.
Do not focus on unnecessary features of tools like avoid administering Jenkins if you want to practice continuous integration.
You cannot possibly get through everything in deta"&amp;"ils.
Teach how to use tools like Docker and Kubernetes but do not much depth.
Do concrete things without necessarily going in depth about all.
Do not teach deeply some hard technologies like Kubernetes.")</f>
        <v>Teach just enough to get them going so they can learn in the right context.
Do not focus on unnecessary features of tools like avoid administering Jenkins if you want to practice continuous integration.
You cannot possibly get through everything in details.
Teach how to use tools like Docker and Kubernetes but do not much depth.
Do concrete things without necessarily going in depth about all.
Do not teach deeply some hard technologies like Kubernetes.</v>
      </c>
      <c r="E74" s="48" t="str">
        <f>IFERROR(__xludf.DUMMYFUNCTION("""COMPUTED_VALUE"""),"Teach just enough of DevOps tools to get the students going so they can learn in the right context. ")</f>
        <v>Teach just enough of DevOps tools to get the students going so they can learn in the right context. </v>
      </c>
      <c r="F74" s="9" t="s">
        <v>388</v>
      </c>
      <c r="G74" s="9" t="s">
        <v>73</v>
      </c>
      <c r="H74" s="21"/>
    </row>
    <row r="75">
      <c r="A75" s="46">
        <v>118.0</v>
      </c>
      <c r="B75" s="47" t="s">
        <v>191</v>
      </c>
      <c r="C75" s="15" t="str">
        <f>IFERROR(__xludf.DUMMYFUNCTION("filter('Imported Recommendations'!B:D,'Imported Recommendations'!A:A=A75)"),"I like to make them feel a little bit of pain before I give them the solution. So I will have them to run their test cases.
The thing I've done to try to avoid a little bit of the mess is I want to go gradual. I want to be gradual in the class. So first "&amp;"I teach compilation and testing. Then I teach continuous integration. team A is going to build one piece team B is going to build another piece that depends upon what team is built.")</f>
        <v>I like to make them feel a little bit of pain before I give them the solution. So I will have them to run their test cases.
The thing I've done to try to avoid a little bit of the mess is I want to go gradual. I want to be gradual in the class. So first I teach compilation and testing. Then I teach continuous integration. team A is going to build one piece team B is going to build another piece that depends upon what team is built.</v>
      </c>
      <c r="D75" s="48" t="str">
        <f>IFERROR(__xludf.DUMMYFUNCTION("""COMPUTED_VALUE"""),"Don't give the solution right away, let them reach it first for themselves.
Teach DevOps giving the content gradually, like first teach compilation and testing, then continuous integration; do not give everything right away so easily.")</f>
        <v>Don't give the solution right away, let them reach it first for themselves.
Teach DevOps giving the content gradually, like first teach compilation and testing, then continuous integration; do not give everything right away so easily.</v>
      </c>
      <c r="E75" s="48" t="str">
        <f>IFERROR(__xludf.DUMMYFUNCTION("""COMPUTED_VALUE"""),"Don't give the solution right away.")</f>
        <v>Don't give the solution right away.</v>
      </c>
      <c r="F75" s="9" t="s">
        <v>473</v>
      </c>
      <c r="G75" s="9" t="s">
        <v>73</v>
      </c>
      <c r="H75" s="21"/>
    </row>
    <row r="76">
      <c r="A76" s="46">
        <v>119.0</v>
      </c>
      <c r="B76" s="47" t="s">
        <v>191</v>
      </c>
      <c r="C76" s="15" t="str">
        <f>IFERROR(__xludf.DUMMYFUNCTION("filter('Imported Recommendations'!B:D,'Imported Recommendations'!A:A=A76)"),"I'll have them run their test cases manually. And then when someone makes a pull request, I'm like, well, you need to clone that, run the test case. [...] And then [.. ] I show them how to [...] automatically run the test cases. [...] And so they write al"&amp;"l the test cases. And then, and then I, I teach them about code coverage. I said, it's not about the test passing. If the code coverage go down, then somebody code it without writing a test case, don't merge that pull-request, right? So I'm teaching this "&amp;"whole culture, right? This way of working. [...] Then finally we push it to the cloud. We set up CD pipelines to deploy things in the cloud")</f>
        <v>I'll have them run their test cases manually. And then when someone makes a pull request, I'm like, well, you need to clone that, run the test case. [...] And then [.. ] I show them how to [...] automatically run the test cases. [...] And so they write all the test cases. And then, and then I, I teach them about code coverage. I said, it's not about the test passing. If the code coverage go down, then somebody code it without writing a test case, don't merge that pull-request, right? So I'm teaching this whole culture, right? This way of working. [...] Then finally we push it to the cloud. We set up CD pipelines to deploy things in the cloud</v>
      </c>
      <c r="D76" s="48" t="str">
        <f>IFERROR(__xludf.DUMMYFUNCTION("""COMPUTED_VALUE"""),"Write some tests cases manually, do pull requests, do test automation with CI, write all test cases, teach code coverage. Then finally setup CD pipeline to deploy the application in the cloud.")</f>
        <v>Write some tests cases manually, do pull requests, do test automation with CI, write all test cases, teach code coverage. Then finally setup CD pipeline to deploy the application in the cloud.</v>
      </c>
      <c r="E76" s="48"/>
      <c r="F76" s="9" t="s">
        <v>390</v>
      </c>
      <c r="G76" s="9" t="s">
        <v>16</v>
      </c>
      <c r="H76" s="21"/>
    </row>
    <row r="77">
      <c r="A77" s="46">
        <v>121.0</v>
      </c>
      <c r="B77" s="47" t="s">
        <v>191</v>
      </c>
      <c r="C77" s="15" t="str">
        <f>IFERROR(__xludf.DUMMYFUNCTION("filter('Imported Recommendations'!B:D,'Imported Recommendations'!A:A=A77)"),"Do they understand what the cloud is? It'd be great if there was a cloud course before mine, but there isn't.
It's an option that we give them the year before too preparing them.")</f>
        <v>Do they understand what the cloud is? It'd be great if there was a cloud course before mine, but there isn't.
It's an option that we give them the year before too preparing them.</v>
      </c>
      <c r="D77" s="48" t="str">
        <f>IFERROR(__xludf.DUMMYFUNCTION("""COMPUTED_VALUE"""),"It'd be great if there was a Cloud course before DevOps course.
Prepare students with previous courses.")</f>
        <v>It'd be great if there was a Cloud course before DevOps course.
Prepare students with previous courses.</v>
      </c>
      <c r="E77" s="48" t="str">
        <f>IFERROR(__xludf.DUMMYFUNCTION("""COMPUTED_VALUE"""),"Prepare students with previous courses that teach related DevOps concepts.")</f>
        <v>Prepare students with previous courses that teach related DevOps concepts.</v>
      </c>
      <c r="F77" s="9" t="s">
        <v>474</v>
      </c>
      <c r="G77" s="9" t="s">
        <v>10</v>
      </c>
      <c r="H77" s="21"/>
    </row>
    <row r="78">
      <c r="A78" s="46">
        <v>122.0</v>
      </c>
      <c r="B78" s="47" t="s">
        <v>191</v>
      </c>
      <c r="C78" s="15" t="str">
        <f>IFERROR(__xludf.DUMMYFUNCTION("filter('Imported Recommendations'!B:D,'Imported Recommendations'!A:A=A78)"),"so I don't care if you using windows or using Mac or whatever you're using. We're all going to learn a bunch of Linux and we're going to deploy all our stuff, using a bunch of it and use all the tools in a bunch of.")</f>
        <v>so I don't care if you using windows or using Mac or whatever you're using. We're all going to learn a bunch of Linux and we're going to deploy all our stuff, using a bunch of it and use all the tools in a bunch of.</v>
      </c>
      <c r="D78" s="48" t="str">
        <f>IFERROR(__xludf.DUMMYFUNCTION("""COMPUTED_VALUE"""),"Use Linux operational system.")</f>
        <v>Use Linux operational system.</v>
      </c>
      <c r="E78" s="48"/>
      <c r="F78" s="9" t="s">
        <v>392</v>
      </c>
      <c r="G78" s="9" t="s">
        <v>18</v>
      </c>
      <c r="H78" s="21"/>
    </row>
    <row r="79">
      <c r="A79" s="46">
        <v>124.0</v>
      </c>
      <c r="B79" s="47" t="s">
        <v>191</v>
      </c>
      <c r="C79" s="15" t="str">
        <f>IFERROR(__xludf.DUMMYFUNCTION("filter('Imported Recommendations'!B:D,'Imported Recommendations'!A:A=A79)"),"I selected Vagrant and virtualbox because they're both free. ... so I had to change the class for them to use Docker and VirtualBox.
We build Docker images.
Let's go for something that we have more control on, uh, using for tools like Jenkins and and a "&amp;"stuff like Docker or Kubernetes was kind of good in a way to, uh, support the deployment and the, uh, like the building plus deployment stuff.
I want to be able to deploy it with containers. So it can be, um, through Kubernetes, it can be through Docker.")</f>
        <v>I selected Vagrant and virtualbox because they're both free. ... so I had to change the class for them to use Docker and VirtualBox.
We build Docker images.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v>
      </c>
      <c r="D79" s="48" t="str">
        <f>IFERROR(__xludf.DUMMYFUNCTION("""COMPUTED_VALUE"""),"I selected docker docker because it is free.
Docker can be chosen as DevOps tool.
Use tools like Docker to have more control on support the deployment.
Use Docker as container deployment tool adopted by the course.")</f>
        <v>I selected docker docker because it is free.
Docker can be chosen as DevOps tool.
Use tools like Docker to have more control on support the deployment.
Use Docker as container deployment tool adopted by the course.</v>
      </c>
      <c r="E79" s="51" t="str">
        <f>IFERROR(__xludf.DUMMYFUNCTION("""COMPUTED_VALUE"""),"Docker can be chosen as DevOps tool.")</f>
        <v>Docker can be chosen as DevOps tool.</v>
      </c>
      <c r="F79" s="9" t="s">
        <v>475</v>
      </c>
      <c r="G79" s="9" t="s">
        <v>18</v>
      </c>
      <c r="H79" s="21"/>
    </row>
    <row r="80">
      <c r="A80" s="46">
        <v>125.0</v>
      </c>
      <c r="B80" s="47" t="s">
        <v>191</v>
      </c>
      <c r="C80" s="15" t="str">
        <f>IFERROR(__xludf.DUMMYFUNCTION("filter('Imported Recommendations'!B:D,'Imported Recommendations'!A:A=A80)"),"We use selenium to, to work on the, uh, on the UI, as a browser.
We use Selenium for test automation.")</f>
        <v>We use selenium to, to work on the, uh, on the UI, as a browser.
We use Selenium for test automation.</v>
      </c>
      <c r="D80" s="48" t="str">
        <f>IFERROR(__xludf.DUMMYFUNCTION("""COMPUTED_VALUE"""),"Use Selenium to automate UI tests.
Use Selenium for test automation.")</f>
        <v>Use Selenium to automate UI tests.
Use Selenium for test automation.</v>
      </c>
      <c r="E80" s="48" t="str">
        <f>IFERROR(__xludf.DUMMYFUNCTION("""COMPUTED_VALUE"""),"Use Selenium for UI test automation.")</f>
        <v>Use Selenium for UI test automation.</v>
      </c>
      <c r="F80" s="9" t="s">
        <v>394</v>
      </c>
      <c r="G80" s="9" t="s">
        <v>18</v>
      </c>
      <c r="H80" s="21"/>
    </row>
    <row r="81">
      <c r="A81" s="46">
        <v>127.0</v>
      </c>
      <c r="B81" s="47" t="s">
        <v>191</v>
      </c>
      <c r="C81" s="15" t="str">
        <f>IFERROR(__xludf.DUMMYFUNCTION("filter('Imported Recommendations'!B:D,'Imported Recommendations'!A:A=A81)"),"   People use an Argo CD to do continuous delivery. They used to be using Jenkins. So do you still teach Jenkins? Do you teach them Argo? Um, so it's a constant, um, improvement on the tools are what tools are popular, what tools are going to get them a j"&amp;"ob in the industry, right? ")</f>
        <v>   People use an Argo CD to do continuous delivery. They used to be using Jenkins. So do you still teach Jenkins? Do you teach them Argo? Um, so it's a constant, um, improvement on the tools are what tools are popular, what tools are going to get them a job in the industry, right? </v>
      </c>
      <c r="D81" s="48" t="str">
        <f>IFERROR(__xludf.DUMMYFUNCTION("""COMPUTED_VALUE"""),"Argo CD is a more current continuous delivery tool than Jenkins.")</f>
        <v>Argo CD is a more current continuous delivery tool than Jenkins.</v>
      </c>
      <c r="E81" s="48"/>
      <c r="F81" s="9" t="s">
        <v>476</v>
      </c>
      <c r="G81" s="9" t="s">
        <v>18</v>
      </c>
      <c r="H81" s="21"/>
    </row>
    <row r="82">
      <c r="A82" s="46">
        <v>128.0</v>
      </c>
      <c r="B82" s="47" t="s">
        <v>191</v>
      </c>
      <c r="C82" s="15" t="str">
        <f>IFERROR(__xludf.DUMMYFUNCTION("filter('Imported Recommendations'!B:D,'Imported Recommendations'!A:A=A82)"),"I'm going to watch your Kanban board every week.
 I don't give quizzes because I'm grading them every day, watching their Kanban boards, seeing how they're working, interacting with them on slack. 
 I built kind of a fictitious company [...] based on my"&amp;" experience [...]  the students work in groups of three [...]  in the first lab, they have to set up their environment [...] We bring them also to, to build, uh, two small applications that actually extract, um, data from the Kanban, uh, in GitHub using t"&amp;"he GitHub APIs, because I want the students to one that very important aspect of DevOps is the continuous improvement. So if you want, you have to apply the same principles to the process that you're applying to your product.
We enforce the usage of, of "&amp;"the, of the Kanban, because it's an important practice in devops to make the work visible and stuff.
Make the students realize that the Kanban has certain information for a certain purpose. Um, if I want to analyze my process, I may extract information f"&amp;"rom the Kanban that will tell me about, you know, the time that I spent in the development phase or in the, in the review phase and things like that.")</f>
        <v>I'm going to watch your Kanban board every week.
 I don't give quizzes because I'm grading them every day, watching their Kanban boards, seeing how they're working, interacting with them on slack. 
 I built kind of a fictitious company [...] based on my experience [...]  the students work in groups of three [...]  in the first lab, they have to set up their environment [...] We bring them also to, to build, uh, two small applications that actually extract, um, data from the Kanban, uh, in GitHub using the GitHub APIs, because I want the students to one that very important aspect of DevOps is the continuous improvement. So if you want, you have to apply the same principles to the process that you're applying to your product.
We enforce the usage of, of the, of the Kanban, because it's an important practice in devops to make the work visible and stuff.
Make the students realize that the Kanban has certain information for a certain purpose. Um, if I want to analyze my process, I may extract information from the Kanban that will tell me about, you know, the time that I spent in the development phase or in the, in the review phase and things like that.</v>
      </c>
      <c r="D82" s="48" t="str">
        <f>IFERROR(__xludf.DUMMYFUNCTION("""COMPUTED_VALUE"""),"Teach Kanban board.
You don't need quizzes if you grade the students continuously watching their Kanban boards.
Create a fictitious company based on experience for students to practice continuous improvement, creating applications, extracting data from "&amp;"Kanban.
Use Kanban to make the work visible in devops.
Make the students realize that the Kanban has certain information for analyzing the overall process.")</f>
        <v>Teach Kanban board.
You don't need quizzes if you grade the students continuously watching their Kanban boards.
Create a fictitious company based on experience for students to practice continuous improvement, creating applications, extracting data from Kanban.
Use Kanban to make the work visible in devops.
Make the students realize that the Kanban has certain information for analyzing the overall process.</v>
      </c>
      <c r="E82" s="48" t="str">
        <f>IFERROR(__xludf.DUMMYFUNCTION("""COMPUTED_VALUE"""),"Teach Kanban board.")</f>
        <v>Teach Kanban board.</v>
      </c>
      <c r="F82" s="9" t="s">
        <v>395</v>
      </c>
      <c r="G82" s="9" t="s">
        <v>73</v>
      </c>
      <c r="H82" s="21"/>
    </row>
    <row r="83">
      <c r="A83" s="46">
        <v>130.0</v>
      </c>
      <c r="B83" s="47" t="s">
        <v>191</v>
      </c>
      <c r="C83" s="15" t="str">
        <f>IFERROR(__xludf.DUMMYFUNCTION("filter('Imported Recommendations'!B:D,'Imported Recommendations'!A:A=A83)"),"So without having, uh, physically having a technical assistance in the class and I do have TA's on with my zoom and they do help students over slack, uh, to get things going.
We had a long Google doc that the students during the lectures and after the le"&amp;"ctures, students could add their questions there. And then we, the TAs could answer the questions, uh, in the doc. ")</f>
        <v>So without having, uh, physically having a technical assistance in the class and I do have TA's on with my zoom and they do help students over slack, uh, to get things going.
We had a long Google doc that the students during the lectures and after the lectures, students could add their questions there. And then we, the TAs could answer the questions, uh, in the doc. </v>
      </c>
      <c r="D83" s="48" t="str">
        <f>IFERROR(__xludf.DUMMYFUNCTION("""COMPUTED_VALUE"""),"Teacher assistence help students over slack managing questions.
Use Google Docs during the lectures so students could add their questions. Teacher Assistants could answer the questions in the doc.")</f>
        <v>Teacher assistence help students over slack managing questions.
Use Google Docs during the lectures so students could add their questions. Teacher Assistants could answer the questions in the doc.</v>
      </c>
      <c r="E83" s="48" t="str">
        <f>IFERROR(__xludf.DUMMYFUNCTION("""COMPUTED_VALUE"""),"Teacher assistence help students over managing questions.")</f>
        <v>Teacher assistence help students over managing questions.</v>
      </c>
      <c r="F83" s="9" t="s">
        <v>477</v>
      </c>
      <c r="G83" s="9" t="s">
        <v>73</v>
      </c>
      <c r="H83" s="21"/>
    </row>
    <row r="84">
      <c r="A84" s="46">
        <v>131.0</v>
      </c>
      <c r="B84" s="47" t="s">
        <v>191</v>
      </c>
      <c r="C84" s="15" t="str">
        <f>IFERROR(__xludf.DUMMYFUNCTION("filter('Imported Recommendations'!B:D,'Imported Recommendations'!A:A=A84)"),"Then I give them two exams. So the team is 40% of their grade. The exams are 60% a midterm that's 30 and a, and a final that's 30.")</f>
        <v>Then I give them two exams. So the team is 40% of their grade. The exams are 60% a midterm that's 30 and a, and a final that's 30.</v>
      </c>
      <c r="D84" s="48" t="str">
        <f>IFERROR(__xludf.DUMMYFUNCTION("""COMPUTED_VALUE"""),"So the team is 40% of their grade. The exams are 60% a midterm that's 30 and a, and a final that's 30.")</f>
        <v>So the team is 40% of their grade. The exams are 60% a midterm that's 30 and a, and a final that's 30.</v>
      </c>
      <c r="E84" s="48"/>
      <c r="F84" s="9" t="s">
        <v>397</v>
      </c>
      <c r="G84" s="9" t="s">
        <v>29</v>
      </c>
      <c r="H84" s="21"/>
    </row>
    <row r="85">
      <c r="A85" s="46">
        <v>133.0</v>
      </c>
      <c r="B85" s="47" t="s">
        <v>191</v>
      </c>
      <c r="C85" s="15" t="str">
        <f>IFERROR(__xludf.DUMMYFUNCTION("filter('Imported Recommendations'!B:D,'Imported Recommendations'!A:A=A85)"),"In that assessment, you know, that they're, um, there are 50 multiple choice questions in each exam, no partial credit. Um, and, and so, and I give, and it's an hour, uh, you know, to go do that exam. ...  we're remote now.
The book I have quiz, uh, agai"&amp;"n, it could be translated and adjusted, but that's the way to, to test in the exams. ...  one part is exactly quiz questions. So they have multiple choices.
If I was asking you the question and say, give me the three benefits of this thought of this, uh,"&amp;" concept, then it's memorization. But if I give them five, if I give you five choices and they could be between zero and five, that are true statements with respect to this concept, it's not about memorization. It's about understanding.
If the exam is in"&amp;" presence, then I don't care that much if, if they do the control that before, because ultimately they have to understand, I think that these quizzes to me have a specific objective.")</f>
        <v>In that assessment, you know, that they're, um, there are 50 multiple choice questions in each exam, no partial credit. Um, and, and so, and I give, and it's an hour, uh, you know, to go do that exam. ...  we're remote now.
The book I have quiz, uh, again, it could be translated and adjusted, but that's the way to, to test in the exams. ...  one part is exactly quiz questions. So they have multiple choices.
If I was asking you the question and say, give me the three benefits of this thought of this, uh, concept, then it's memorization. But if I give them five, if I give you five choices and they could be between zero and five, that are true statements with respect to this concept, it's not about memorization. It's about understanding.
If the exam is in presence, then I don't care that much if, if they do the control that before, because ultimately they have to understand, I think that these quizzes to me have a specific objective.</v>
      </c>
      <c r="D85" s="48" t="str">
        <f>IFERROR(__xludf.DUMMYFUNCTION("""COMPUTED_VALUE"""),"50 multiple choice questions in one hour each exam if you are remote.
Use quiz in the book to test in the exams with multiple choices.
Multiple-choice format questions about DevOps concepts favor the understanding instead of memorization of the students"&amp;".
Quizzes forces students to understand the concepts.")</f>
        <v>50 multiple choice questions in one hour each exam if you are remote.
Use quiz in the book to test in the exams with multiple choices.
Multiple-choice format questions about DevOps concepts favor the understanding instead of memorization of the students.
Quizzes forces students to understand the concepts.</v>
      </c>
      <c r="E85" s="48" t="str">
        <f>IFERROR(__xludf.DUMMYFUNCTION("""COMPUTED_VALUE"""),"Use quiz with multiple choices to assess the students.")</f>
        <v>Use quiz with multiple choices to assess the students.</v>
      </c>
      <c r="F85" s="9" t="s">
        <v>478</v>
      </c>
      <c r="G85" s="9" t="s">
        <v>29</v>
      </c>
      <c r="H85" s="21"/>
    </row>
    <row r="86">
      <c r="A86" s="46">
        <v>134.0</v>
      </c>
      <c r="B86" s="47" t="s">
        <v>191</v>
      </c>
      <c r="C86" s="15" t="str">
        <f>IFERROR(__xludf.DUMMYFUNCTION("filter('Imported Recommendations'!B:D,'Imported Recommendations'!A:A=A86)"),"the exams are open book, right? I, I, when I'm in the classroom, they're not open book, but for, for the remote learning, they have to be open book. I just can't enforce it.")</f>
        <v>the exams are open book, right? I, I, when I'm in the classroom, they're not open book, but for, for the remote learning, they have to be open book. I just can't enforce it.</v>
      </c>
      <c r="D86" s="48" t="str">
        <f>IFERROR(__xludf.DUMMYFUNCTION("""COMPUTED_VALUE"""),"Exams in remote class format are with the open book.")</f>
        <v>Exams in remote class format are with the open book.</v>
      </c>
      <c r="E86" s="48"/>
      <c r="F86" s="9" t="s">
        <v>400</v>
      </c>
      <c r="G86" s="9" t="s">
        <v>29</v>
      </c>
      <c r="H86" s="21"/>
    </row>
    <row r="87">
      <c r="A87" s="46">
        <v>136.0</v>
      </c>
      <c r="B87" s="47" t="s">
        <v>191</v>
      </c>
      <c r="C87" s="15" t="str">
        <f>IFERROR(__xludf.DUMMYFUNCTION("filter('Imported Recommendations'!B:D,'Imported Recommendations'!A:A=A87)"),"we had cloud computing, where can easily stand up virtual machines for people and things like that.")</f>
        <v>we had cloud computing, where can easily stand up virtual machines for people and things like that.</v>
      </c>
      <c r="D87" s="48" t="str">
        <f>IFERROR(__xludf.DUMMYFUNCTION("""COMPUTED_VALUE"""),"Cloud computing make easier to stand up virtual machines.")</f>
        <v>Cloud computing make easier to stand up virtual machines.</v>
      </c>
      <c r="E87" s="48"/>
      <c r="F87" s="9" t="s">
        <v>479</v>
      </c>
      <c r="G87" s="9" t="s">
        <v>18</v>
      </c>
      <c r="H87" s="21"/>
    </row>
    <row r="88">
      <c r="A88" s="46">
        <v>137.0</v>
      </c>
      <c r="B88" s="47" t="s">
        <v>191</v>
      </c>
      <c r="C88" s="15" t="str">
        <f>IFERROR(__xludf.DUMMYFUNCTION("filter('Imported Recommendations'!B:D,'Imported Recommendations'!A:A=A88)"),"People coming through the programs want to play with technology. That's half the reason we got into this field in the first place, and it's a really fun thing to be able to do, but it's not sufficient. And trying to change that mindset to emphasize more t"&amp;"he idea of devops as a means of continuous improvement, as a means of organizational change. As a, to some extent I use this phrase guardedly, but to some extent, a philosophy around how the organization is going to go from concept to implementation, that"&amp;"'s a much harder set of skills to pick up.
The global approach made sure the students not associated with devops with a CI/CD pipeline, because in my opinion, it's all about continuous improvement.
This mindset of thinking of continuous improvement is s"&amp;"o important, right?  ... the improvement of the daily work is more important than the work itself.
What should I improve to make my process more efficient? So to me, this is the most important thing of DevOps. And, and, and then you do it through automat"&amp;"ion, automation of, of the deployment process, automation of, of, you know, the testing process automation later of the security, uh, thing and so on.")</f>
        <v>People coming through the programs want to play with technology. That's half the reason we got into this field in the first place, and it's a really fun thing to be able to do, but it's not sufficient. And trying to change that mindset to emphasize more the idea of devops as a means of continuous improvement, as a means of organizational change. As a, to some extent I use this phrase guardedly, but to some extent, a philosophy around how the organization is going to go from concept to implementation, that's a much harder set of skills to pick up.
The global approach made sure the students not associated with devops with a CI/CD pipeline, because in my opinion, it's all about continuous improvement.
This mindset of thinking of continuous improvement is so important, right?  ... the improvement of the daily work is more important than the work itself.
What should I improve to make my process more efficient? So to me, this is the most important thing of DevOps. And, and, and then you do it through automation, automation of, of the deployment process, automation of, of, you know, the testing process automation later of the security, uh, thing and so on.</v>
      </c>
      <c r="D88" s="48" t="str">
        <f>IFERROR(__xludf.DUMMYFUNCTION("""COMPUTED_VALUE"""),"Make clear the importance of the DevOps mindset like continuous improvement in constrast to using the tools.
Continuous improvement is a key DevOps concept.
The mindset of thinking of continuous improvement is so important because the improvement of the"&amp;" daily work is more important than the work itself.
The most importart thing of DevOps is to improve my process continuously through automation of the deployment process.")</f>
        <v>Make clear the importance of the DevOps mindset like continuous improvement in constrast to using the tools.
Continuous improvement is a key DevOps concept.
The mindset of thinking of continuous improvement is so important because the improvement of the daily work is more important than the work itself.
The most importart thing of DevOps is to improve my process continuously through automation of the deployment process.</v>
      </c>
      <c r="E88" s="48" t="str">
        <f>IFERROR(__xludf.DUMMYFUNCTION("""COMPUTED_VALUE"""),"Continuous improvement is a key DevOps concept.")</f>
        <v>Continuous improvement is a key DevOps concept.</v>
      </c>
      <c r="F88" s="9" t="s">
        <v>401</v>
      </c>
      <c r="G88" s="9" t="s">
        <v>16</v>
      </c>
      <c r="H88" s="21"/>
    </row>
    <row r="89">
      <c r="A89" s="46">
        <v>139.0</v>
      </c>
      <c r="B89" s="47" t="s">
        <v>191</v>
      </c>
      <c r="C89" s="15" t="str">
        <f>IFERROR(__xludf.DUMMYFUNCTION("filter('Imported Recommendations'!B:D,'Imported Recommendations'!A:A=A89)"),"I use GitHub and they have options for professors, you know, for academic use, where you can set up these GitHub classrooms. I use those constantly, um, and they work very, very well because again, I can kind of control who gets what I can see, everything"&amp;" I can help individuals through things works great.")</f>
        <v>I use GitHub and they have options for professors, you know, for academic use, where you can set up these GitHub classrooms. I use those constantly, um, and they work very, very well because again, I can kind of control who gets what I can see, everything I can help individuals through things works great.</v>
      </c>
      <c r="D89" s="48" t="str">
        <f>IFERROR(__xludf.DUMMYFUNCTION("""COMPUTED_VALUE"""),"Use Github for academic use where you can set up GitHub classrooms.")</f>
        <v>Use Github for academic use where you can set up GitHub classrooms.</v>
      </c>
      <c r="E89" s="48"/>
      <c r="F89" s="9" t="s">
        <v>480</v>
      </c>
      <c r="G89" s="9" t="s">
        <v>18</v>
      </c>
      <c r="H89" s="21"/>
    </row>
    <row r="90">
      <c r="A90" s="46">
        <v>140.0</v>
      </c>
      <c r="B90" s="47" t="s">
        <v>191</v>
      </c>
      <c r="C90" s="15" t="str">
        <f>IFERROR(__xludf.DUMMYFUNCTION("filter('Imported Recommendations'!B:D,'Imported Recommendations'!A:A=A90)"),"I will pick one, usually one, although I'll usually compare and contrast against a couple of others, something in the around of automated builds.")</f>
        <v>I will pick one, usually one, although I'll usually compare and contrast against a couple of others, something in the around of automated builds.</v>
      </c>
      <c r="D90" s="48" t="str">
        <f>IFERROR(__xludf.DUMMYFUNCTION("""COMPUTED_VALUE"""),"Compare and contrast the tools before to choice.")</f>
        <v>Compare and contrast the tools before to choice.</v>
      </c>
      <c r="E90" s="48"/>
      <c r="F90" s="9" t="s">
        <v>403</v>
      </c>
      <c r="G90" s="9" t="s">
        <v>18</v>
      </c>
      <c r="H90" s="21"/>
    </row>
    <row r="91">
      <c r="A91" s="46">
        <v>142.0</v>
      </c>
      <c r="B91" s="47" t="s">
        <v>191</v>
      </c>
      <c r="C91" s="15" t="str">
        <f>IFERROR(__xludf.DUMMYFUNCTION("filter('Imported Recommendations'!B:D,'Imported Recommendations'!A:A=A91)"),"I tend to focus on gradle, but I also will link that to say a comparison against Maven and ant to provide some context for how we got here, why we got here")</f>
        <v>I tend to focus on gradle, but I also will link that to say a comparison against Maven and ant to provide some context for how we got here, why we got here</v>
      </c>
      <c r="D91" s="48" t="str">
        <f>IFERROR(__xludf.DUMMYFUNCTION("""COMPUTED_VALUE"""),"Show the evolution of the tools like exposing from ant and maven to gradle tool in build managment.")</f>
        <v>Show the evolution of the tools like exposing from ant and maven to gradle tool in build managment.</v>
      </c>
      <c r="E91" s="48"/>
      <c r="F91" s="9" t="s">
        <v>481</v>
      </c>
      <c r="G91" s="9" t="s">
        <v>18</v>
      </c>
      <c r="H91" s="21"/>
    </row>
    <row r="92">
      <c r="A92" s="46">
        <v>143.0</v>
      </c>
      <c r="B92" s="47" t="s">
        <v>191</v>
      </c>
      <c r="C92" s="15" t="str">
        <f>IFERROR(__xludf.DUMMYFUNCTION("filter('Imported Recommendations'!B:D,'Imported Recommendations'!A:A=A92)"),"I'm having conversations with the university about trying to take the devops course and essentially converting it to a three course sequence one for agile, one for kind of the dev part of devops and one for the ops part of devops.")</f>
        <v>I'm having conversations with the university about trying to take the devops course and essentially converting it to a three course sequence one for agile, one for kind of the dev part of devops and one for the ops part of devops.</v>
      </c>
      <c r="D92" s="48" t="str">
        <f>IFERROR(__xludf.DUMMYFUNCTION("""COMPUTED_VALUE"""),"separate the dev and ops part into different courses.")</f>
        <v>separate the dev and ops part into different courses.</v>
      </c>
      <c r="E92" s="48"/>
      <c r="F92" s="9" t="s">
        <v>405</v>
      </c>
      <c r="G92" s="9" t="s">
        <v>10</v>
      </c>
      <c r="H92" s="21"/>
    </row>
    <row r="93">
      <c r="A93" s="46">
        <v>145.0</v>
      </c>
      <c r="B93" s="47" t="s">
        <v>191</v>
      </c>
      <c r="C93" s="15" t="str">
        <f>IFERROR(__xludf.DUMMYFUNCTION("filter('Imported Recommendations'!B:D,'Imported Recommendations'!A:A=A93)"),"I don't think the basic skeleton of the class has really changed significantly, maybe a few places, but over the last two or three years, the, the basic structure, the scaffolding I think has held fairly true where we focus on some devops principles. We f"&amp;"ocus on concepts. We focus on goals.")</f>
        <v>I don't think the basic skeleton of the class has really changed significantly, maybe a few places, but over the last two or three years, the, the basic structure, the scaffolding I think has held fairly true where we focus on some devops principles. We focus on concepts. We focus on goals.</v>
      </c>
      <c r="D93" s="48" t="str">
        <f>IFERROR(__xludf.DUMMYFUNCTION("""COMPUTED_VALUE"""),"The basic skeleton of the class does not change significantly because we focus on concepts and we focus on goals.")</f>
        <v>The basic skeleton of the class does not change significantly because we focus on concepts and we focus on goals.</v>
      </c>
      <c r="E93" s="48"/>
      <c r="F93" s="9" t="s">
        <v>482</v>
      </c>
      <c r="G93" s="9" t="s">
        <v>24</v>
      </c>
      <c r="H93" s="21"/>
    </row>
    <row r="94">
      <c r="A94" s="46">
        <v>146.0</v>
      </c>
      <c r="B94" s="47" t="s">
        <v>191</v>
      </c>
      <c r="C94" s="15" t="str">
        <f>IFERROR(__xludf.DUMMYFUNCTION("filter('Imported Recommendations'!B:D,'Imported Recommendations'!A:A=A94)"),"So I try to give folks one or two small projects.
We will also build a sample, which is on github. I'll send you the link. If you want. We build a sample that is called a cookie factory. Um, it's, it's a system to handle a cookie factory where you can or"&amp;"der cookie pay for them, and you get a shopping cart with cookies, et cetera, right? So it's just a small sample.
We have built a little simulator that is quite simple, but that's easy to traverse the whole, essentially the main phases of DevOps.")</f>
        <v>So I try to give folks one or two small projects.
We will also build a sample, which is on github. I'll send you the link. If you want. We build a sample that is called a cookie factory. Um, it's, it's a system to handle a cookie factory where you can order cookie pay for them, and you get a shopping cart with cookies, et cetera, right? So it's just a small sample.
We have built a little simulator that is quite simple, but that's easy to traverse the whole, essentially the main phases of DevOps.</v>
      </c>
      <c r="D94" s="48" t="str">
        <f>IFERROR(__xludf.DUMMYFUNCTION("""COMPUTED_VALUE"""),"Specify what projects the students will work and provide one or two small projects.
Use small projects with students.
Use a simple application to walk through all DevOps concepts.")</f>
        <v>Specify what projects the students will work and provide one or two small projects.
Use small projects with students.
Use a simple application to walk through all DevOps concepts.</v>
      </c>
      <c r="E94" s="48" t="str">
        <f>IFERROR(__xludf.DUMMYFUNCTION("""COMPUTED_VALUE"""),"Research small projects for the students.")</f>
        <v>Research small projects for the students.</v>
      </c>
      <c r="F94" s="9" t="s">
        <v>407</v>
      </c>
      <c r="G94" s="9" t="s">
        <v>73</v>
      </c>
      <c r="H94" s="21"/>
    </row>
    <row r="95">
      <c r="A95" s="46">
        <v>148.0</v>
      </c>
      <c r="B95" s="47" t="s">
        <v>191</v>
      </c>
      <c r="C95" s="15" t="str">
        <f>IFERROR(__xludf.DUMMYFUNCTION("filter('Imported Recommendations'!B:D,'Imported Recommendations'!A:A=A95)"),"So being a little bit more forgiving, a lot of the tools that we're using are brand new. For many people, getting them all to work together can be particularly challenging. And so making it a little less stressful, uh, can be helpful.")</f>
        <v>So being a little bit more forgiving, a lot of the tools that we're using are brand new. For many people, getting them all to work together can be particularly challenging. And so making it a little less stressful, uh, can be helpful.</v>
      </c>
      <c r="D95" s="48" t="str">
        <f>IFERROR(__xludf.DUMMYFUNCTION("""COMPUTED_VALUE"""),"Be a little bit more forgivable, understanding that for some people getting all the brand new technologies to work together can be really hard, so make it less stressful")</f>
        <v>Be a little bit more forgivable, understanding that for some people getting all the brand new technologies to work together can be really hard, so make it less stressful</v>
      </c>
      <c r="E95" s="48"/>
      <c r="F95" s="9" t="s">
        <v>483</v>
      </c>
      <c r="G95" s="9" t="s">
        <v>29</v>
      </c>
      <c r="H95" s="21"/>
    </row>
    <row r="96">
      <c r="A96" s="46">
        <v>149.0</v>
      </c>
      <c r="B96" s="47" t="s">
        <v>191</v>
      </c>
      <c r="C96" s="15" t="str">
        <f>IFERROR(__xludf.DUMMYFUNCTION("filter('Imported Recommendations'!B:D,'Imported Recommendations'!A:A=A96)"),"Our particular curriculum tends to allow out of, some degree of necessity and amount of interest based learning. You know, I care about software architecture. And so that's where I want to focus.")</f>
        <v>Our particular curriculum tends to allow out of, some degree of necessity and amount of interest based learning. You know, I care about software architecture. And so that's where I want to focus.</v>
      </c>
      <c r="D96" s="48" t="str">
        <f>IFERROR(__xludf.DUMMYFUNCTION("""COMPUTED_VALUE"""),"Our curriculum allows some degree of freedom according to the teacher's preferences.")</f>
        <v>Our curriculum allows some degree of freedom according to the teacher's preferences.</v>
      </c>
      <c r="E96" s="48"/>
      <c r="F96" s="9" t="s">
        <v>409</v>
      </c>
      <c r="G96" s="9" t="s">
        <v>10</v>
      </c>
      <c r="H96" s="21"/>
    </row>
    <row r="97">
      <c r="A97" s="46">
        <v>151.0</v>
      </c>
      <c r="B97" s="47" t="s">
        <v>191</v>
      </c>
      <c r="C97" s="15" t="str">
        <f>IFERROR(__xludf.DUMMYFUNCTION("filter('Imported Recommendations'!B:D,'Imported Recommendations'!A:A=A97)"),"So we built a curriculum in just very innovative way, the two classes together, a single project, a single teaching team, but we evaluate on two angles.
The course about, uh, software architecture and DevOps, or we're talking about a different way of arc"&amp;"hitecting software, um, mainly distributed system, because it was easier for the DevOps parts who were triggered challenges was a distributed system.  ... And they had one, one lecture in the morning lecture slash lab and one lecture slash lab in the afte"&amp;"rnoon. And they were really like Friday was dedicated to DevOps slash uh, architecture.")</f>
        <v>So we built a curriculum in just very innovative way, the two classes together, a single project, a single teaching team, but we evaluate on two angles.
The course about, uh, software architecture and DevOps, or we're talking about a different way of architecting software, um, mainly distributed system, because it was easier for the DevOps parts who were triggered challenges was a distributed system.  ... And they had one, one lecture in the morning lecture slash lab and one lecture slash lab in the afternoon. And they were really like Friday was dedicated to DevOps slash uh, architecture.</v>
      </c>
      <c r="D97" s="48" t="str">
        <f>IFERROR(__xludf.DUMMYFUNCTION("""COMPUTED_VALUE"""),"Built a curriculum with DevOps and Software Architecture classes together, a single project, a single teaching team, but we evaluate on two angles.
The courses of software architecture and DevOps taught in the same day.")</f>
        <v>Built a curriculum with DevOps and Software Architecture classes together, a single project, a single teaching team, but we evaluate on two angles.
The courses of software architecture and DevOps taught in the same day.</v>
      </c>
      <c r="E97" s="48" t="str">
        <f>IFERROR(__xludf.DUMMYFUNCTION("""COMPUTED_VALUE"""),"The courses of software architecture and DevOps taught together.")</f>
        <v>The courses of software architecture and DevOps taught together.</v>
      </c>
      <c r="F97" s="9" t="s">
        <v>484</v>
      </c>
      <c r="G97" s="9" t="s">
        <v>10</v>
      </c>
      <c r="H97" s="21"/>
    </row>
    <row r="98">
      <c r="A98" s="46">
        <v>152.0</v>
      </c>
      <c r="B98" s="47" t="s">
        <v>191</v>
      </c>
      <c r="C98" s="15" t="str">
        <f>IFERROR(__xludf.DUMMYFUNCTION("filter('Imported Recommendations'!B:D,'Imported Recommendations'!A:A=A98)"),"And then another team uses in a 13 deploys to environment that the first team cannot get to because it's a production environment that the coder will not get access to it. So in real life, you have different teams of people that talk only through some cha"&amp;"nnels.")</f>
        <v>And then another team uses in a 13 deploys to environment that the first team cannot get to because it's a production environment that the coder will not get access to it. So in real life, you have different teams of people that talk only through some channels.</v>
      </c>
      <c r="D98" s="48" t="str">
        <f>IFERROR(__xludf.DUMMYFUNCTION("""COMPUTED_VALUE"""),"Show the operational constraints to students like coder will not get access to production environment.")</f>
        <v>Show the operational constraints to students like coder will not get access to production environment.</v>
      </c>
      <c r="E98" s="48"/>
      <c r="F98" s="9" t="s">
        <v>411</v>
      </c>
      <c r="G98" s="9" t="s">
        <v>73</v>
      </c>
      <c r="H98" s="21"/>
    </row>
    <row r="99">
      <c r="A99" s="46">
        <v>154.0</v>
      </c>
      <c r="B99" s="47" t="s">
        <v>191</v>
      </c>
      <c r="C99" s="15" t="str">
        <f>IFERROR(__xludf.DUMMYFUNCTION("filter('Imported Recommendations'!B:D,'Imported Recommendations'!A:A=A99)"),"what helps is to build something that is portable and something that can be broken down into several pieces where one student runs one bit and then another students runs the rest. It's also good because it forces them to work as a group.")</f>
        <v>what helps is to build something that is portable and something that can be broken down into several pieces where one student runs one bit and then another students runs the rest. It's also good because it forces them to work as a group.</v>
      </c>
      <c r="D99" s="48" t="str">
        <f>IFERROR(__xludf.DUMMYFUNCTION("""COMPUTED_VALUE"""),"Build something that is portable and something that can be broken down into several pieces where one student runs one bit and then another students runs the rest.")</f>
        <v>Build something that is portable and something that can be broken down into several pieces where one student runs one bit and then another students runs the rest.</v>
      </c>
      <c r="E99" s="48"/>
      <c r="F99" s="9" t="s">
        <v>485</v>
      </c>
      <c r="G99" s="9" t="s">
        <v>73</v>
      </c>
      <c r="H99" s="21"/>
    </row>
    <row r="100">
      <c r="A100" s="46">
        <v>155.0</v>
      </c>
      <c r="B100" s="47" t="s">
        <v>191</v>
      </c>
      <c r="C100" s="15" t="str">
        <f>IFERROR(__xludf.DUMMYFUNCTION("filter('Imported Recommendations'!B:D,'Imported Recommendations'!A:A=A100)"),"In this year, if you do that, it's too early and it's going to be too hard for you as a teacher to, to know what's going on. So by forcing the technology stack and telling them.
I mean, they're free to do what they want from a functional standpoint in th"&amp;"e project.
But from a tools and technology, we force just on them to avoid too many variation between the groups.
We use a very specific language. This is to just make it easy. I mean, sometimes we give it a bit too flexible. So right now we use a Java "&amp;"and Javascript because we are targeting web application. But, uh, when we students are implementing, uh, new features, so we give them the flexibility. We say, okay, parents, if you want to implement in Python, you can do it as long as you can wrap it in,"&amp;" uh, integrated in the new code.
 We give some kind of rough summary of what the application is supposed to do.")</f>
        <v>In this year, if you do that, it's too early and it's going to be too hard for you as a teacher to, to know what's going on. So by forcing the technology stack and telling them.
I mean, they're free to do what they want from a functional standpoint in the project.
But from a tools and technology, we force just on them to avoid too many variation between the groups.
We use a very specific language. This is to just make it easy. I mean, sometimes we give it a bit too flexible. So right now we use a Java and Javascript because we are targeting web application. But, uh, when we students are implementing, uh, new features, so we give them the flexibility. We say, okay, parents, if you want to implement in Python, you can do it as long as you can wrap it in, uh, integrated in the new code.
 We give some kind of rough summary of what the application is supposed to do.</v>
      </c>
      <c r="D100" s="48" t="str">
        <f>IFERROR(__xludf.DUMMYFUNCTION("""COMPUTED_VALUE"""),"Force students to use technology stack used on course.
It is necessary to give freedom to student develop their functional solution.
We force tools and tecnology and alert them to avoid too many variation between the groups.
It is important to give fle"&amp;"xibility to students to develop their solution although some things are determined.
Give students a rough summary of what their application are supposed to do.")</f>
        <v>Force students to use technology stack used on course.
It is necessary to give freedom to student develop their functional solution.
We force tools and tecnology and alert them to avoid too many variation between the groups.
It is important to give flexibility to students to develop their solution although some things are determined.
Give students a rough summary of what their application are supposed to do.</v>
      </c>
      <c r="E100" s="48" t="str">
        <f>IFERROR(__xludf.DUMMYFUNCTION("""COMPUTED_VALUE"""),"Force students to use technology stack used on course.")</f>
        <v>Force students to use technology stack used on course.</v>
      </c>
      <c r="F100" s="9" t="s">
        <v>413</v>
      </c>
      <c r="G100" s="9" t="s">
        <v>18</v>
      </c>
      <c r="H100" s="21"/>
    </row>
    <row r="101">
      <c r="A101" s="46">
        <v>157.0</v>
      </c>
      <c r="B101" s="47" t="s">
        <v>191</v>
      </c>
      <c r="C101" s="15" t="str">
        <f>IFERROR(__xludf.DUMMYFUNCTION("filter('Imported Recommendations'!B:D,'Imported Recommendations'!A:A=A101)"),"We've done live presentation, where they have something that 20 minutes to describe the architecture, to describe their build strategy, that test strategy and demonstrate it on the screen. Um, and that is evaluated by a jury of one representative from the"&amp;" software architecture class and one representative from the DevOps class.
Students have to choose some topic and say, okay, we want to do a presentation on this topic. And that topic can be anything related to DevOps.
Everyone who wanted to present a t"&amp;"ool or to do a demo or anything else they could give, uh, get some feedback from other students.")</f>
        <v>We've done live presentation, where they have something that 20 minutes to describe the architecture, to describe their build strategy, that test strategy and demonstrate it on the screen. Um, and that is evaluated by a jury of one representative from the software architecture class and one representative from the DevOps class.
Students have to choose some topic and say, okay, we want to do a presentation on this topic. And that topic can be anything related to DevOps.
Everyone who wanted to present a tool or to do a demo or anything else they could give, uh, get some feedback from other students.</v>
      </c>
      <c r="D101" s="48" t="str">
        <f>IFERROR(__xludf.DUMMYFUNCTION("""COMPUTED_VALUE"""),"The students have something that 20 minutes to describe the architecture of the project, to describe their build strategy, that test strategy and demonstrate it on the screen. That is evaluated by a jury of one representative from the software architectur"&amp;"e class and one representative from the DevOps class.
Make students prepare a presentation about topics related to DevOps.
Students can present a tool or do a demo to get some feedback from others during the classes.")</f>
        <v>The students have something that 20 minutes to describe the architecture of the project, to describe their build strategy, that test strategy and demonstrate it on the screen. That is evaluated by a jury of one representative from the software architecture class and one representative from the DevOps class.
Make students prepare a presentation about topics related to DevOps.
Students can present a tool or do a demo to get some feedback from others during the classes.</v>
      </c>
      <c r="E101" s="48" t="str">
        <f>IFERROR(__xludf.DUMMYFUNCTION("""COMPUTED_VALUE"""),"Make students prepare a presentation about topics related to DevOps.")</f>
        <v>Make students prepare a presentation about topics related to DevOps.</v>
      </c>
      <c r="F101" s="9" t="s">
        <v>486</v>
      </c>
      <c r="G101" s="9" t="s">
        <v>73</v>
      </c>
      <c r="H101" s="21"/>
    </row>
    <row r="102">
      <c r="A102" s="46">
        <v>158.0</v>
      </c>
      <c r="B102" s="47" t="s">
        <v>191</v>
      </c>
      <c r="C102" s="15" t="str">
        <f>IFERROR(__xludf.DUMMYFUNCTION("filter('Imported Recommendations'!B:D,'Imported Recommendations'!A:A=A102)")," we also do two evaluations, one in the middle and one at the end. So the one in the middle, we call it MVP evaluation. And we tell them, at this point, you should have reached an MVP, which is basically a walking skeleton for your code. We don't care if "&amp;"when you call the API, the only code of the API is return true, or which are 12, but we care that you have the components in place. You can build them independently and they can talk to each other. Right? So at this, we validate that your componentization"&amp;" and your architecture is good even before you start building algorithms and the functional code. Um, so we do that and that's, again, that's to catch early, um, architecture mistakes.
")</f>
        <v> we also do two evaluations, one in the middle and one at the end. So the one in the middle, we call it MVP evaluation. And we tell them, at this point, you should have reached an MVP, which is basically a walking skeleton for your code. We don't care if when you call the API, the only code of the API is return true, or which are 12, but we care that you have the components in place. You can build them independently and they can talk to each other. Right? So at this, we validate that your componentization and your architecture is good even before you start building algorithms and the functional code. Um, so we do that and that's, again, that's to catch early, um, architecture mistakes.
</v>
      </c>
      <c r="D102" s="48" t="str">
        <f>IFERROR(__xludf.DUMMYFUNCTION("""COMPUTED_VALUE"""),"Use MVP (Minimum viable product) evaluation to validate components of the project. Make an evaluation in the middle and the final course.")</f>
        <v>Use MVP (Minimum viable product) evaluation to validate components of the project. Make an evaluation in the middle and the final course.</v>
      </c>
      <c r="E102" s="48"/>
      <c r="F102" s="9" t="s">
        <v>415</v>
      </c>
      <c r="G102" s="9" t="s">
        <v>29</v>
      </c>
      <c r="H102" s="21"/>
    </row>
    <row r="103">
      <c r="A103" s="46">
        <v>160.0</v>
      </c>
      <c r="B103" s="47" t="s">
        <v>191</v>
      </c>
      <c r="C103" s="15" t="str">
        <f>IFERROR(__xludf.DUMMYFUNCTION("filter('Imported Recommendations'!B:D,'Imported Recommendations'!A:A=A103)"),"we cannot make assumption on what they know. So we're trying to work without any assumption.
")</f>
        <v>we cannot make assumption on what they know. So we're trying to work without any assumption.
</v>
      </c>
      <c r="D103" s="48" t="str">
        <f>IFERROR(__xludf.DUMMYFUNCTION("""COMPUTED_VALUE"""),"Do not make assumption about the learning level of the students when you have students with different levels.")</f>
        <v>Do not make assumption about the learning level of the students when you have students with different levels.</v>
      </c>
      <c r="E103" s="48"/>
      <c r="F103" s="9" t="s">
        <v>487</v>
      </c>
      <c r="G103" s="9" t="s">
        <v>24</v>
      </c>
      <c r="H103" s="21"/>
    </row>
    <row r="104">
      <c r="A104" s="46">
        <v>161.0</v>
      </c>
      <c r="B104" s="47" t="s">
        <v>191</v>
      </c>
      <c r="C104" s="15" t="str">
        <f>IFERROR(__xludf.DUMMYFUNCTION("filter('Imported Recommendations'!B:D,'Imported Recommendations'!A:A=A104)"),"We show them Kubernetes.
Let's go for something that we have more control on, uh, using for tools like Jenkins and and a stuff like Docker or Kubernetes was kind of good in a way to, uh, support the deployment and the, uh, like the building plus deployme"&amp;"nt stuff.
I want to be able to deploy it with containers. So it can be, um, through Kubernetes, it can be through Docker.")</f>
        <v>We show them Kubernetes.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v>
      </c>
      <c r="D104" s="48" t="str">
        <f>IFERROR(__xludf.DUMMYFUNCTION("""COMPUTED_VALUE"""),"Kubernetes can be chosen as DevOps tool.
Use tools like Kubernetes to have more control on support the deployment.
Uses Kubernetes as container deployment tool adopted by the course.")</f>
        <v>Kubernetes can be chosen as DevOps tool.
Use tools like Kubernetes to have more control on support the deployment.
Uses Kubernetes as container deployment tool adopted by the course.</v>
      </c>
      <c r="E104" s="48" t="str">
        <f>IFERROR(__xludf.DUMMYFUNCTION("""COMPUTED_VALUE"""),"Kubernetes can be chosen as DevOps tool.")</f>
        <v>Kubernetes can be chosen as DevOps tool.</v>
      </c>
      <c r="F104" s="9" t="s">
        <v>417</v>
      </c>
      <c r="G104" s="9" t="s">
        <v>18</v>
      </c>
      <c r="H104" s="21"/>
    </row>
    <row r="105">
      <c r="A105" s="46">
        <v>163.0</v>
      </c>
      <c r="B105" s="47" t="s">
        <v>191</v>
      </c>
      <c r="C105" s="15" t="str">
        <f>IFERROR(__xludf.DUMMYFUNCTION("filter('Imported Recommendations'!B:D,'Imported Recommendations'!A:A=A105)"),"what I do is that after introducing a concept and so on, I started really looking at very specific issues ... so in the lab we students learn, uh, in our, to be able to, for instance, to create a pipeline currency, DevOps pipeline, and, and, um, very, uh,"&amp;" set up A B tests, create test cases and do automated test, uh, test automation.")</f>
        <v>what I do is that after introducing a concept and so on, I started really looking at very specific issues ... so in the lab we students learn, uh, in our, to be able to, for instance, to create a pipeline currency, DevOps pipeline, and, and, um, very, uh, set up A B tests, create test cases and do automated test, uh, test automation.</v>
      </c>
      <c r="D105" s="48" t="str">
        <f>IFERROR(__xludf.DUMMYFUNCTION("""COMPUTED_VALUE"""),"Introduce a concept and do labs with creating DevOps pipeline, setup A/B tests, and automated tests.")</f>
        <v>Introduce a concept and do labs with creating DevOps pipeline, setup A/B tests, and automated tests.</v>
      </c>
      <c r="E105" s="48"/>
      <c r="F105" s="9" t="s">
        <v>488</v>
      </c>
      <c r="G105" s="9" t="s">
        <v>16</v>
      </c>
      <c r="H105" s="21"/>
    </row>
    <row r="106">
      <c r="A106" s="46">
        <v>164.0</v>
      </c>
      <c r="B106" s="47" t="s">
        <v>191</v>
      </c>
      <c r="C106" s="15" t="str">
        <f>IFERROR(__xludf.DUMMYFUNCTION("filter('Imported Recommendations'!B:D,'Imported Recommendations'!A:A=A106)"),"The students have to do in the projects is to start by coming up with the requirements of the obvious application, and then start setting up their own environment and provide some additional functionalities that we want to implement.
 So they have set up"&amp;" their environment.
The second one is to, we give them an application. It's an actually an HVAC humidity, air conditioning and ventilation, um, and they don't develop the application, but they have to build the pipeline to support this existing applicati"&amp;"on.")</f>
        <v>The students have to do in the projects is to start by coming up with the requirements of the obvious application, and then start setting up their own environment and provide some additional functionalities that we want to implement.
 So they have set up their environment.
The second one is to, we give them an application. It's an actually an HVAC humidity, air conditioning and ventilation, um, and they don't develop the application, but they have to build the pipeline to support this existing application.</v>
      </c>
      <c r="D106" s="48" t="str">
        <f>IFERROR(__xludf.DUMMYFUNCTION("""COMPUTED_VALUE"""),"Students start setting up their own DevOps environment and provide additional feature using simple application in the project.
Let students setup their environment for themselves.
Give students an application that they have to build the pipeline to supp"&amp;"ort it.")</f>
        <v>Students start setting up their own DevOps environment and provide additional feature using simple application in the project.
Let students setup their environment for themselves.
Give students an application that they have to build the pipeline to support it.</v>
      </c>
      <c r="E106" s="48" t="str">
        <f>IFERROR(__xludf.DUMMYFUNCTION("""COMPUTED_VALUE"""),"Students setting up their own DevOps environment.")</f>
        <v>Students setting up their own DevOps environment.</v>
      </c>
      <c r="F106" s="9" t="s">
        <v>419</v>
      </c>
      <c r="G106" s="9" t="s">
        <v>12</v>
      </c>
      <c r="H106" s="21"/>
    </row>
    <row r="107">
      <c r="A107" s="46">
        <v>166.0</v>
      </c>
      <c r="B107" s="47" t="s">
        <v>191</v>
      </c>
      <c r="C107" s="15" t="str">
        <f>IFERROR(__xludf.DUMMYFUNCTION("filter('Imported Recommendations'!B:D,'Imported Recommendations'!A:A=A107)"),"for exam can be to use an open source application that we can use")</f>
        <v>for exam can be to use an open source application that we can use</v>
      </c>
      <c r="D107" s="48" t="str">
        <f>IFERROR(__xludf.DUMMYFUNCTION("""COMPUTED_VALUE"""),"For exam can be to use an open source application that we can use.")</f>
        <v>For exam can be to use an open source application that we can use.</v>
      </c>
      <c r="E107" s="48"/>
      <c r="F107" s="9" t="s">
        <v>489</v>
      </c>
      <c r="G107" s="9" t="s">
        <v>29</v>
      </c>
      <c r="H107" s="21"/>
    </row>
    <row r="108">
      <c r="A108" s="46">
        <v>167.0</v>
      </c>
      <c r="B108" s="47" t="s">
        <v>191</v>
      </c>
      <c r="C108" s="15" t="str">
        <f>IFERROR(__xludf.DUMMYFUNCTION("filter('Imported Recommendations'!B:D,'Imported Recommendations'!A:A=A108)"),"we use also SonarQube to help us on the automation")</f>
        <v>we use also SonarQube to help us on the automation</v>
      </c>
      <c r="D108" s="48" t="str">
        <f>IFERROR(__xludf.DUMMYFUNCTION("""COMPUTED_VALUE"""),"Use SonarQube to help on the automation.")</f>
        <v>Use SonarQube to help on the automation.</v>
      </c>
      <c r="E108" s="48"/>
      <c r="F108" s="9" t="s">
        <v>421</v>
      </c>
      <c r="G108" s="9" t="s">
        <v>18</v>
      </c>
      <c r="H108" s="21"/>
    </row>
    <row r="109">
      <c r="A109" s="46">
        <v>169.0</v>
      </c>
      <c r="B109" s="47" t="s">
        <v>191</v>
      </c>
      <c r="C109" s="15" t="str">
        <f>IFERROR(__xludf.DUMMYFUNCTION("filter('Imported Recommendations'!B:D,'Imported Recommendations'!A:A=A109)"),"we also security platform like, uh, Zap")</f>
        <v>we also security platform like, uh, Zap</v>
      </c>
      <c r="D109" s="48" t="str">
        <f>IFERROR(__xludf.DUMMYFUNCTION("""COMPUTED_VALUE"""),"Use OWASP Zap as security platform.")</f>
        <v>Use OWASP Zap as security platform.</v>
      </c>
      <c r="E109" s="48"/>
      <c r="F109" s="9" t="s">
        <v>490</v>
      </c>
      <c r="G109" s="9" t="s">
        <v>18</v>
      </c>
      <c r="H109" s="21"/>
    </row>
    <row r="110">
      <c r="A110" s="46">
        <v>170.0</v>
      </c>
      <c r="B110" s="47" t="s">
        <v>191</v>
      </c>
      <c r="C110" s="15" t="str">
        <f>IFERROR(__xludf.DUMMYFUNCTION("filter('Imported Recommendations'!B:D,'Imported Recommendations'!A:A=A110)"),"So in terms of the tools, I feel better. I think one of the good aspect in DevOps is that there are a lot of tools [...] DevOps tools are available and where a lot of them are free and some of them are conscious of those. So a lot of them are free. And, a"&amp;"nd then, so, so far, I think it has been good.")</f>
        <v>So in terms of the tools, I feel better. I think one of the good aspect in DevOps is that there are a lot of tools [...] DevOps tools are available and where a lot of them are free and some of them are conscious of those. So a lot of them are free. And, and then, so, so far, I think it has been good.</v>
      </c>
      <c r="D110" s="48" t="str">
        <f>IFERROR(__xludf.DUMMYFUNCTION("""COMPUTED_VALUE"""),"There are many free DevOps tools available.")</f>
        <v>There are many free DevOps tools available.</v>
      </c>
      <c r="E110" s="48"/>
      <c r="F110" s="9" t="s">
        <v>423</v>
      </c>
      <c r="G110" s="9" t="s">
        <v>18</v>
      </c>
      <c r="H110" s="21"/>
    </row>
    <row r="111">
      <c r="A111" s="46">
        <v>172.0</v>
      </c>
      <c r="B111" s="47" t="s">
        <v>191</v>
      </c>
      <c r="C111" s="15" t="str">
        <f>IFERROR(__xludf.DUMMYFUNCTION("filter('Imported Recommendations'!B:D,'Imported Recommendations'!A:A=A111)"),"So in the course I split, but so about 80% of presentation is just a regular, uh, concepts and so on and about 20% is about concrete applications.
 And so if we can find a way to be able to, to compress the experience or expertise in the practical experi"&amp;"ence and expertise in the context of lectures and so on.")</f>
        <v>So in the course I split, but so about 80% of presentation is just a regular, uh, concepts and so on and about 20% is about concrete applications.
 And so if we can find a way to be able to, to compress the experience or expertise in the practical experience and expertise in the context of lectures and so on.</v>
      </c>
      <c r="D111" s="48" t="str">
        <f>IFERROR(__xludf.DUMMYFUNCTION("""COMPUTED_VALUE"""),"Divide the course into 80% of concepts and 20% of applications.
Conciliate the experience in labs and the context of lectures.")</f>
        <v>Divide the course into 80% of concepts and 20% of applications.
Conciliate the experience in labs and the context of lectures.</v>
      </c>
      <c r="E111" s="48" t="str">
        <f>IFERROR(__xludf.DUMMYFUNCTION("""COMPUTED_VALUE"""),"Divide the course into 80% of concepts and 20% of applications.")</f>
        <v>Divide the course into 80% of concepts and 20% of applications.</v>
      </c>
      <c r="F111" s="9" t="s">
        <v>491</v>
      </c>
      <c r="G111" s="9" t="s">
        <v>73</v>
      </c>
      <c r="H111" s="21"/>
    </row>
    <row r="112">
      <c r="A112" s="46">
        <v>173.0</v>
      </c>
      <c r="B112" s="47" t="s">
        <v>191</v>
      </c>
      <c r="C112" s="15" t="str">
        <f>IFERROR(__xludf.DUMMYFUNCTION("filter('Imported Recommendations'!B:D,'Imported Recommendations'!A:A=A112)"),"We presented as a lab project [...] So the students start initially by defining the requirements and then after they start a secondary pipeline, and then they do at least a couple of weeks iterations cycle and develop cycle. And then after they go to do p"&amp;"erformance testing to do a security testing and all those kinds of things, and for each of these deliverables, we submit something, every report. And, and, uh, so that's very easy to map because it's a very practical.")</f>
        <v>We presented as a lab project [...] So the students start initially by defining the requirements and then after they start a secondary pipeline, and then they do at least a couple of weeks iterations cycle and develop cycle. And then after they go to do performance testing to do a security testing and all those kinds of things, and for each of these deliverables, we submit something, every report. And, and, uh, so that's very easy to map because it's a very practical.</v>
      </c>
      <c r="D112" s="48" t="str">
        <f>IFERROR(__xludf.DUMMYFUNCTION("""COMPUTED_VALUE"""),"We presented as a lab project with five deliverables. The students start by defining the requirements and then after they start a secondary pipeline, and then they do at least a couple of weeks iterations cycle and develop cycle. And then after they go to"&amp;" do performance testing to do a security testing, and for each of these deliverables, we submit something, every report.")</f>
        <v>We presented as a lab project with five deliverables. The students start by defining the requirements and then after they start a secondary pipeline, and then they do at least a couple of weeks iterations cycle and develop cycle. And then after they go to do performance testing to do a security testing, and for each of these deliverables, we submit something, every report.</v>
      </c>
      <c r="E112" s="48"/>
      <c r="F112" s="9" t="s">
        <v>425</v>
      </c>
      <c r="G112" s="9" t="s">
        <v>73</v>
      </c>
      <c r="H112" s="21"/>
    </row>
    <row r="113">
      <c r="A113" s="46">
        <v>175.0</v>
      </c>
      <c r="B113" s="47" t="s">
        <v>191</v>
      </c>
      <c r="C113" s="15" t="str">
        <f>IFERROR(__xludf.DUMMYFUNCTION("filter('Imported Recommendations'!B:D,'Imported Recommendations'!A:A=A113)"),"I had a different assistant for the labs who was the next student. So the first time, and the labs were quite well received.
If you have lab assistants that are, you know, good, it's pretty easy to manage.")</f>
        <v>I had a different assistant for the labs who was the next student. So the first time, and the labs were quite well received.
If you have lab assistants that are, you know, good, it's pretty easy to manage.</v>
      </c>
      <c r="D113" s="48" t="str">
        <f>IFERROR(__xludf.DUMMYFUNCTION("""COMPUTED_VALUE"""),"Qualified teacher assistant is important to setup the labs.
It is good to have teacher assistants with labs.")</f>
        <v>Qualified teacher assistant is important to setup the labs.
It is good to have teacher assistants with labs.</v>
      </c>
      <c r="E113" s="48" t="str">
        <f>IFERROR(__xludf.DUMMYFUNCTION("""COMPUTED_VALUE"""),"Teacher assistants are helpful with labs.")</f>
        <v>Teacher assistants are helpful with labs.</v>
      </c>
      <c r="F113" s="9" t="s">
        <v>492</v>
      </c>
      <c r="G113" s="9" t="s">
        <v>73</v>
      </c>
      <c r="H113" s="21"/>
    </row>
    <row r="114">
      <c r="A114" s="46">
        <v>176.0</v>
      </c>
      <c r="B114" s="47" t="s">
        <v>191</v>
      </c>
      <c r="C114" s="15" t="str">
        <f>IFERROR(__xludf.DUMMYFUNCTION("filter('Imported Recommendations'!B:D,'Imported Recommendations'!A:A=A114)"),"the unicorn [project book] who was just, just published last year is more about the Dev stuff, but it really brings it into the mindset of, of, okay, what are the issues concretely that we face.")</f>
        <v>the unicorn [project book] who was just, just published last year is more about the Dev stuff, but it really brings it into the mindset of, of, okay, what are the issues concretely that we face.</v>
      </c>
      <c r="D114" s="48" t="str">
        <f>IFERROR(__xludf.DUMMYFUNCTION("""COMPUTED_VALUE"""),"The Unicorn project book is a novel which covers the Dev side issues of DevOps.")</f>
        <v>The Unicorn project book is a novel which covers the Dev side issues of DevOps.</v>
      </c>
      <c r="E114" s="48"/>
      <c r="F114" s="9" t="s">
        <v>426</v>
      </c>
      <c r="G114" s="9" t="s">
        <v>24</v>
      </c>
      <c r="H114" s="21"/>
    </row>
    <row r="115">
      <c r="A115" s="46">
        <v>178.0</v>
      </c>
      <c r="B115" s="47" t="s">
        <v>191</v>
      </c>
      <c r="C115" s="15" t="str">
        <f>IFERROR(__xludf.DUMMYFUNCTION("filter('Imported Recommendations'!B:D,'Imported Recommendations'!A:A=A115)"),"I need very solid, uh, research. It's a sorry, a lab assistance. The people responsible for the labs of course, assistants that that can actually deal with the students. So I'm lucky to have students and have good industrial experience, uh, to do that.")</f>
        <v>I need very solid, uh, research. It's a sorry, a lab assistance. The people responsible for the labs of course, assistants that that can actually deal with the students. So I'm lucky to have students and have good industrial experience, uh, to do that.</v>
      </c>
      <c r="D115" s="48" t="str">
        <f>IFERROR(__xludf.DUMMYFUNCTION("""COMPUTED_VALUE"""),"The teacher assistants need to be very qualified.")</f>
        <v>The teacher assistants need to be very qualified.</v>
      </c>
      <c r="E115" s="48"/>
      <c r="F115" s="9" t="s">
        <v>312</v>
      </c>
      <c r="G115" s="9" t="s">
        <v>73</v>
      </c>
      <c r="H115" s="21"/>
    </row>
    <row r="116">
      <c r="A116" s="46">
        <v>179.0</v>
      </c>
      <c r="B116" s="47" t="s">
        <v>191</v>
      </c>
      <c r="C116" s="15" t="str">
        <f>IFERROR(__xludf.DUMMYFUNCTION("filter('Imported Recommendations'!B:D,'Imported Recommendations'!A:A=A116)"),"So I chose, um, tuleap, which is an open source that was missing in mainly DevOps in France.")</f>
        <v>So I chose, um, tuleap, which is an open source that was missing in mainly DevOps in France.</v>
      </c>
      <c r="D116" s="48" t="str">
        <f>IFERROR(__xludf.DUMMYFUNCTION("""COMPUTED_VALUE"""),"Use Tuleap for lifecycle management.")</f>
        <v>Use Tuleap for lifecycle management.</v>
      </c>
      <c r="E116" s="48"/>
      <c r="F116" s="9" t="s">
        <v>428</v>
      </c>
      <c r="G116" s="9" t="s">
        <v>18</v>
      </c>
      <c r="H116" s="21"/>
    </row>
    <row r="117">
      <c r="A117" s="46">
        <v>181.0</v>
      </c>
      <c r="B117" s="47" t="s">
        <v>191</v>
      </c>
      <c r="C117" s="15" t="str">
        <f>IFERROR(__xludf.DUMMYFUNCTION("filter('Imported Recommendations'!B:D,'Imported Recommendations'!A:A=A117)"),"initially we were relying the, uh, admin, uh, personnel in our department, not admin, sorry, the, the engineering, uh, the, yeah, the, the infrastructure, the people that are responsible for the labs and so on. And now, since all of the students have thei"&amp;"r laptop, we try to make it as industrial as possible in lightweight as possible. So we don't need any internal support. [...] You just need this use to create their, uh, GitHub accounts. And, uh, you have to register to be able to get some AWS, uh, credi"&amp;"ts so that you can share with the students, but it's quite, it's quite easy.")</f>
        <v>initially we were relying the, uh, admin, uh, personnel in our department, not admin, sorry, the, the engineering, uh, the, yeah, the, the infrastructure, the people that are responsible for the labs and so on. And now, since all of the students have their laptop, we try to make it as industrial as possible in lightweight as possible. So we don't need any internal support. [...] You just need this use to create their, uh, GitHub accounts. And, uh, you have to register to be able to get some AWS, uh, credits so that you can share with the students, but it's quite, it's quite easy.</v>
      </c>
      <c r="D117" s="48" t="str">
        <f>IFERROR(__xludf.DUMMYFUNCTION("""COMPUTED_VALUE"""),"You do not need to worry about university infrastruture when the students have Github and AWS accounts and you make the environment as industrial as lightweight as possible in all of the students laptops.")</f>
        <v>You do not need to worry about university infrastruture when the students have Github and AWS accounts and you make the environment as industrial as lightweight as possible in all of the students laptops.</v>
      </c>
      <c r="E117" s="48"/>
      <c r="F117" s="9" t="s">
        <v>493</v>
      </c>
      <c r="G117" s="9" t="s">
        <v>12</v>
      </c>
      <c r="H117" s="21"/>
    </row>
    <row r="118">
      <c r="A118" s="46">
        <v>184.0</v>
      </c>
      <c r="B118" s="47" t="s">
        <v>191</v>
      </c>
      <c r="C118" s="15" t="str">
        <f>IFERROR(__xludf.DUMMYFUNCTION("filter('Imported Recommendations'!B:D,'Imported Recommendations'!A:A=A118)"),"I give them two case studies, uh, so to see if they can analyze a given situation.
Like theoretical exam point of view, we use the case studies. ... you have three hours explain what you do in this situation. ...  we were really grading half of the descr"&amp;"iption and half of the justification.
He grade scale was half description, half justification, and that's helped a lot, but it's always, um, qualitative in this way.")</f>
        <v>I give them two case studies, uh, so to see if they can analyze a given situation.
Like theoretical exam point of view, we use the case studies. ... you have three hours explain what you do in this situation. ...  we were really grading half of the description and half of the justification.
He grade scale was half description, half justification, and that's helped a lot, but it's always, um, qualitative in this way.</v>
      </c>
      <c r="D118" s="48" t="str">
        <f>IFERROR(__xludf.DUMMYFUNCTION("""COMPUTED_VALUE"""),"Give case studies to see if the students can analyze a given situation in the exams.
We use the case studies in theoretical exam. Students have three hours to explain what they do in this situation. We were really grading half of the description and half"&amp;" of the justification.
It is helpful to use the description and the justification of case studies on qualitative grade scale.")</f>
        <v>Give case studies to see if the students can analyze a given situation in the exams.
We use the case studies in theoretical exam. Students have three hours to explain what they do in this situation. We were really grading half of the description and half of the justification.
It is helpful to use the description and the justification of case studies on qualitative grade scale.</v>
      </c>
      <c r="E118" s="48" t="str">
        <f>IFERROR(__xludf.DUMMYFUNCTION("""COMPUTED_VALUE"""),"Use case studies in the exams.")</f>
        <v>Use case studies in the exams.</v>
      </c>
      <c r="F118" s="9" t="s">
        <v>494</v>
      </c>
      <c r="G118" s="9" t="s">
        <v>29</v>
      </c>
      <c r="H118" s="21"/>
    </row>
    <row r="119">
      <c r="A119" s="46">
        <v>185.0</v>
      </c>
      <c r="B119" s="47" t="s">
        <v>191</v>
      </c>
      <c r="C119" s="15" t="str">
        <f>IFERROR(__xludf.DUMMYFUNCTION("filter('Imported Recommendations'!B:D,'Imported Recommendations'!A:A=A119)"),"we use one of the topics in DevOps that becomes quite important is value stream mapping. So to be able to capture your process is pretty simple in terms of modeling as a flow of activities, value stream mapping is a technique that has been used for quite "&amp;"a long time and in production.")</f>
        <v>we use one of the topics in DevOps that becomes quite important is value stream mapping. So to be able to capture your process is pretty simple in terms of modeling as a flow of activities, value stream mapping is a technique that has been used for quite a long time and in production.</v>
      </c>
      <c r="D119" s="48" t="str">
        <f>IFERROR(__xludf.DUMMYFUNCTION("""COMPUTED_VALUE"""),"Be able to capture your DevOps process in terms of modeling as a flow of activities using value stream mapping technique.")</f>
        <v>Be able to capture your DevOps process in terms of modeling as a flow of activities using value stream mapping technique.</v>
      </c>
      <c r="E119" s="48"/>
      <c r="F119" s="9" t="s">
        <v>430</v>
      </c>
      <c r="G119" s="9" t="s">
        <v>73</v>
      </c>
      <c r="H119" s="21"/>
    </row>
    <row r="120">
      <c r="A120" s="46">
        <v>187.0</v>
      </c>
      <c r="B120" s="47" t="s">
        <v>191</v>
      </c>
      <c r="C120" s="15" t="str">
        <f>IFERROR(__xludf.DUMMYFUNCTION("filter('Imported Recommendations'!B:D,'Imported Recommendations'!A:A=A120)"),"I'm thinking of bringing a couple of, um, industrial speakers as well to share their experience.
We can have people, uh, there, there are, uh, there are everywhere that we can invite and, uh, let the students know what is going on in practice, not just s"&amp;"ome, uh, theoretical, uh, problem.
The lectures were not, uh, were not presented by the teachers. They were presented by the people who are, who were from the industry and invited to the, uh, to the course to present something for students.
I think the "&amp;"course we've built in France was successful because we've done it with a software architect from IBM or the guy who was building, um, like as part of his industrial practice, he was building huge, uh, systems.
You need to have people interacting with the"&amp;" students that are practitioners and that really, uh, well know their in a way.
So we thought we were doing right, but after having discussed with industrial partners and practitioners, like not just discussed, you know, conference or attending a meetup,"&amp;" like really discussing for hours.
To carefully select the, um, I, I have a lot of industrial, uh, practitioners, guest lectures. Uh, we, we, we had the one prof that wasn't industrial.
The bigger mistake I've made was to, uh, use a coach. Uh, and we in"&amp;"vited him and the guy was, uh, setting himself running himself as a DevOps coach, but the guy just had written books and, uh, had no idea what he was talking about.")</f>
        <v>I'm thinking of bringing a couple of, um, industrial speakers as well to share their experience.
We can have people, uh, there, there are, uh, there are everywhere that we can invite and, uh, let the students know what is going on in practice, not just some, uh, theoretical, uh, problem.
The lectures were not, uh, were not presented by the teachers. They were presented by the people who are, who were from the industry and invited to the, uh, to the course to present something for students.
I think the course we've built in France was successful because we've done it with a software architect from IBM or the guy who was building, um, like as part of his industrial practice, he was building huge, uh, systems.
You need to have people interacting with the students that are practitioners and that really, uh, well know their in a way.
So we thought we were doing right, but after having discussed with industrial partners and practitioners, like not just discussed, you know, conference or attending a meetup, like really discussing for hours.
To carefully select the, um, I, I have a lot of industrial, uh, practitioners, guest lectures. Uh, we, we, we had the one prof that wasn't industrial.
The bigger mistake I've made was to, uh, use a coach. Uh, and we invited him and the guy was, uh, setting himself running himself as a DevOps coach, but the guy just had written books and, uh, had no idea what he was talking about.</v>
      </c>
      <c r="D120" s="48" t="str">
        <f>IFERROR(__xludf.DUMMYFUNCTION("""COMPUTED_VALUE"""),"Try to bring industrial speakers to share their experience.
Invite people to show students what's going on in practice, not only in theoretical problems.
The lectures could be presented by people who were from the industry.
It is important to have indu"&amp;"strial partnership to share skills to contribute to the course.
You need to have DevOps practitioners interacting with the students.
Discuss the course with industrial partners and practitioners.
You should be careful about selecting guest lectures. Pr"&amp;"efer industrial practitioners.
Do not invite a DevOps coach to do DevOps lectures.")</f>
        <v>Try to bring industrial speakers to share their experience.
Invite people to show students what's going on in practice, not only in theoretical problems.
The lectures could be presented by people who were from the industry.
It is important to have industrial partnership to share skills to contribute to the course.
You need to have DevOps practitioners interacting with the students.
Discuss the course with industrial partners and practitioners.
You should be careful about selecting guest lectures. Prefer industrial practitioners.
Do not invite a DevOps coach to do DevOps lectures.</v>
      </c>
      <c r="E120" s="48" t="str">
        <f>IFERROR(__xludf.DUMMYFUNCTION("""COMPUTED_VALUE"""),"Select industrial speakers carefully to share their experience with the students.")</f>
        <v>Select industrial speakers carefully to share their experience with the students.</v>
      </c>
      <c r="F120" s="9" t="s">
        <v>495</v>
      </c>
      <c r="G120" s="9" t="s">
        <v>24</v>
      </c>
      <c r="H120" s="21"/>
    </row>
    <row r="121">
      <c r="A121" s="46">
        <v>188.0</v>
      </c>
      <c r="B121" s="47" t="s">
        <v>191</v>
      </c>
      <c r="C121" s="15" t="str">
        <f>IFERROR(__xludf.DUMMYFUNCTION("filter('Imported Recommendations'!B:D,'Imported Recommendations'!A:A=A121)"),"So that, I think it's one of our job to, to, to communicate with the student that it's not about the buzzword, this is something extremely serious.")</f>
        <v>So that, I think it's one of our job to, to, to communicate with the student that it's not about the buzzword, this is something extremely serious.</v>
      </c>
      <c r="D121" s="48" t="str">
        <f>IFERROR(__xludf.DUMMYFUNCTION("""COMPUTED_VALUE"""),"It's important to communicate with students that DevOps is not buzzword, it is extremely serious.")</f>
        <v>It's important to communicate with students that DevOps is not buzzword, it is extremely serious.</v>
      </c>
      <c r="E121" s="48"/>
      <c r="F121" s="9" t="s">
        <v>432</v>
      </c>
      <c r="G121" s="9" t="s">
        <v>16</v>
      </c>
      <c r="H121" s="21"/>
    </row>
    <row r="122">
      <c r="A122" s="46">
        <v>190.0</v>
      </c>
      <c r="B122" s="47" t="s">
        <v>191</v>
      </c>
      <c r="C122" s="15" t="str">
        <f>IFERROR(__xludf.DUMMYFUNCTION("filter('Imported Recommendations'!B:D,'Imported Recommendations'!A:A=A122)"),"So, uh, we didn't have some predefined, uh, projects, and as we can, yes, this was a bigger problem for us.")</f>
        <v>So, uh, we didn't have some predefined, uh, projects, and as we can, yes, this was a bigger problem for us.</v>
      </c>
      <c r="D122" s="49" t="str">
        <f>IFERROR(__xludf.DUMMYFUNCTION("""COMPUTED_VALUE"""),"Predefined project is important for the organization of the course.")</f>
        <v>Predefined project is important for the organization of the course.</v>
      </c>
      <c r="E122" s="48"/>
      <c r="F122" s="9" t="s">
        <v>496</v>
      </c>
      <c r="G122" s="9" t="s">
        <v>73</v>
      </c>
      <c r="H122" s="21"/>
    </row>
    <row r="123">
      <c r="A123" s="46">
        <v>191.0</v>
      </c>
      <c r="B123" s="47" t="s">
        <v>191</v>
      </c>
      <c r="C123" s="15" t="str">
        <f>IFERROR(__xludf.DUMMYFUNCTION("filter('Imported Recommendations'!B:D,'Imported Recommendations'!A:A=A123)"),"In fact, some of them, we asked them to, um, to, if they wanted to do a tutorial on a tool, we ask them to upload that tutorial on, uh, Katacoda.
So we asked the students, uh, to, uh, use another tool if they want to present something that doesn't work o"&amp;"n katacoda. So, uh, the way that we solved it was to change the requirements and to change the, uh, change the environment and the tools that they had to use.
So that's the course automation and executable tutorial was, uh, chatter, katacoda, um, website"&amp;". They use the katacoda that website to, uh, to write a tutorial on a tool for them DevOps.")</f>
        <v>In fact, some of them, we asked them to, um, to, if they wanted to do a tutorial on a tool, we ask them to upload that tutorial on, uh, Katacoda.
So we asked the students, uh, to, uh, use another tool if they want to present something that doesn't work on katacoda. So, uh, the way that we solved it was to change the requirements and to change the, uh, change the environment and the tools that they had to use.
So that's the course automation and executable tutorial was, uh, chatter, katacoda, um, website. They use the katacoda that website to, uh, to write a tutorial on a tool for them DevOps.</v>
      </c>
      <c r="D123" s="48" t="str">
        <f>IFERROR(__xludf.DUMMYFUNCTION("""COMPUTED_VALUE"""),"Use the Katacoda website to students create tutorials about tools.
Change the requirements and the tools to solve the issues in environment setup on Katacoda.
The students write a tutorial about a DevOps tool on katacoda to describe the course automatio"&amp;"n.")</f>
        <v>Use the Katacoda website to students create tutorials about tools.
Change the requirements and the tools to solve the issues in environment setup on Katacoda.
The students write a tutorial about a DevOps tool on katacoda to describe the course automation.</v>
      </c>
      <c r="E123" s="48" t="str">
        <f>IFERROR(__xludf.DUMMYFUNCTION("""COMPUTED_VALUE"""),"Use the Katacoda website to students create tutorials about tools. Change the requirements and the tools to solve the issues on Katacoda.")</f>
        <v>Use the Katacoda website to students create tutorials about tools. Change the requirements and the tools to solve the issues on Katacoda.</v>
      </c>
      <c r="F123" s="9" t="s">
        <v>434</v>
      </c>
      <c r="G123" s="9" t="s">
        <v>18</v>
      </c>
      <c r="H123" s="21"/>
    </row>
    <row r="124">
      <c r="A124" s="46">
        <v>193.0</v>
      </c>
      <c r="B124" s="47" t="s">
        <v>191</v>
      </c>
      <c r="C124" s="15" t="str">
        <f>IFERROR(__xludf.DUMMYFUNCTION("filter('Imported Recommendations'!B:D,'Imported Recommendations'!A:A=A124)"),"if it was up to me, I would put some time to laying the background. And I'm talking about basics of DevOps and basics of some tools that are mainly used by everyone.")</f>
        <v>if it was up to me, I would put some time to laying the background. And I'm talking about basics of DevOps and basics of some tools that are mainly used by everyone.</v>
      </c>
      <c r="D124" s="48" t="str">
        <f>IFERROR(__xludf.DUMMYFUNCTION("""COMPUTED_VALUE"""),"Teacher assistants help students with basics of DevOps concepts and tools.")</f>
        <v>Teacher assistants help students with basics of DevOps concepts and tools.</v>
      </c>
      <c r="E124" s="48"/>
      <c r="F124" s="9" t="s">
        <v>497</v>
      </c>
      <c r="G124" s="9" t="s">
        <v>73</v>
      </c>
      <c r="H124" s="21"/>
    </row>
    <row r="125">
      <c r="A125" s="46">
        <v>194.0</v>
      </c>
      <c r="B125" s="47" t="s">
        <v>191</v>
      </c>
      <c r="C125" s="15" t="str">
        <f>IFERROR(__xludf.DUMMYFUNCTION("filter('Imported Recommendations'!B:D,'Imported Recommendations'!A:A=A125)"),"I think the time that we had was actually enough, it was, I think about two months ... Students had, uh, four hours in each week and they had to work on the projects, um, as well.  ...  they had some information, some background about software engineering"&amp;".")</f>
        <v>I think the time that we had was actually enough, it was, I think about two months ... Students had, uh, four hours in each week and they had to work on the projects, um, as well.  ...  they had some information, some background about software engineering.</v>
      </c>
      <c r="D125" s="48" t="str">
        <f>IFERROR(__xludf.DUMMYFUNCTION("""COMPUTED_VALUE"""),"Two months with four hours in each week is enough to students with some background about software engineering.")</f>
        <v>Two months with four hours in each week is enough to students with some background about software engineering.</v>
      </c>
      <c r="E125" s="48"/>
      <c r="F125" s="9" t="s">
        <v>436</v>
      </c>
      <c r="G125" s="9" t="s">
        <v>10</v>
      </c>
      <c r="H125" s="21"/>
    </row>
    <row r="126">
      <c r="A126" s="46">
        <v>196.0</v>
      </c>
      <c r="B126" s="47" t="s">
        <v>191</v>
      </c>
      <c r="C126" s="15" t="str">
        <f>IFERROR(__xludf.DUMMYFUNCTION("filter('Imported Recommendations'!B:D,'Imported Recommendations'!A:A=A126)"),"So it's constantly discussing and constantly sharing in an open way, uh, what's happening, how it's teach, uh, how it's story telling and how, how things are going.")</f>
        <v>So it's constantly discussing and constantly sharing in an open way, uh, what's happening, how it's teach, uh, how it's story telling and how, how things are going.</v>
      </c>
      <c r="D126" s="48" t="str">
        <f>IFERROR(__xludf.DUMMYFUNCTION("""COMPUTED_VALUE"""),"Constantly discuss and share the DevOps teaching in an open way.")</f>
        <v>Constantly discuss and share the DevOps teaching in an open way.</v>
      </c>
      <c r="E126" s="48"/>
      <c r="F126" s="9" t="s">
        <v>498</v>
      </c>
      <c r="G126" s="9" t="s">
        <v>24</v>
      </c>
      <c r="H126" s="21"/>
    </row>
    <row r="127">
      <c r="A127" s="46">
        <v>197.0</v>
      </c>
      <c r="B127" s="47" t="s">
        <v>191</v>
      </c>
      <c r="C127" s="15" t="str">
        <f>IFERROR(__xludf.DUMMYFUNCTION("filter('Imported Recommendations'!B:D,'Imported Recommendations'!A:A=A127)"),"So this guy was really half time IBM and half time in the faculty of engineering.")</f>
        <v>So this guy was really half time IBM and half time in the faculty of engineering.</v>
      </c>
      <c r="D127" s="48" t="str">
        <f>IFERROR(__xludf.DUMMYFUNCTION("""COMPUTED_VALUE"""),"Teachers could be half time industrial and half time faculty.")</f>
        <v>Teachers could be half time industrial and half time faculty.</v>
      </c>
      <c r="E127" s="48"/>
      <c r="F127" s="9" t="s">
        <v>438</v>
      </c>
      <c r="G127" s="9" t="s">
        <v>24</v>
      </c>
      <c r="H127" s="21"/>
    </row>
    <row r="128">
      <c r="A128" s="46">
        <v>199.0</v>
      </c>
      <c r="B128" s="47" t="s">
        <v>191</v>
      </c>
      <c r="C128" s="15" t="str">
        <f>IFERROR(__xludf.DUMMYFUNCTION("filter('Imported Recommendations'!B:D,'Imported Recommendations'!A:A=A128)"),"And it was selected by 80% of the cohort, which usually an elective course is like 20%. So is it like we had a lot of students inside these insights because they all wanted to learn about devops.")</f>
        <v>And it was selected by 80% of the cohort, which usually an elective course is like 20%. So is it like we had a lot of students inside these insights because they all wanted to learn about devops.</v>
      </c>
      <c r="D128" s="48" t="str">
        <f>IFERROR(__xludf.DUMMYFUNCTION("""COMPUTED_VALUE"""),"DevOps course as elective course have students that wanted to learn about DevOps.")</f>
        <v>DevOps course as elective course have students that wanted to learn about DevOps.</v>
      </c>
      <c r="E128" s="48"/>
      <c r="F128" s="9" t="s">
        <v>499</v>
      </c>
      <c r="G128" s="9" t="s">
        <v>10</v>
      </c>
      <c r="H128" s="21"/>
    </row>
    <row r="129">
      <c r="A129" s="46">
        <v>200.0</v>
      </c>
      <c r="B129" s="47" t="s">
        <v>191</v>
      </c>
      <c r="C129" s="15" t="str">
        <f>IFERROR(__xludf.DUMMYFUNCTION("filter('Imported Recommendations'!B:D,'Imported Recommendations'!A:A=A129)"),"what we've done was first to, um, continuously evaluate the teams are they were working on the project.")</f>
        <v>what we've done was first to, um, continuously evaluate the teams are they were working on the project.</v>
      </c>
      <c r="D129" s="48" t="str">
        <f>IFERROR(__xludf.DUMMYFUNCTION("""COMPUTED_VALUE"""),"Make a continuous evaluation of the projects of the students.")</f>
        <v>Make a continuous evaluation of the projects of the students.</v>
      </c>
      <c r="E129" s="48"/>
      <c r="F129" s="9" t="s">
        <v>441</v>
      </c>
      <c r="G129" s="9" t="s">
        <v>29</v>
      </c>
      <c r="H129" s="21"/>
    </row>
  </sheetData>
  <drawing r:id="rId2"/>
  <legacyDrawing r:id="rId3"/>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4.43" defaultRowHeight="15.75"/>
  <cols>
    <col customWidth="1" min="1" max="1" width="5.57"/>
    <col customWidth="1" min="2" max="2" width="13.43"/>
    <col customWidth="1" min="3" max="3" width="23.86"/>
    <col customWidth="1" min="4" max="4" width="100.29"/>
    <col customWidth="1" min="5" max="6" width="59.0"/>
    <col customWidth="1" min="7" max="7" width="28.71"/>
    <col customWidth="1" min="8" max="8" width="35.57"/>
    <col customWidth="1" min="9" max="9" width="29.29"/>
    <col customWidth="1" min="10" max="10" width="27.43"/>
    <col customWidth="1" min="11" max="11" width="35.57"/>
    <col customWidth="1" min="12" max="12" width="27.43"/>
    <col customWidth="1" min="13" max="13" width="17.0"/>
    <col customWidth="1" min="14" max="14" width="16.57"/>
    <col customWidth="1" min="15" max="15" width="14.43"/>
    <col customWidth="1" min="16" max="16" width="27.43"/>
  </cols>
  <sheetData>
    <row r="1">
      <c r="A1" s="1" t="s">
        <v>0</v>
      </c>
      <c r="B1" s="28" t="s">
        <v>151</v>
      </c>
      <c r="C1" s="28" t="s">
        <v>1</v>
      </c>
      <c r="D1" s="3" t="s">
        <v>2</v>
      </c>
      <c r="E1" s="18" t="s">
        <v>3</v>
      </c>
      <c r="F1" s="18" t="s">
        <v>4</v>
      </c>
      <c r="G1" s="6" t="s">
        <v>152</v>
      </c>
      <c r="H1" s="6" t="s">
        <v>153</v>
      </c>
      <c r="I1" s="6" t="s">
        <v>154</v>
      </c>
      <c r="J1" s="57" t="s">
        <v>155</v>
      </c>
      <c r="K1" s="57" t="s">
        <v>156</v>
      </c>
      <c r="L1" s="57" t="s">
        <v>157</v>
      </c>
      <c r="M1" s="6" t="s">
        <v>158</v>
      </c>
      <c r="N1" s="6" t="s">
        <v>159</v>
      </c>
      <c r="O1" s="6" t="s">
        <v>160</v>
      </c>
      <c r="P1" s="6" t="s">
        <v>161</v>
      </c>
    </row>
    <row r="2">
      <c r="A2" s="7">
        <v>1.0</v>
      </c>
      <c r="B2" s="8" t="s">
        <v>162</v>
      </c>
      <c r="C2" s="8" t="s">
        <v>191</v>
      </c>
      <c r="D2" s="8" t="str">
        <f>IFERROR(__xludf.DUMMYFUNCTION("filter('Imported Recommendations'!B:D,'Imported Recommendations'!A:A=A2)"),"Amazon sometimes has some agreements, which I think now that the Federal Institute is doing, that it makes this student accounts available that they could test it for a period.
Most of these tools have free layers, in the case of Cloud providers. All thr"&amp;"ee of the main ones have an education-oriented version, and that is very good. This for the teacher is a very great facilitator.
I recommend [...] Moving all teaching to a cloud. [...] contact AWS. They have a student program, or Google, with Ali Baba, A"&amp;"zure, and IBM Cloud.
There were times when I combined a set of free services to be used, Heroku. I combined some free services to run these things. I already had a partnership to use closed [...] there is Red Hat Academy, right, where you can use OpenShi"&amp;"ft and everything else in the context of the effort you want to make. So, this kind of thing helps a lot.
They have a real experience with respect to Amazon, it's pretty simple, and you can get a free Amazon, you just have to register. ")</f>
        <v>Amazon sometimes has some agreements, which I think now that the Federal Institute is doing, that it makes this student accounts available that they could test it for a period.
Most of these tools have free layers, in the case of Cloud providers. All three of the main ones have an education-oriented version, and that is very good. This for the teacher is a very great facilitator.
I recommend [...] Moving all teaching to a cloud. [...] contact AWS. They have a student program, or Google, with Ali Baba, Azure, and IBM Cloud.
There were times when I combined a set of free services to be used, Heroku. I combined some free services to run these things. I already had a partnership to use closed [...] there is Red Hat Academy, right, where you can use OpenShift and everything else in the context of the effort you want to make. So, this kind of thing helps a lot.
They have a real experience with respect to Amazon, it's pretty simple, and you can get a free Amazon, you just have to register. </v>
      </c>
      <c r="E2" s="8" t="str">
        <f>IFERROR(__xludf.DUMMYFUNCTION("""COMPUTED_VALUE"""),"Cloud service companies such as AWS, through a contract with an educational institution, can provide the computing resource for the student's use.
All three main cloud providers have an education-oriented version.
Use student program cloud services like"&amp;" AWS, Google, Azure or IBM Cloud to eliminate hardware and network limitation for students.
Use private cloud services through academia-industry partnerships such as Red Hat Academy.
Amazon cloud provider has a free plan helpful to students.")</f>
        <v>Cloud service companies such as AWS, through a contract with an educational institution, can provide the computing resource for the student's use.
All three main cloud providers have an education-oriented version.
Use student program cloud services like AWS, Google, Azure or IBM Cloud to eliminate hardware and network limitation for students.
Use private cloud services through academia-industry partnerships such as Red Hat Academy.
Amazon cloud provider has a free plan helpful to students.</v>
      </c>
      <c r="F2" s="8" t="str">
        <f>IFERROR(__xludf.DUMMYFUNCTION("""COMPUTED_VALUE"""),"Use cloud provider services with students plans.")</f>
        <v>Use cloud provider services with students plans.</v>
      </c>
      <c r="G2" s="25" t="s">
        <v>192</v>
      </c>
      <c r="H2" s="9" t="s">
        <v>18</v>
      </c>
      <c r="I2" s="25"/>
      <c r="J2" s="33" t="s">
        <v>192</v>
      </c>
      <c r="K2" s="30" t="s">
        <v>18</v>
      </c>
      <c r="L2" s="31"/>
      <c r="M2" s="6" t="s">
        <v>163</v>
      </c>
      <c r="N2" s="6" t="s">
        <v>163</v>
      </c>
      <c r="O2" s="25"/>
      <c r="P2" s="6"/>
    </row>
    <row r="3">
      <c r="A3" s="8">
        <v>2.0</v>
      </c>
      <c r="B3" s="8" t="s">
        <v>162</v>
      </c>
      <c r="C3" s="8" t="s">
        <v>191</v>
      </c>
      <c r="D3" s="8" t="str">
        <f>IFERROR(__xludf.DUMMYFUNCTION("filter('Imported Recommendations'!B:D,'Imported Recommendations'!A:A=A3)"),"Set up scenarios that they can run on their computer.
Sometimes give up certain things you would like to teach [...] to the detriment of the student not having the ability to perform.
Solutions that the student can run on his computer. [...] adapt to so"&amp;"mething perhaps with less computational demand.")</f>
        <v>Set up scenarios that they can run on their computer.
Sometimes give up certain things you would like to teach [...] to the detriment of the student not having the ability to perform.
Solutions that the student can run on his computer. [...] adapt to something perhaps with less computational demand.</v>
      </c>
      <c r="E3" s="8" t="str">
        <f>IFERROR(__xludf.DUMMYFUNCTION("""COMPUTED_VALUE"""),"Build scenarios that students can run on their own computer.
Give up teaching content that the student cannot run on their machine.
Take advantage of the student's own computational resource and adapt to something that requires less computational demand"&amp;".")</f>
        <v>Build scenarios that students can run on their own computer.
Give up teaching content that the student cannot run on their machine.
Take advantage of the student's own computational resource and adapt to something that requires less computational demand.</v>
      </c>
      <c r="F3" s="8" t="str">
        <f>IFERROR(__xludf.DUMMYFUNCTION("""COMPUTED_VALUE"""),"Build scenarios that students can run on their own computer.")</f>
        <v>Build scenarios that students can run on their own computer.</v>
      </c>
      <c r="G3" s="25" t="s">
        <v>193</v>
      </c>
      <c r="H3" s="9" t="s">
        <v>12</v>
      </c>
      <c r="I3" s="9"/>
      <c r="J3" s="33" t="s">
        <v>193</v>
      </c>
      <c r="K3" s="30" t="s">
        <v>12</v>
      </c>
      <c r="L3" s="31"/>
      <c r="M3" s="6"/>
      <c r="N3" s="6"/>
      <c r="O3" s="25"/>
      <c r="P3" s="6"/>
    </row>
    <row r="4" ht="115.5" customHeight="1">
      <c r="A4" s="7">
        <v>4.0</v>
      </c>
      <c r="B4" s="8" t="s">
        <v>162</v>
      </c>
      <c r="C4" s="8" t="s">
        <v>191</v>
      </c>
      <c r="D4" s="8" t="str">
        <f>IFERROR(__xludf.DUMMYFUNCTION("filter('Imported Recommendations'!B:D,'Imported Recommendations'!A:A=A4)"),"This was somehow harmonized.")</f>
        <v>This was somehow harmonized.</v>
      </c>
      <c r="E4" s="8" t="str">
        <f>IFERROR(__xludf.DUMMYFUNCTION("""COMPUTED_VALUE"""),"Define what are the devops concepts.")</f>
        <v>Define what are the devops concepts.</v>
      </c>
      <c r="F4" s="7"/>
      <c r="G4" s="25" t="s">
        <v>194</v>
      </c>
      <c r="H4" s="19" t="s">
        <v>16</v>
      </c>
      <c r="I4" s="9"/>
      <c r="J4" s="33" t="s">
        <v>194</v>
      </c>
      <c r="K4" s="58" t="s">
        <v>16</v>
      </c>
      <c r="L4" s="59"/>
      <c r="M4" s="6"/>
      <c r="N4" s="6"/>
      <c r="O4" s="25"/>
      <c r="P4" s="6"/>
    </row>
    <row r="5">
      <c r="A5" s="7">
        <v>5.0</v>
      </c>
      <c r="B5" s="8" t="s">
        <v>162</v>
      </c>
      <c r="C5" s="8" t="s">
        <v>191</v>
      </c>
      <c r="D5" s="8" t="str">
        <f>IFERROR(__xludf.DUMMYFUNCTION("filter('Imported Recommendations'!B:D,'Imported Recommendations'!A:A=A5)"),"You can't evaluate with proof; you have to assess with projects with some activity.
With some practical activity.
Taking a test, simply evaluating him, is even a way of doing this, but in this more practical approach, I believe that the student is bette"&amp;"r prepared and we are able to evaluate, in fact, the most important aspects of his education [.. .] If he is really acquiring that knowledge, what we really wanted to convey in that particular topic, in that particular subject.
We have adopted project-ba"&amp;"sed assessment a lot [...] the assessment of this project puts a student in his context to test in practice or simulate, in practice, a little of what he saw during classes.
From a practical point of view, I simply pass on the exercise.
I think that pro"&amp;"of would not be a nice deal, but it would be more or less certification from AWS, for example, from Azure, Google, and that is not the purpose. [...] Taking the test, written, open, I do not like it, I do not like the test model as an assessment, I do not"&amp;" think it is cool, I prefer to work with more practical things.
You propose a practical challenge to solve a problem. I think the students end up learning more.")</f>
        <v>You can't evaluate with proof; you have to assess with projects with some activity.
With some practical activity.
Taking a test, simply evaluating him, is even a way of doing this, but in this more practical approach, I believe that the student is better prepared and we are able to evaluate, in fact, the most important aspects of his education [.. .] If he is really acquiring that knowledge, what we really wanted to convey in that particular topic, in that particular subject.
We have adopted project-based assessment a lot [...] the assessment of this project puts a student in his context to test in practice or simulate, in practice, a little of what he saw during classes.
From a practical point of view, I simply pass on the exercise.
I think that proof would not be a nice deal, but it would be more or less certification from AWS, for example, from Azure, Google, and that is not the purpose. [...] Taking the test, written, open, I do not like it, I do not like the test model as an assessment, I do not think it is cool, I prefer to work with more practical things.
You propose a practical challenge to solve a problem. I think the students end up learning more.</v>
      </c>
      <c r="E5" s="8" t="str">
        <f>IFERROR(__xludf.DUMMYFUNCTION("""COMPUTED_VALUE"""),"You can't assess students' DevOps learning with a test, it's necessary to assess with projects, with some kind of hands-on activity.
DevOps teaching with practical activities.
Prefer practical assessments to written tests in order to verify student lear"&amp;"ning on the subject.
Prefer assessment based on practical projects.
Evaluate through practical exercises.
The assessment must be practical.
Evaluate through practical challenges.")</f>
        <v>You can't assess students' DevOps learning with a test, it's necessary to assess with projects, with some kind of hands-on activity.
DevOps teaching with practical activities.
Prefer practical assessments to written tests in order to verify student learning on the subject.
Prefer assessment based on practical projects.
Evaluate through practical exercises.
The assessment must be practical.
Evaluate through practical challenges.</v>
      </c>
      <c r="F5" s="8" t="str">
        <f>IFERROR(__xludf.DUMMYFUNCTION("""COMPUTED_VALUE"""),"The assess should be with hands-on activity.")</f>
        <v>The assess should be with hands-on activity.</v>
      </c>
      <c r="G5" s="25" t="s">
        <v>195</v>
      </c>
      <c r="H5" s="9" t="s">
        <v>29</v>
      </c>
      <c r="I5" s="9"/>
      <c r="J5" s="33" t="s">
        <v>195</v>
      </c>
      <c r="K5" s="30" t="s">
        <v>29</v>
      </c>
      <c r="L5" s="31"/>
      <c r="M5" s="6"/>
      <c r="N5" s="6"/>
      <c r="O5" s="25"/>
      <c r="P5" s="6"/>
    </row>
    <row r="6" ht="221.25" customHeight="1">
      <c r="A6" s="7">
        <v>7.0</v>
      </c>
      <c r="B6" s="8" t="s">
        <v>162</v>
      </c>
      <c r="C6" s="8" t="s">
        <v>191</v>
      </c>
      <c r="D6" s="8" t="str">
        <f>IFERROR(__xludf.DUMMYFUNCTION("filter('Imported Recommendations'!B:D,'Imported Recommendations'!A:A=A6)"),"I think a potential candidate is GNS3.")</f>
        <v>I think a potential candidate is GNS3.</v>
      </c>
      <c r="E6" s="8" t="str">
        <f>IFERROR(__xludf.DUMMYFUNCTION("""COMPUTED_VALUE"""),"The GNS3 tool is a potential candidate as a tool for teaching DevOps.")</f>
        <v>The GNS3 tool is a potential candidate as a tool for teaching DevOps.</v>
      </c>
      <c r="F6" s="7"/>
      <c r="G6" s="25" t="s">
        <v>196</v>
      </c>
      <c r="H6" s="9" t="s">
        <v>18</v>
      </c>
      <c r="I6" s="9"/>
      <c r="J6" s="33" t="s">
        <v>196</v>
      </c>
      <c r="K6" s="30" t="s">
        <v>18</v>
      </c>
      <c r="L6" s="31"/>
      <c r="M6" s="6"/>
      <c r="N6" s="6"/>
      <c r="O6" s="25"/>
      <c r="P6" s="6"/>
    </row>
    <row r="7">
      <c r="A7" s="7">
        <v>8.0</v>
      </c>
      <c r="B7" s="8" t="s">
        <v>162</v>
      </c>
      <c r="C7" s="8" t="s">
        <v>191</v>
      </c>
      <c r="D7" s="8" t="str">
        <f>IFERROR(__xludf.DUMMYFUNCTION("filter('Imported Recommendations'!B:D,'Imported Recommendations'!A:A=A7)"),"All the DevOps tooling behind it like [...] the ansible or terraform here, or any of those other flavors of automation and deployment and stuff like that you can use.")</f>
        <v>All the DevOps tooling behind it like [...] the ansible or terraform here, or any of those other flavors of automation and deployment and stuff like that you can use.</v>
      </c>
      <c r="E7" s="8" t="str">
        <f>IFERROR(__xludf.DUMMYFUNCTION("""COMPUTED_VALUE"""),"Ansible as deployment automation tools can be used in teaching DevOps.")</f>
        <v>Ansible as deployment automation tools can be used in teaching DevOps.</v>
      </c>
      <c r="F7" s="7"/>
      <c r="G7" s="25" t="s">
        <v>197</v>
      </c>
      <c r="H7" s="9" t="s">
        <v>18</v>
      </c>
      <c r="I7" s="9"/>
      <c r="J7" s="33" t="s">
        <v>197</v>
      </c>
      <c r="K7" s="30" t="s">
        <v>18</v>
      </c>
      <c r="L7" s="31"/>
      <c r="M7" s="6"/>
      <c r="N7" s="6"/>
      <c r="O7" s="25"/>
      <c r="P7" s="6"/>
    </row>
    <row r="8">
      <c r="A8" s="7">
        <v>9.0</v>
      </c>
      <c r="B8" s="8" t="s">
        <v>162</v>
      </c>
      <c r="C8" s="8" t="s">
        <v>191</v>
      </c>
      <c r="D8" s="8" t="str">
        <f>IFERROR(__xludf.DUMMYFUNCTION("filter('Imported Recommendations'!B:D,'Imported Recommendations'!A:A=A8)"),"For me, the approach, from the point of view of the teaching method, would be based on projects and practical activities throughout the course.
It will always be project-based.
Being able to evaluate the actions has to be a script of practical actions t"&amp;"hat the student has to carry out, and you will evaluate while that student is doing that there.
So, I think it's more fruitful, didactically, pedagogically, teaching in this way, with the most practical approach.
Development classes [...] want to unders"&amp;"tand better the issue of DevOps related to continuous delivery processes or how it translates into practice and into delivery tools and models that streamline application building.
Teach DevOps [...] how it applies in practice.
I cannot see a discipline"&amp;", a DevOps teaching that is not hands-on [...] That is not getting hands-on and making people at least exercise the tools.
There is much technology on the market [...] you cannot cover everything, right? However, at the same time, just giving the concept"&amp;", I do not think it is enough. So you have to make a choice. I will teach this here.
It needed to be some practical project [...] Not to be just in the theory part.
You cannot teach DevOps only in theory. You have to experience it. You have to have prac"&amp;"tical experimentation for that.
Build this entire journey based on practical, incremental activities or missions that are all correlated so that the lessons learned during these practical activities and revisiting the theory of knowledge can flow into a "&amp;"project that involves a set of decision-making, which also in addition to the subjects theoretically covered in the room.
I've tried to be very incremental. Um, first teach the value of tests, then write the script to build everything on your desk. You d"&amp;"on't need any you're alone. ... Then break it down into several components and build them one by one, then put an Artifactory in the middle. So you have the dependency. ... So you can imagine that each people in the group is like a different team in the w"&amp;"orld.")</f>
        <v>For me, the approach, from the point of view of the teaching method, would be based on projects and practical activities throughout the course.
It will always be project-based.
Being able to evaluate the actions has to be a script of practical actions that the student has to carry out, and you will evaluate while that student is doing that there.
So, I think it's more fruitful, didactically, pedagogically, teaching in this way, with the most practical approach.
Development classes [...] want to understand better the issue of DevOps related to continuous delivery processes or how it translates into practice and into delivery tools and models that streamline application building.
Teach DevOps [...] how it applies in practice.
I cannot see a discipline, a DevOps teaching that is not hands-on [...] That is not getting hands-on and making people at least exercise the tools.
There is much technology on the market [...] you cannot cover everything, right? However, at the same time, just giving the concept, I do not think it is enough. So you have to make a choice. I will teach this here.
It needed to be some practical project [...] Not to be just in the theory part.
You cannot teach DevOps only in theory. You have to experience it. You have to have practical experimentation for that.
Build this entire journey based on practical, incremental activities or missions that are all correlated so that the lessons learned during these practical activities and revisiting the theory of knowledge can flow into a project that involves a set of decision-making, which also in addition to the subjects theoretically covered in the room.
I've tried to be very incremental. Um, first teach the value of tests, then write the script to build everything on your desk. You don't need any you're alone. ... Then break it down into several components and build them one by one, then put an Artifactory in the middle. So you have the dependency. ... So you can imagine that each people in the group is like a different team in the world.</v>
      </c>
      <c r="E8" s="8" t="str">
        <f>IFERROR(__xludf.DUMMYFUNCTION("""COMPUTED_VALUE"""),"Incremental teaching method based on projects and practical activities.
DevOps teaching should be project-based.
Create script for practical devops activities.
Use a practical approach.
Teach continuous delivery in a more practical context for develop"&amp;"ment classes, using tools and delivery models.
Teach devops in a practical way by applying it.
DevOps disciplines should use hands-on activities.
Teaching must be practical, not just theoretical.
Teaching needs a practical project, not just theoretica"&amp;"l teaching.
Teaching devops should be practical, not just theoretical.
Build an incremental teaching journey based on activities and missions, always combining practical activities with theoretical knowledge.
Try to be very incremental. Everything on y"&amp;"our desk first. Splits into several components. Build them one by one. Start working in group.")</f>
        <v>Incremental teaching method based on projects and practical activities.
DevOps teaching should be project-based.
Create script for practical devops activities.
Use a practical approach.
Teach continuous delivery in a more practical context for development classes, using tools and delivery models.
Teach devops in a practical way by applying it.
DevOps disciplines should use hands-on activities.
Teaching must be practical, not just theoretical.
Teaching needs a practical project, not just theoretical teaching.
Teaching devops should be practical, not just theoretical.
Build an incremental teaching journey based on activities and missions, always combining practical activities with theoretical knowledge.
Try to be very incremental. Everything on your desk first. Splits into several components. Build them one by one. Start working in group.</v>
      </c>
      <c r="F8" s="8" t="str">
        <f>IFERROR(__xludf.DUMMYFUNCTION("""COMPUTED_VALUE"""),"Teaching method based on practical activities.")</f>
        <v>Teaching method based on practical activities.</v>
      </c>
      <c r="G8" s="25" t="s">
        <v>198</v>
      </c>
      <c r="H8" s="9" t="s">
        <v>73</v>
      </c>
      <c r="I8" s="9"/>
      <c r="J8" s="33" t="s">
        <v>198</v>
      </c>
      <c r="K8" s="30" t="s">
        <v>73</v>
      </c>
      <c r="L8" s="31"/>
      <c r="M8" s="6"/>
      <c r="N8" s="6"/>
      <c r="O8" s="25"/>
      <c r="P8" s="6"/>
    </row>
    <row r="9" ht="134.25" customHeight="1">
      <c r="A9" s="7">
        <v>10.0</v>
      </c>
      <c r="B9" s="8" t="s">
        <v>162</v>
      </c>
      <c r="C9" s="8" t="s">
        <v>191</v>
      </c>
      <c r="D9" s="8" t="str">
        <f>IFERROR(__xludf.DUMMYFUNCTION("filter('Imported Recommendations'!B:D,'Imported Recommendations'!A:A=A9)"),"The practice that should occupy eighty percent of the class there, at least.
The practical discipline has a balance between concept and practice, with the practice being the most important.
The concepts need to be objectively presented, but there is not"&amp;" much discussion about.
My classes are about an hour lecture. And then the other hour and a half is lab it's hands-on, you know, I give them a concept, let's go do it. And by doing it, that's where it really sticks.
First year I did a lot of concept on "&amp;"the whiteboard, um, and then went to exercise for the students to practice. It's not efficient.
That's why we build a class where we have a ratio of about one hour of classroom concept teaching on the whiteboard or something at three hours where they act"&amp;"ually type on the keyboard of practical session. I think that's important. Otherwise they don't see it. 
So all of us, we covered a bit in really in the course, but also the, I mean, the lectures, but also they practice that in the lab.")</f>
        <v>The practice that should occupy eighty percent of the class there, at least.
The practical discipline has a balance between concept and practice, with the practice being the most important.
The concepts need to be objectively presented, but there is not much discussion about.
My classes are about an hour lecture. And then the other hour and a half is lab it's hands-on, you know, I give them a concept, let's go do it. And by doing it, that's where it really sticks.
First year I did a lot of concept on the whiteboard, um, and then went to exercise for the students to practice. It's not efficient.
That's why we build a class where we have a ratio of about one hour of classroom concept teaching on the whiteboard or something at three hours where they actually type on the keyboard of practical session. I think that's important. Otherwise they don't see it. 
So all of us, we covered a bit in really in the course, but also the, I mean, the lectures, but also they practice that in the lab.</v>
      </c>
      <c r="E9" s="8" t="str">
        <f>IFERROR(__xludf.DUMMYFUNCTION("""COMPUTED_VALUE"""),"The practical part must occupy at least 80% of the class.
Balance the presentation of the concepts and the practicals.
Do not delve so deeply into discussions about the theoretical part of devops.
Teach each DevOps concept using one hour lecture follow"&amp;"ed by one hour and a half lab hands-on.
Is not efficient to have more theoretical part than practice part during the course.
One hour of classrom concept teaching and three hours of practical session.
Make use of labs and lectures.")</f>
        <v>The practical part must occupy at least 80% of the class.
Balance the presentation of the concepts and the practicals.
Do not delve so deeply into discussions about the theoretical part of devops.
Teach each DevOps concept using one hour lecture followed by one hour and a half lab hands-on.
Is not efficient to have more theoretical part than practice part during the course.
One hour of classrom concept teaching and three hours of practical session.
Make use of labs and lectures.</v>
      </c>
      <c r="F9" s="8" t="str">
        <f>IFERROR(__xludf.DUMMYFUNCTION("""COMPUTED_VALUE"""),"Focus more on the practical part compared to the theoretical part of DevOps.")</f>
        <v>Focus more on the practical part compared to the theoretical part of DevOps.</v>
      </c>
      <c r="G9" s="25" t="s">
        <v>200</v>
      </c>
      <c r="H9" s="9" t="s">
        <v>73</v>
      </c>
      <c r="I9" s="9"/>
      <c r="J9" s="33" t="s">
        <v>200</v>
      </c>
      <c r="K9" s="30" t="s">
        <v>73</v>
      </c>
      <c r="L9" s="31"/>
      <c r="M9" s="6"/>
      <c r="N9" s="6"/>
      <c r="O9" s="25"/>
      <c r="P9" s="6"/>
    </row>
    <row r="10">
      <c r="A10" s="7">
        <v>11.0</v>
      </c>
      <c r="B10" s="8" t="s">
        <v>162</v>
      </c>
      <c r="C10" s="8" t="s">
        <v>191</v>
      </c>
      <c r="D10" s="8" t="str">
        <f>IFERROR(__xludf.DUMMYFUNCTION("filter('Imported Recommendations'!B:D,'Imported Recommendations'!A:A=A10)"),"The strategy we used was to divide the workload in half, divide the workload in half [...] and occupy half of this workload with content that is more suited to the area of networks [...] And half of this with the one with content that has more aptitude fo"&amp;"r the programming area.
I believe that for DevOps, you have this balance [...] if you go to a course, that the focus is more development [...] Taking students there to see the other side [...] See Ops and the guys over there from Ops when you can have th"&amp;"e opportunity to see more of the Dev too.")</f>
        <v>The strategy we used was to divide the workload in half, divide the workload in half [...] and occupy half of this workload with content that is more suited to the area of networks [...] And half of this with the one with content that has more aptitude for the programming area.
I believe that for DevOps, you have this balance [...] if you go to a course, that the focus is more development [...] Taking students there to see the other side [...] See Ops and the guys over there from Ops when you can have the opportunity to see more of the Dev too.</v>
      </c>
      <c r="E10" s="8" t="str">
        <f>IFERROR(__xludf.DUMMYFUNCTION("""COMPUTED_VALUE"""),"Divide the workload of subjects that are related to networking and programming.
Seeking balance in teaching development and operation.")</f>
        <v>Divide the workload of subjects that are related to networking and programming.
Seeking balance in teaching development and operation.</v>
      </c>
      <c r="F10" s="8" t="str">
        <f>IFERROR(__xludf.DUMMYFUNCTION("""COMPUTED_VALUE"""),"Divide the workload of subjects that are related to networking and programming.")</f>
        <v>Divide the workload of subjects that are related to networking and programming.</v>
      </c>
      <c r="G10" s="25" t="s">
        <v>201</v>
      </c>
      <c r="H10" s="9" t="s">
        <v>10</v>
      </c>
      <c r="I10" s="9"/>
      <c r="J10" s="33" t="s">
        <v>201</v>
      </c>
      <c r="K10" s="30" t="s">
        <v>10</v>
      </c>
      <c r="L10" s="31"/>
      <c r="M10" s="6"/>
      <c r="N10" s="6"/>
      <c r="O10" s="25"/>
      <c r="P10" s="6"/>
    </row>
    <row r="11">
      <c r="A11" s="7">
        <v>12.0</v>
      </c>
      <c r="B11" s="8" t="s">
        <v>162</v>
      </c>
      <c r="C11" s="8" t="s">
        <v>191</v>
      </c>
      <c r="D11" s="8" t="str">
        <f>IFERROR(__xludf.DUMMYFUNCTION("filter('Imported Recommendations'!B:D,'Imported Recommendations'!A:A=A11)"),"I had to delegate this responsibility to the student.
When you do not have resources in the structure you are linked to, as an institution, you have to delegate that the student really finds his ways.")</f>
        <v>I had to delegate this responsibility to the student.
When you do not have resources in the structure you are linked to, as an institution, you have to delegate that the student really finds his ways.</v>
      </c>
      <c r="E11" s="8" t="str">
        <f>IFERROR(__xludf.DUMMYFUNCTION("""COMPUTED_VALUE"""),"Delegating the responsibility for finding adequate infrastructure for the student when it is not possible to obtain the necessary resources from the institution.
Delegate responsibility to the student.")</f>
        <v>Delegating the responsibility for finding adequate infrastructure for the student when it is not possible to obtain the necessary resources from the institution.
Delegate responsibility to the student.</v>
      </c>
      <c r="F11" s="8" t="str">
        <f>IFERROR(__xludf.DUMMYFUNCTION("""COMPUTED_VALUE"""),"Delegate the responsibility for finding adequate infrastructure for the student.")</f>
        <v>Delegate the responsibility for finding adequate infrastructure for the student.</v>
      </c>
      <c r="G11" s="25" t="s">
        <v>202</v>
      </c>
      <c r="H11" s="9" t="s">
        <v>12</v>
      </c>
      <c r="I11" s="6"/>
      <c r="J11" s="33" t="s">
        <v>202</v>
      </c>
      <c r="K11" s="30" t="s">
        <v>12</v>
      </c>
      <c r="L11" s="31"/>
      <c r="M11" s="6"/>
      <c r="N11" s="6"/>
      <c r="O11" s="25"/>
      <c r="P11" s="6"/>
    </row>
    <row r="12">
      <c r="A12" s="7">
        <v>13.0</v>
      </c>
      <c r="B12" s="8" t="s">
        <v>162</v>
      </c>
      <c r="C12" s="8" t="s">
        <v>191</v>
      </c>
      <c r="D12" s="8" t="str">
        <f>IFERROR(__xludf.DUMMYFUNCTION("filter('Imported Recommendations'!B:D,'Imported Recommendations'!A:A=A12)"),"I like to base it on a textbook because I think a sequence is evident for the students, right? We can even choose some chapters, even making an essential part of this material [...] we research several things to set up our class. Still, having a backbone "&amp;"formed by literature I think it's always important.
 I was looking for books to use. And, um, you know, I started to look at the books from Jane Kim. Um, and essentially I found this DevOps handbook, which has really not written as a textbook, but it's, "&amp;"it covers it's, it's built around the three ways of DevOps. So the first way is the notion of flow. The second way is the notion of, um, feedback. And the third way is continual learning and experimentation.
So this book [DevOps Handbook] is very well do"&amp;"ne in this sense [...] it goes to the foundations of devops and gets to the different key ideas, right?
The lectures, um, for the first part it's okay. I think for, until the midterm to have just get essentially through the book.
The book has a lot of c"&amp;"ase study and examples like Facebook, Google, LinkedIn, uh, Netflix.")</f>
        <v>I like to base it on a textbook because I think a sequence is evident for the students, right? We can even choose some chapters, even making an essential part of this material [...] we research several things to set up our class. Still, having a backbone formed by literature I think it's always important.
 I was looking for books to use. And, um, you know, I started to look at the books from Jane Kim. Um, and essentially I found this DevOps handbook, which has really not written as a textbook, but it's, it covers it's, it's built around the three ways of DevOps. So the first way is the notion of flow. The second way is the notion of, um, feedback. And the third way is continual learning and experimentation.
So this book [DevOps Handbook] is very well done in this sense [...] it goes to the foundations of devops and gets to the different key ideas, right?
The lectures, um, for the first part it's okay. I think for, until the midterm to have just get essentially through the book.
The book has a lot of case study and examples like Facebook, Google, LinkedIn, uh, Netflix.</v>
      </c>
      <c r="E12" s="8" t="str">
        <f>IFERROR(__xludf.DUMMYFUNCTION("""COMPUTED_VALUE"""),"Using a textbook as a basis and to give students a better idea of the sequence of the course contents.
Take Gene Kim's book DevOps Handbook as a reference to prepare a DevOps class.
Devops Handbook goes to the foundations of DevOps and gets to the diffe"&amp;"rent key ideas.
Use DevOps Handbook to create the lectures.
Find books like DevOps Handbook that have industrial case studies about Facebook, Google, etc.")</f>
        <v>Using a textbook as a basis and to give students a better idea of the sequence of the course contents.
Take Gene Kim's book DevOps Handbook as a reference to prepare a DevOps class.
Devops Handbook goes to the foundations of DevOps and gets to the different key ideas.
Use DevOps Handbook to create the lectures.
Find books like DevOps Handbook that have industrial case studies about Facebook, Google, etc.</v>
      </c>
      <c r="F12" s="8" t="str">
        <f>IFERROR(__xludf.DUMMYFUNCTION("""COMPUTED_VALUE"""),"Use a textbook as a basis to guide the course classes.")</f>
        <v>Use a textbook as a basis to guide the course classes.</v>
      </c>
      <c r="G12" s="25" t="s">
        <v>203</v>
      </c>
      <c r="H12" s="9" t="s">
        <v>24</v>
      </c>
      <c r="I12" s="9"/>
      <c r="J12" s="33" t="s">
        <v>203</v>
      </c>
      <c r="K12" s="30" t="s">
        <v>24</v>
      </c>
      <c r="L12" s="31"/>
      <c r="M12" s="6"/>
      <c r="N12" s="6"/>
      <c r="O12" s="25"/>
      <c r="P12" s="6"/>
    </row>
    <row r="13">
      <c r="A13" s="7">
        <v>14.0</v>
      </c>
      <c r="B13" s="8" t="s">
        <v>162</v>
      </c>
      <c r="C13" s="8" t="s">
        <v>191</v>
      </c>
      <c r="D13" s="8" t="str">
        <f>IFERROR(__xludf.DUMMYFUNCTION("filter('Imported Recommendations'!B:D,'Imported Recommendations'!A:A=A13)"),"There are a [...] series of features to be developed, and [...] the student has been trained for this. But other aspects related more to putting the system into production, to be careful [...] after the procedure is operational, not focusing on factors re"&amp;"lated to the system's functionalities anymore, but directing to non-functional aspects, then the students they need to have a better sense of it.")</f>
        <v>There are a [...] series of features to be developed, and [...] the student has been trained for this. But other aspects related more to putting the system into production, to be careful [...] after the procedure is operational, not focusing on factors related to the system's functionalities anymore, but directing to non-functional aspects, then the students they need to have a better sense of it.</v>
      </c>
      <c r="E13" s="8" t="str">
        <f>IFERROR(__xludf.DUMMYFUNCTION("""COMPUTED_VALUE"""),"Work on improving students' skills related to non-functional requirements.")</f>
        <v>Work on improving students' skills related to non-functional requirements.</v>
      </c>
      <c r="F13" s="7"/>
      <c r="G13" s="25" t="s">
        <v>204</v>
      </c>
      <c r="H13" s="9" t="s">
        <v>10</v>
      </c>
      <c r="I13" s="9"/>
      <c r="J13" s="33" t="s">
        <v>204</v>
      </c>
      <c r="K13" s="58" t="s">
        <v>10</v>
      </c>
      <c r="L13" s="58" t="s">
        <v>500</v>
      </c>
      <c r="M13" s="6"/>
      <c r="N13" s="6"/>
      <c r="O13" s="25"/>
      <c r="P13" s="6"/>
    </row>
    <row r="14">
      <c r="A14" s="7">
        <v>15.0</v>
      </c>
      <c r="B14" s="8" t="s">
        <v>162</v>
      </c>
      <c r="C14" s="8" t="s">
        <v>191</v>
      </c>
      <c r="D14" s="8" t="str">
        <f>IFERROR(__xludf.DUMMYFUNCTION("filter('Imported Recommendations'!B:D,'Imported Recommendations'!A:A=A14)"),"The microservices tool is one of the tools I have been using with them. A device, an environment in which we put the students' solutions there and they can see more of the Continuous Integration part there.
These systems being made available and then wit"&amp;"h the creation of the DevOps tool from the IFRN cloud, the microservices system there, it was then possible for us to have this more practical view of the process as a whole. So, I have adopted it in all semesters, including, I have always asked students "&amp;"to work with this tool.
Having this system already in the air, I also believe that it is another gain, why? Because as you advance in the themes, you can already put ""look, this aspect here that we are working on, you will have already contemplated in t"&amp;"he system through this, this and this"".
When it comes to teaching devops concepts, like, continuous integration, there will be a tool.")</f>
        <v>The microservices tool is one of the tools I have been using with them. A device, an environment in which we put the students' solutions there and they can see more of the Continuous Integration part there.
These systems being made available and then with the creation of the DevOps tool from the IFRN cloud, the microservices system there, it was then possible for us to have this more practical view of the process as a whole. So, I have adopted it in all semesters, including, I have always asked students to work with this tool.
Having this system already in the air, I also believe that it is another gain, why? Because as you advance in the themes, you can already put "look, this aspect here that we are working on, you will have already contemplated in the system through this, this and this".
When it comes to teaching devops concepts, like, continuous integration, there will be a tool.</v>
      </c>
      <c r="E14" s="8" t="str">
        <f>IFERROR(__xludf.DUMMYFUNCTION("""COMPUTED_VALUE"""),"Use of a learning tool to facilitate understanding of the concept of Continuous Integration.
Using a learning tool helps in DevOps teaching.
Using a learning tool helps in DevOps teaching.
Use tools while explaining the continuous integration concept.")</f>
        <v>Use of a learning tool to facilitate understanding of the concept of Continuous Integration.
Using a learning tool helps in DevOps teaching.
Using a learning tool helps in DevOps teaching.
Use tools while explaining the continuous integration concept.</v>
      </c>
      <c r="F14" s="8" t="str">
        <f>IFERROR(__xludf.DUMMYFUNCTION("""COMPUTED_VALUE"""),"Use a learning tool to easy the DevOps teaching.")</f>
        <v>Use a learning tool to easy the DevOps teaching.</v>
      </c>
      <c r="G14" s="25" t="s">
        <v>205</v>
      </c>
      <c r="H14" s="9" t="s">
        <v>18</v>
      </c>
      <c r="I14" s="9"/>
      <c r="J14" s="33" t="s">
        <v>443</v>
      </c>
      <c r="K14" s="33" t="s">
        <v>18</v>
      </c>
      <c r="L14" s="60"/>
      <c r="M14" s="6" t="s">
        <v>163</v>
      </c>
      <c r="N14" s="6" t="s">
        <v>163</v>
      </c>
      <c r="O14" s="25"/>
      <c r="P14" s="6"/>
    </row>
    <row r="15">
      <c r="A15" s="7">
        <v>16.0</v>
      </c>
      <c r="B15" s="8" t="s">
        <v>165</v>
      </c>
      <c r="C15" s="8" t="s">
        <v>191</v>
      </c>
      <c r="D15" s="8" t="str">
        <f>IFERROR(__xludf.DUMMYFUNCTION("filter('Imported Recommendations'!B:D,'Imported Recommendations'!A:A=A15)"),"The importance of actually having a discipline like this in the curriculum talking about these themes.
We are going through a matrix reformulation process,[...] this part of the workload and this discipline, really, the usefulness and one of the defenses"&amp;" that were made, was precisely that the discipline existed in the course, precisely because at another time, these topics would not be considered. So that's why it's important to have a discipline like that in the curriculum talking about these themes.
I"&amp;"n a course like ours, in development, having a discipline like this, I think it is important indeed.
")</f>
        <v>The importance of actually having a discipline like this in the curriculum talking about these themes.
We are going through a matrix reformulation process,[...] this part of the workload and this discipline, really, the usefulness and one of the defenses that were made, was precisely that the discipline existed in the course, precisely because at another time, these topics would not be considered. So that's why it's important to have a discipline like that in the curriculum talking about these themes.
In a course like ours, in development, having a discipline like this, I think it is important indeed.
</v>
      </c>
      <c r="E15" s="8" t="str">
        <f>IFERROR(__xludf.DUMMYFUNCTION("""COMPUTED_VALUE"""),"DevOps deserves a discipline in the curriculum.
Be concerned with the course's curriculum, maintaining and creating DevOps disciplines.
DevOps deserves a discipline in the curriculum of courses focused on software development.")</f>
        <v>DevOps deserves a discipline in the curriculum.
Be concerned with the course's curriculum, maintaining and creating DevOps disciplines.
DevOps deserves a discipline in the curriculum of courses focused on software development.</v>
      </c>
      <c r="F15" s="8" t="str">
        <f>IFERROR(__xludf.DUMMYFUNCTION("""COMPUTED_VALUE"""),"DevOps deserves a discipline in the curriculum.")</f>
        <v>DevOps deserves a discipline in the curriculum.</v>
      </c>
      <c r="G15" s="25" t="s">
        <v>206</v>
      </c>
      <c r="H15" s="19" t="s">
        <v>10</v>
      </c>
      <c r="I15" s="9"/>
      <c r="J15" s="33" t="s">
        <v>328</v>
      </c>
      <c r="K15" s="33" t="s">
        <v>10</v>
      </c>
      <c r="L15" s="60"/>
      <c r="M15" s="6"/>
      <c r="N15" s="6"/>
      <c r="O15" s="25"/>
      <c r="P15" s="6"/>
    </row>
    <row r="16">
      <c r="A16" s="7">
        <v>17.0</v>
      </c>
      <c r="B16" s="8" t="s">
        <v>162</v>
      </c>
      <c r="C16" s="8" t="s">
        <v>191</v>
      </c>
      <c r="D16" s="8" t="str">
        <f>IFERROR(__xludf.DUMMYFUNCTION("filter('Imported Recommendations'!B:D,'Imported Recommendations'!A:A=A16)"),"We can assess teamwork in students, like those who are collaborating, those who are more overloaded, those who are perhaps less overloaded, those who develop and deliver more features, those who do not cooperate with teamwork.
The evaluation part [...] t"&amp;"he recommendation would be to try to come up [...] some project or some challenge in the project itself that involves collaboration between people. Be able to divide the class there, the students into groups and each one will attack a problem and then eve"&amp;"rything has to come together, right? So, watch them.")</f>
        <v>We can assess teamwork in students, like those who are collaborating, those who are more overloaded, those who are perhaps less overloaded, those who develop and deliver more features, those who do not cooperate with teamwork.
The evaluation part [...] the recommendation would be to try to come up [...] some project or some challenge in the project itself that involves collaboration between people. Be able to divide the class there, the students into groups and each one will attack a problem and then everything has to come together, right? So, watch them.</v>
      </c>
      <c r="E16" s="8" t="str">
        <f>IFERROR(__xludf.DUMMYFUNCTION("""COMPUTED_VALUE"""),"Evaluate level of participation and difficulty of students in teamwork.
Assess students through project and group exercises, more specifically the collaboration of each one within the group.")</f>
        <v>Evaluate level of participation and difficulty of students in teamwork.
Assess students through project and group exercises, more specifically the collaboration of each one within the group.</v>
      </c>
      <c r="F16" s="8" t="str">
        <f>IFERROR(__xludf.DUMMYFUNCTION("""COMPUTED_VALUE"""),"Evaluate level of participation and difficulty of students in teamwork.")</f>
        <v>Evaluate level of participation and difficulty of students in teamwork.</v>
      </c>
      <c r="G16" s="25" t="s">
        <v>207</v>
      </c>
      <c r="H16" s="9" t="s">
        <v>29</v>
      </c>
      <c r="I16" s="9"/>
      <c r="J16" s="33" t="s">
        <v>444</v>
      </c>
      <c r="K16" s="33" t="s">
        <v>29</v>
      </c>
      <c r="L16" s="60"/>
      <c r="M16" s="6" t="s">
        <v>163</v>
      </c>
      <c r="N16" s="6" t="s">
        <v>163</v>
      </c>
      <c r="O16" s="25"/>
      <c r="P16" s="6"/>
    </row>
    <row r="17">
      <c r="A17" s="7">
        <v>18.0</v>
      </c>
      <c r="B17" s="8" t="s">
        <v>164</v>
      </c>
      <c r="C17" s="8" t="s">
        <v>191</v>
      </c>
      <c r="D17" s="8" t="str">
        <f>IFERROR(__xludf.DUMMYFUNCTION("filter('Imported Recommendations'!B:D,'Imported Recommendations'!A:A=A17)"),"We can monitor this part of the evaluation a lot due to their activity. So part of it is the cloud system tool that allows us to do this monitoring.")</f>
        <v>We can monitor this part of the evaluation a lot due to their activity. So part of it is the cloud system tool that allows us to do this monitoring.</v>
      </c>
      <c r="E17" s="8" t="str">
        <f>IFERROR(__xludf.DUMMYFUNCTION("""COMPUTED_VALUE"""),"Monitoring of students through activities in a learning support environment.")</f>
        <v>Monitoring of students through activities in a learning support environment.</v>
      </c>
      <c r="F17" s="7"/>
      <c r="G17" s="25" t="s">
        <v>501</v>
      </c>
      <c r="H17" s="9" t="s">
        <v>18</v>
      </c>
      <c r="I17" s="9"/>
      <c r="J17" s="33" t="s">
        <v>329</v>
      </c>
      <c r="K17" s="33" t="s">
        <v>18</v>
      </c>
      <c r="L17" s="33"/>
      <c r="M17" s="6"/>
      <c r="N17" s="6"/>
      <c r="O17" s="25"/>
      <c r="P17" s="6"/>
    </row>
    <row r="18">
      <c r="A18" s="7">
        <v>19.0</v>
      </c>
      <c r="B18" s="8" t="s">
        <v>165</v>
      </c>
      <c r="C18" s="8" t="s">
        <v>191</v>
      </c>
      <c r="D18" s="8" t="str">
        <f>IFERROR(__xludf.DUMMYFUNCTION("filter('Imported Recommendations'!B:D,'Imported Recommendations'!A:A=A18)"),"Usually, they already arrive with the system, sometimes deployed in another environment, which is quite common for them to use this environment. Then we have to bring them in, asking them to use ours.")</f>
        <v>Usually, they already arrive with the system, sometimes deployed in another environment, which is quite common for them to use this environment. Then we have to bring them in, asking them to use ours.</v>
      </c>
      <c r="E18" s="8" t="str">
        <f>IFERROR(__xludf.DUMMYFUNCTION("""COMPUTED_VALUE"""),"Ask students to adopt the tools used by instructors.")</f>
        <v>Ask students to adopt the tools used by instructors.</v>
      </c>
      <c r="F18" s="8"/>
      <c r="G18" s="25" t="s">
        <v>208</v>
      </c>
      <c r="H18" s="9" t="s">
        <v>18</v>
      </c>
      <c r="I18" s="9"/>
      <c r="J18" s="33" t="s">
        <v>330</v>
      </c>
      <c r="K18" s="30" t="s">
        <v>18</v>
      </c>
      <c r="L18" s="31"/>
      <c r="M18" s="6"/>
      <c r="N18" s="6"/>
      <c r="O18" s="25"/>
      <c r="P18" s="6"/>
    </row>
    <row r="19">
      <c r="A19" s="7">
        <v>20.0</v>
      </c>
      <c r="B19" s="8" t="s">
        <v>162</v>
      </c>
      <c r="C19" s="8" t="s">
        <v>191</v>
      </c>
      <c r="D19" s="8" t="str">
        <f>IFERROR(__xludf.DUMMYFUNCTION("filter('Imported Recommendations'!B:D,'Imported Recommendations'!A:A=A19)"),"Suppose the course is a development course or one that involves the operation part. In that case, it is essential to have a discipline that centralizes this information, a domain, perhaps, later on, that gathers these concepts, already preparing the stude"&amp;"nt more for the market.[...] a rather considerable workload to have this dynamic with the students.")</f>
        <v>Suppose the course is a development course or one that involves the operation part. In that case, it is essential to have a discipline that centralizes this information, a domain, perhaps, later on, that gathers these concepts, already preparing the student more for the market.[...] a rather considerable workload to have this dynamic with the students.</v>
      </c>
      <c r="E19" s="8" t="str">
        <f>IFERROR(__xludf.DUMMYFUNCTION("""COMPUTED_VALUE"""),"A discipline must have a considerable workload to centralize and harmonize development and operation information.")</f>
        <v>A discipline must have a considerable workload to centralize and harmonize development and operation information.</v>
      </c>
      <c r="F19" s="7"/>
      <c r="G19" s="25" t="s">
        <v>210</v>
      </c>
      <c r="H19" s="9" t="s">
        <v>10</v>
      </c>
      <c r="I19" s="9"/>
      <c r="J19" s="33" t="s">
        <v>445</v>
      </c>
      <c r="K19" s="30" t="s">
        <v>10</v>
      </c>
      <c r="L19" s="31"/>
      <c r="M19" s="6"/>
      <c r="N19" s="6"/>
      <c r="O19" s="25"/>
      <c r="P19" s="6"/>
    </row>
    <row r="20">
      <c r="A20" s="7">
        <v>21.0</v>
      </c>
      <c r="B20" s="8" t="s">
        <v>164</v>
      </c>
      <c r="C20" s="8" t="s">
        <v>191</v>
      </c>
      <c r="D20" s="8" t="str">
        <f>IFERROR(__xludf.DUMMYFUNCTION("filter('Imported Recommendations'!B:D,'Imported Recommendations'!A:A=A20)"),"They use the system, and I always ask them to socialize. Now, of more remote education, we're doing that they associate what they did.  And when we are at this moment of socialization, the students can take advantage of the gain and knowledge that another"&amp;" team had in an aspect that, at times, they had not noticed.
 I teach them about social coding.
It's tough to get the students to be more social if you will, in their coding practices and do pair programming, uh, and follow the, get feature branch workf"&amp;"low. ")</f>
        <v>They use the system, and I always ask them to socialize. Now, of more remote education, we're doing that they associate what they did.  And when we are at this moment of socialization, the students can take advantage of the gain and knowledge that another team had in an aspect that, at times, they had not noticed.
 I teach them about social coding.
It's tough to get the students to be more social if you will, in their coding practices and do pair programming, uh, and follow the, get feature branch workflow. </v>
      </c>
      <c r="E20" s="8" t="str">
        <f>IFERROR(__xludf.DUMMYFUNCTION("""COMPUTED_VALUE"""),"Socializing knowledge acquired in practical activities is essential for learning.
Teach social coding.
Get the students to be more social in their coding practices and do pair programming ")</f>
        <v>Socializing knowledge acquired in practical activities is essential for learning.
Teach social coding.
Get the students to be more social in their coding practices and do pair programming </v>
      </c>
      <c r="F20" s="8" t="str">
        <f>IFERROR(__xludf.DUMMYFUNCTION("""COMPUTED_VALUE"""),"Teach social coding.")</f>
        <v>Teach social coding.</v>
      </c>
      <c r="G20" s="25" t="s">
        <v>502</v>
      </c>
      <c r="H20" s="9" t="s">
        <v>73</v>
      </c>
      <c r="I20" s="9"/>
      <c r="J20" s="33" t="s">
        <v>331</v>
      </c>
      <c r="K20" s="30" t="s">
        <v>73</v>
      </c>
      <c r="L20" s="30"/>
      <c r="M20" s="6"/>
      <c r="N20" s="6"/>
      <c r="O20" s="25"/>
      <c r="P20" s="6"/>
    </row>
    <row r="21" ht="106.5" customHeight="1">
      <c r="A21" s="7">
        <v>22.0</v>
      </c>
      <c r="B21" s="8" t="s">
        <v>165</v>
      </c>
      <c r="C21" s="8" t="s">
        <v>191</v>
      </c>
      <c r="D21" s="8" t="str">
        <f>IFERROR(__xludf.DUMMYFUNCTION("filter('Imported Recommendations'!B:D,'Imported Recommendations'!A:A=A21)"),"They choose to [...] put this system on the air for a customer to see, right? In this aspect, the client is the teachers themselves who are evaluating.")</f>
        <v>They choose to [...] put this system on the air for a customer to see, right? In this aspect, the client is the teachers themselves who are evaluating.</v>
      </c>
      <c r="E21" s="8" t="str">
        <f>IFERROR(__xludf.DUMMYFUNCTION("""COMPUTED_VALUE"""),"Adopt a more professional approach in which teachers act as clients.")</f>
        <v>Adopt a more professional approach in which teachers act as clients.</v>
      </c>
      <c r="F21" s="7"/>
      <c r="G21" s="25" t="s">
        <v>211</v>
      </c>
      <c r="H21" s="9" t="s">
        <v>73</v>
      </c>
      <c r="I21" s="9"/>
      <c r="J21" s="33" t="s">
        <v>333</v>
      </c>
      <c r="K21" s="30" t="s">
        <v>73</v>
      </c>
      <c r="L21" s="31"/>
      <c r="M21" s="6"/>
      <c r="N21" s="6"/>
      <c r="O21" s="25"/>
      <c r="P21" s="6"/>
    </row>
    <row r="22">
      <c r="A22" s="7">
        <v>23.0</v>
      </c>
      <c r="B22" s="8" t="s">
        <v>162</v>
      </c>
      <c r="C22" s="8" t="s">
        <v>191</v>
      </c>
      <c r="D22" s="8" t="str">
        <f>IFERROR(__xludf.DUMMYFUNCTION("filter('Imported Recommendations'!B:D,'Imported Recommendations'!A:A=A22)"),"The aspects that we address about continuous integration, [...] use of the tools we use in the environment, on a day-to-day basis, facilitate development that speeds up delivery; this is one of the topics we have. In the discipline, I believe that these t"&amp;"hemes should be part of their curriculum; they should contact this theme there.")</f>
        <v>The aspects that we address about continuous integration, [...] use of the tools we use in the environment, on a day-to-day basis, facilitate development that speeds up delivery; this is one of the topics we have. In the discipline, I believe that these themes should be part of their curriculum; they should contact this theme there.</v>
      </c>
      <c r="E22" s="8" t="str">
        <f>IFERROR(__xludf.DUMMYFUNCTION("""COMPUTED_VALUE"""),"The Continuous Integration and industry tools must be in the curricula.")</f>
        <v>The Continuous Integration and industry tools must be in the curricula.</v>
      </c>
      <c r="F22" s="7"/>
      <c r="G22" s="25" t="s">
        <v>212</v>
      </c>
      <c r="H22" s="9" t="s">
        <v>10</v>
      </c>
      <c r="I22" s="9"/>
      <c r="J22" s="33" t="s">
        <v>446</v>
      </c>
      <c r="K22" s="30" t="s">
        <v>10</v>
      </c>
      <c r="L22" s="31"/>
      <c r="M22" s="6"/>
      <c r="N22" s="6"/>
      <c r="O22" s="25"/>
      <c r="P22" s="6"/>
    </row>
    <row r="23">
      <c r="A23" s="61">
        <v>24.0</v>
      </c>
      <c r="B23" s="44" t="s">
        <v>165</v>
      </c>
      <c r="C23" s="44" t="s">
        <v>191</v>
      </c>
      <c r="D23" s="8" t="str">
        <f>IFERROR(__xludf.DUMMYFUNCTION("filter('Imported Recommendations'!B:D,'Imported Recommendations'!A:A=A23)"),"But as there isn't, we find different materials; we have several publications.")</f>
        <v>But as there isn't, we find different materials; we have several publications.</v>
      </c>
      <c r="E23" s="44" t="str">
        <f>IFERROR(__xludf.DUMMYFUNCTION("""COMPUTED_VALUE"""),"Combine the various materials and publications available to make up for the lack of a unified, complete, and high-level material.")</f>
        <v>Combine the various materials and publications available to make up for the lack of a unified, complete, and high-level material.</v>
      </c>
      <c r="F23" s="61"/>
      <c r="G23" s="25" t="s">
        <v>213</v>
      </c>
      <c r="H23" s="9" t="s">
        <v>24</v>
      </c>
      <c r="I23" s="9"/>
      <c r="J23" s="33" t="s">
        <v>447</v>
      </c>
      <c r="K23" s="30" t="s">
        <v>24</v>
      </c>
      <c r="L23" s="31"/>
      <c r="M23" s="6"/>
      <c r="N23" s="6"/>
      <c r="O23" s="25"/>
      <c r="P23" s="6"/>
    </row>
    <row r="24">
      <c r="A24" s="61">
        <v>25.0</v>
      </c>
      <c r="B24" s="44" t="s">
        <v>165</v>
      </c>
      <c r="C24" s="44" t="s">
        <v>191</v>
      </c>
      <c r="D24" s="8" t="str">
        <f>IFERROR(__xludf.DUMMYFUNCTION("filter('Imported Recommendations'!B:D,'Imported Recommendations'!A:A=A24)"),"[...] With the addition of our Project of Software Development team of professor Sales, he has access, so, more within the tool, he already knows the most diverse aspects. It was already possible for us to solve several difficulties.[...]")</f>
        <v>[...] With the addition of our Project of Software Development team of professor Sales, he has access, so, more within the tool, he already knows the most diverse aspects. It was already possible for us to solve several difficulties.[...]</v>
      </c>
      <c r="E24" s="44" t="str">
        <f>IFERROR(__xludf.DUMMYFUNCTION("""COMPUTED_VALUE"""),"When using a tool to help teach, you must have a good command of it and the necessary permissions/accompaniment of someone with such permissions to deal well with the possible difficulties during its use in the discipline.")</f>
        <v>When using a tool to help teach, you must have a good command of it and the necessary permissions/accompaniment of someone with such permissions to deal well with the possible difficulties during its use in the discipline.</v>
      </c>
      <c r="F24" s="61"/>
      <c r="G24" s="25" t="s">
        <v>214</v>
      </c>
      <c r="H24" s="9" t="s">
        <v>18</v>
      </c>
      <c r="I24" s="9"/>
      <c r="J24" s="33" t="s">
        <v>448</v>
      </c>
      <c r="K24" s="30" t="s">
        <v>18</v>
      </c>
      <c r="L24" s="31"/>
      <c r="M24" s="6"/>
      <c r="N24" s="6"/>
      <c r="O24" s="25"/>
      <c r="P24" s="6"/>
    </row>
    <row r="25">
      <c r="A25" s="61">
        <v>26.0</v>
      </c>
      <c r="B25" s="44" t="s">
        <v>162</v>
      </c>
      <c r="C25" s="44" t="s">
        <v>191</v>
      </c>
      <c r="D25" s="8" t="str">
        <f>IFERROR(__xludf.DUMMYFUNCTION("filter('Imported Recommendations'!B:D,'Imported Recommendations'!A:A=A25)"),"The same DevOps discipline now applies at the institution where I teach concerning classes focused on security and vulnerability management and courses focused on application development and construction.")</f>
        <v>The same DevOps discipline now applies at the institution where I teach concerning classes focused on security and vulnerability management and courses focused on application development and construction.</v>
      </c>
      <c r="E25" s="44" t="str">
        <f>IFERROR(__xludf.DUMMYFUNCTION("""COMPUTED_VALUE"""),"You can use the same discipline of DevOps for operation groups focused on safety and development groups.")</f>
        <v>You can use the same discipline of DevOps for operation groups focused on safety and development groups.</v>
      </c>
      <c r="F25" s="61"/>
      <c r="G25" s="25" t="s">
        <v>215</v>
      </c>
      <c r="H25" s="9" t="s">
        <v>10</v>
      </c>
      <c r="I25" s="9"/>
      <c r="J25" s="33" t="s">
        <v>449</v>
      </c>
      <c r="K25" s="30" t="s">
        <v>10</v>
      </c>
      <c r="L25" s="31"/>
      <c r="M25" s="6"/>
      <c r="N25" s="6"/>
      <c r="O25" s="25"/>
      <c r="P25" s="6"/>
    </row>
    <row r="26">
      <c r="A26" s="61">
        <v>27.0</v>
      </c>
      <c r="B26" s="8" t="s">
        <v>164</v>
      </c>
      <c r="C26" s="44" t="s">
        <v>191</v>
      </c>
      <c r="D26" s="8" t="str">
        <f>IFERROR(__xludf.DUMMYFUNCTION("filter('Imported Recommendations'!B:D,'Imported Recommendations'!A:A=A26)"),"In DevOps [...], the security teams are much more in understanding what it represents from the point of view of vulnerability management and architecture, from the network concerning the cloud.")</f>
        <v>In DevOps [...], the security teams are much more in understanding what it represents from the point of view of vulnerability management and architecture, from the network concerning the cloud.</v>
      </c>
      <c r="E26" s="44" t="str">
        <f>IFERROR(__xludf.DUMMYFUNCTION("""COMPUTED_VALUE"""),"Teach the part of cloud vulnerability, architecture, and network management to the security classes in DevOps.")</f>
        <v>Teach the part of cloud vulnerability, architecture, and network management to the security classes in DevOps.</v>
      </c>
      <c r="F26" s="61"/>
      <c r="G26" s="25" t="s">
        <v>503</v>
      </c>
      <c r="H26" s="9" t="s">
        <v>10</v>
      </c>
      <c r="I26" s="9"/>
      <c r="J26" s="33" t="s">
        <v>334</v>
      </c>
      <c r="K26" s="30" t="s">
        <v>10</v>
      </c>
      <c r="L26" s="31"/>
      <c r="M26" s="6" t="s">
        <v>163</v>
      </c>
      <c r="N26" s="6" t="s">
        <v>163</v>
      </c>
      <c r="O26" s="25"/>
      <c r="P26" s="6"/>
    </row>
    <row r="27">
      <c r="A27" s="8">
        <v>29.0</v>
      </c>
      <c r="B27" s="8" t="s">
        <v>162</v>
      </c>
      <c r="C27" s="8" t="s">
        <v>191</v>
      </c>
      <c r="D27" s="8" t="str">
        <f>IFERROR(__xludf.DUMMYFUNCTION("filter('Imported Recommendations'!B:D,'Imported Recommendations'!A:A=A27)"),"The recommendation is to understand the learning context of the class.
Adapt the menu according to the student profile you have.")</f>
        <v>The recommendation is to understand the learning context of the class.
Adapt the menu according to the student profile you have.</v>
      </c>
      <c r="E27" s="8" t="str">
        <f>IFERROR(__xludf.DUMMYFUNCTION("""COMPUTED_VALUE"""),"Identify the most compatible DevOps scope for each class.
Adapt the course according to the profile of students.")</f>
        <v>Identify the most compatible DevOps scope for each class.
Adapt the course according to the profile of students.</v>
      </c>
      <c r="F27" s="8" t="str">
        <f>IFERROR(__xludf.DUMMYFUNCTION("""COMPUTED_VALUE"""),"Identify the most compatible DevOps scope for each class.")</f>
        <v>Identify the most compatible DevOps scope for each class.</v>
      </c>
      <c r="G27" s="25" t="s">
        <v>216</v>
      </c>
      <c r="H27" s="9" t="s">
        <v>24</v>
      </c>
      <c r="I27" s="9"/>
      <c r="J27" s="33" t="s">
        <v>216</v>
      </c>
      <c r="K27" s="30" t="s">
        <v>24</v>
      </c>
      <c r="L27" s="31"/>
      <c r="M27" s="6" t="s">
        <v>163</v>
      </c>
      <c r="N27" s="6"/>
      <c r="O27" s="25" t="s">
        <v>179</v>
      </c>
      <c r="P27" s="62"/>
    </row>
    <row r="28">
      <c r="A28" s="61">
        <v>30.0</v>
      </c>
      <c r="B28" s="8" t="s">
        <v>164</v>
      </c>
      <c r="C28" s="44" t="s">
        <v>191</v>
      </c>
      <c r="D28" s="8" t="str">
        <f>IFERROR(__xludf.DUMMYFUNCTION("filter('Imported Recommendations'!B:D,'Imported Recommendations'!A:A=A28)"),"Having a unique mechanism and an initial step, the final step you want to reach within this test, makes it much easier when you teach, when you do, especially for examples.
Explain how the methodology can be applied, with examples and even tools.
I am n"&amp;"ot going to deliver a ready-made recipe. I am going to use different tools. diverse methodologies that are also tools for them to try to apply within their process.
The lab is like in the lab, because it's a very practical ...   we've implemented an appl"&amp;"ication, uh, a web application, which, uh, in, currently we are using the application we use is a banking application. It is the online banking where people can go in and create an account or transfer between accounts and do all those kind of thing.
In s"&amp;"ome topics, maybe it's introducing a bit more. So say that you're getting in the topic in the, in the lecture where, um, containers are, are relevant and then deployment is relevant. Then maybe the way is to discuss a bit more maybe than use Kubernetes an"&amp;"d Docker, give concrete examples and stuff like that that supports the reading that they have done.")</f>
        <v>Having a unique mechanism and an initial step, the final step you want to reach within this test, makes it much easier when you teach, when you do, especially for examples.
Explain how the methodology can be applied, with examples and even tools.
I am not going to deliver a ready-made recipe. I am going to use different tools. diverse methodologies that are also tools for them to try to apply within their process.
The lab is like in the lab, because it's a very practical ...   we've implemented an application, uh, a web application, which, uh, in, currently we are using the application we use is a banking application. It is the online banking where people can go in and create an account or transfer between accounts and do all those kind of thing.
In some topics, maybe it's introducing a bit more. So say that you're getting in the topic in the, in the lecture where, um, containers are, are relevant and then deployment is relevant. Then maybe the way is to discuss a bit more maybe than use Kubernetes and Docker, give concrete examples and stuff like that that supports the reading that they have done.</v>
      </c>
      <c r="E28" s="44" t="str">
        <f>IFERROR(__xludf.DUMMYFUNCTION("""COMPUTED_VALUE"""),"Make an example to the student in a practical context from the initial stage to the final step.
During the explanation of how to apply devops methodology, make use of example including tools.
Use different tools and methodologies.
Provide sample applic"&amp;"ation in the labs.
Show concrete examples when you are presenting some tool like Kubernetes and Docker.")</f>
        <v>Make an example to the student in a practical context from the initial stage to the final step.
During the explanation of how to apply devops methodology, make use of example including tools.
Use different tools and methodologies.
Provide sample application in the labs.
Show concrete examples when you are presenting some tool like Kubernetes and Docker.</v>
      </c>
      <c r="F28" s="44" t="str">
        <f>IFERROR(__xludf.DUMMYFUNCTION("""COMPUTED_VALUE"""),"Teach using examples.")</f>
        <v>Teach using examples.</v>
      </c>
      <c r="G28" s="25" t="s">
        <v>504</v>
      </c>
      <c r="H28" s="9" t="s">
        <v>73</v>
      </c>
      <c r="I28" s="63"/>
      <c r="J28" s="33" t="s">
        <v>335</v>
      </c>
      <c r="K28" s="30" t="s">
        <v>73</v>
      </c>
      <c r="L28" s="31"/>
      <c r="M28" s="6" t="s">
        <v>163</v>
      </c>
      <c r="N28" s="6" t="s">
        <v>163</v>
      </c>
      <c r="O28" s="25"/>
      <c r="P28" s="6"/>
    </row>
    <row r="29">
      <c r="A29" s="8">
        <v>32.0</v>
      </c>
      <c r="B29" s="8" t="s">
        <v>162</v>
      </c>
      <c r="C29" s="8" t="s">
        <v>191</v>
      </c>
      <c r="D29" s="8" t="str">
        <f>IFERROR(__xludf.DUMMYFUNCTION("filter('Imported Recommendations'!B:D,'Imported Recommendations'!A:A=A29)"),"Present concepts that are well established in the community, such as axes, [...] in the DevOps process.
I simply want them to be able to set up some kind of a pipeline and understand how it works.")</f>
        <v>Present concepts that are well established in the community, such as axes, [...] in the DevOps process.
I simply want them to be able to set up some kind of a pipeline and understand how it works.</v>
      </c>
      <c r="E29" s="8" t="str">
        <f>IFERROR(__xludf.DUMMYFUNCTION("""COMPUTED_VALUE"""),"Introduce well-established concepts by the DevOps community, such as the DevOps pipeline process.
Teach how to set up a pipeline and explain how it works.")</f>
        <v>Introduce well-established concepts by the DevOps community, such as the DevOps pipeline process.
Teach how to set up a pipeline and explain how it works.</v>
      </c>
      <c r="F29" s="8" t="str">
        <f>IFERROR(__xludf.DUMMYFUNCTION("""COMPUTED_VALUE"""),"Introduce well-established concepts by the DevOps community, such as the DevOps pipeline process.")</f>
        <v>Introduce well-established concepts by the DevOps community, such as the DevOps pipeline process.</v>
      </c>
      <c r="G29" s="25" t="s">
        <v>217</v>
      </c>
      <c r="H29" s="9" t="s">
        <v>16</v>
      </c>
      <c r="I29" s="9"/>
      <c r="J29" s="33" t="s">
        <v>450</v>
      </c>
      <c r="K29" s="30" t="s">
        <v>16</v>
      </c>
      <c r="L29" s="31"/>
      <c r="M29" s="6"/>
      <c r="N29" s="6"/>
      <c r="O29" s="25"/>
      <c r="P29" s="6"/>
    </row>
    <row r="30">
      <c r="A30" s="61">
        <v>33.0</v>
      </c>
      <c r="B30" s="8" t="s">
        <v>164</v>
      </c>
      <c r="C30" s="44" t="s">
        <v>191</v>
      </c>
      <c r="D30" s="8" t="str">
        <f>IFERROR(__xludf.DUMMYFUNCTION("filter('Imported Recommendations'!B:D,'Imported Recommendations'!A:A=A30)"),"Present [...] cases on how this translates, [...] eliminating the silos between operations and development.")</f>
        <v>Present [...] cases on how this translates, [...] eliminating the silos between operations and development.</v>
      </c>
      <c r="E30" s="44" t="str">
        <f>IFERROR(__xludf.DUMMYFUNCTION("""COMPUTED_VALUE"""),"Present the use case of devops, for example, the elimination of silos among the development team.
Identify the market use cases of devops such as the Google case and the relationship between DevOps and the SRE professional to illustrate the importance of"&amp;" DevOps concepts.
Try to use case study together labs.
Use lectures to show case studies and emphasize in some of the DevOps concepts.")</f>
        <v>Present the use case of devops, for example, the elimination of silos among the development team.
Identify the market use cases of devops such as the Google case and the relationship between DevOps and the SRE professional to illustrate the importance of DevOps concepts.
Try to use case study together labs.
Use lectures to show case studies and emphasize in some of the DevOps concepts.</v>
      </c>
      <c r="F30" s="44" t="str">
        <f>IFERROR(__xludf.DUMMYFUNCTION("""COMPUTED_VALUE"""),"Show use cases of DevOps.")</f>
        <v>Show use cases of DevOps.</v>
      </c>
      <c r="G30" s="25" t="s">
        <v>505</v>
      </c>
      <c r="H30" s="9" t="s">
        <v>73</v>
      </c>
      <c r="I30" s="9"/>
      <c r="J30" s="33" t="s">
        <v>337</v>
      </c>
      <c r="K30" s="30" t="s">
        <v>73</v>
      </c>
      <c r="L30" s="31"/>
      <c r="M30" s="6" t="s">
        <v>163</v>
      </c>
      <c r="N30" s="6" t="s">
        <v>163</v>
      </c>
      <c r="O30" s="25"/>
      <c r="P30" s="6"/>
    </row>
    <row r="31">
      <c r="A31" s="8">
        <v>34.0</v>
      </c>
      <c r="B31" s="8" t="s">
        <v>165</v>
      </c>
      <c r="C31" s="8" t="s">
        <v>191</v>
      </c>
      <c r="D31" s="36" t="str">
        <f>IFERROR(__xludf.DUMMYFUNCTION("filter('Imported Recommendations'!B:D,'Imported Recommendations'!A:A=A31)"),"Always start with culture before moving on to teaching or tool-based demonstration.")</f>
        <v>Always start with culture before moving on to teaching or tool-based demonstration.</v>
      </c>
      <c r="E31" s="36" t="str">
        <f>IFERROR(__xludf.DUMMYFUNCTION("""COMPUTED_VALUE"""),"Start teaching DevOps from the culture. Only then demonstrate with tools.")</f>
        <v>Start teaching DevOps from the culture. Only then demonstrate with tools.</v>
      </c>
      <c r="F31" s="15"/>
      <c r="G31" s="25" t="s">
        <v>218</v>
      </c>
      <c r="H31" s="9" t="s">
        <v>73</v>
      </c>
      <c r="I31" s="9"/>
      <c r="J31" s="33" t="s">
        <v>338</v>
      </c>
      <c r="K31" s="30" t="s">
        <v>73</v>
      </c>
      <c r="L31" s="31"/>
      <c r="M31" s="6" t="s">
        <v>163</v>
      </c>
      <c r="N31" s="6" t="s">
        <v>163</v>
      </c>
      <c r="O31" s="25"/>
      <c r="P31" s="6"/>
    </row>
    <row r="32">
      <c r="A32" s="8">
        <v>35.0</v>
      </c>
      <c r="B32" s="8" t="s">
        <v>162</v>
      </c>
      <c r="C32" s="8" t="s">
        <v>191</v>
      </c>
      <c r="D32" s="36" t="str">
        <f>IFERROR(__xludf.DUMMYFUNCTION("filter('Imported Recommendations'!B:D,'Imported Recommendations'!A:A=A32)"),"Build a cohesive [...] laboratory in a specific setting that can better demonstrate the concept being taught there.
So, the recommendation is to abuse the use of online solutions, which facilitate this process, but at the same time, stop the journey [..."&amp;"] So, the recommendation is to abuse the use of online solutions, which facilitate this process, but at the same time, stop the journey.")</f>
        <v>Build a cohesive [...] laboratory in a specific setting that can better demonstrate the concept being taught there.
So, the recommendation is to abuse the use of online solutions, which facilitate this process, but at the same time, stop the journey [...] So, the recommendation is to abuse the use of online solutions, which facilitate this process, but at the same time, stop the journey.</v>
      </c>
      <c r="E32" s="8" t="str">
        <f>IFERROR(__xludf.DUMMYFUNCTION("""COMPUTED_VALUE"""),"Delimit a specific set of tools to build a scenario in order to demonstrate a concept to be taught.
Standardize the use of tools in a well-defined setting.")</f>
        <v>Delimit a specific set of tools to build a scenario in order to demonstrate a concept to be taught.
Standardize the use of tools in a well-defined setting.</v>
      </c>
      <c r="F32" s="8" t="str">
        <f>IFERROR(__xludf.DUMMYFUNCTION("""COMPUTED_VALUE"""),"Delimit a specific set of tools to build a scenario.")</f>
        <v>Delimit a specific set of tools to build a scenario.</v>
      </c>
      <c r="G32" s="25" t="s">
        <v>219</v>
      </c>
      <c r="H32" s="9" t="s">
        <v>18</v>
      </c>
      <c r="I32" s="25"/>
      <c r="J32" s="33" t="s">
        <v>451</v>
      </c>
      <c r="K32" s="30" t="s">
        <v>18</v>
      </c>
      <c r="L32" s="31"/>
      <c r="M32" s="6"/>
      <c r="N32" s="6"/>
      <c r="O32" s="25"/>
      <c r="P32" s="6"/>
    </row>
    <row r="33">
      <c r="A33" s="61">
        <v>36.0</v>
      </c>
      <c r="B33" s="8" t="s">
        <v>164</v>
      </c>
      <c r="C33" s="44" t="s">
        <v>191</v>
      </c>
      <c r="D33" s="36" t="str">
        <f>IFERROR(__xludf.DUMMYFUNCTION("filter('Imported Recommendations'!B:D,'Imported Recommendations'!A:A=A33)"),"If it's a case where I don't have access to almost anything, I need to go to a cloud to take a class with the student, even if it doesn't involve the course itself. I need to do everything remote.
Everyone is already using Google or Amazon, with their Ku"&amp;"bernetes environments available for you to use.
The environment setup is key. What I would love to do is have an environment in the cloud. That's always consistent. That would kind of be the best.
The recommendation is we just get them off their local m"&amp;"achines and get them working off cloud servers or something like that. So that at least a, you can kind of script the stuff be if it gets messed up, there's no risk. You just tear it down and build a new one.
The third lab, that's what we do since last w"&amp;"inter. We didn't do it last summer, did deploy on, on, on AWS. So we have, we have built accounts on Amazon, so they can go all the way.
I think maybe the, um, the using external cloud services would give you the better in terms of DevOps philosophy, let"&amp;"'s say, because then you're really pushing and you bring stuff outside of the academy ecosystem.")</f>
        <v>If it's a case where I don't have access to almost anything, I need to go to a cloud to take a class with the student, even if it doesn't involve the course itself. I need to do everything remote.
Everyone is already using Google or Amazon, with their Kubernetes environments available for you to use.
The environment setup is key. What I would love to do is have an environment in the cloud. That's always consistent. That would kind of be the best.
The recommendation is we just get them off their local machines and get them working off cloud servers or something like that. So that at least a, you can kind of script the stuff be if it gets messed up, there's no risk. You just tear it down and build a new one.
The third lab, that's what we do since last winter. We didn't do it last summer, did deploy on, on, on AWS. So we have, we have built accounts on Amazon, so they can go all the way.
I think maybe the, um, the using external cloud services would give you the better in terms of DevOps philosophy, let's say, because then you're really pushing and you bring stuff outside of the academy ecosystem.</v>
      </c>
      <c r="E33" s="44" t="str">
        <f>IFERROR(__xludf.DUMMYFUNCTION("""COMPUTED_VALUE"""),"For a scenario with limited resources, it is recommended to make use of public cloud services.
Use available cloud services (AWS, Google) with Kubernetes.
Do environment setup in the cloud is the best option because they are always consistent.
Get stud"&amp;"ents off their local machines and get them working off cloud servers.
Make the students experiment how to use a cloud provider like AWS.
Using external cloud services would give you the better in terms of DevOps philosophy, because then you're really pu"&amp;"shing and you bring stuff outside of the academy ecosystem.")</f>
        <v>For a scenario with limited resources, it is recommended to make use of public cloud services.
Use available cloud services (AWS, Google) with Kubernetes.
Do environment setup in the cloud is the best option because they are always consistent.
Get students off their local machines and get them working off cloud servers.
Make the students experiment how to use a cloud provider like AWS.
Using external cloud services would give you the better in terms of DevOps philosophy, because then you're really pushing and you bring stuff outside of the academy ecosystem.</v>
      </c>
      <c r="F33" s="44" t="str">
        <f>IFERROR(__xludf.DUMMYFUNCTION("""COMPUTED_VALUE"""),"Use cloud provider services.")</f>
        <v>Use cloud provider services.</v>
      </c>
      <c r="G33" s="9" t="s">
        <v>339</v>
      </c>
      <c r="H33" s="9" t="s">
        <v>18</v>
      </c>
      <c r="I33" s="9"/>
      <c r="J33" s="30" t="s">
        <v>339</v>
      </c>
      <c r="K33" s="30" t="s">
        <v>18</v>
      </c>
      <c r="L33" s="31"/>
      <c r="M33" s="6"/>
      <c r="N33" s="6"/>
      <c r="O33" s="25"/>
      <c r="P33" s="6"/>
    </row>
    <row r="34">
      <c r="A34" s="8">
        <v>37.0</v>
      </c>
      <c r="B34" s="8" t="s">
        <v>165</v>
      </c>
      <c r="C34" s="8" t="s">
        <v>191</v>
      </c>
      <c r="D34" s="8" t="str">
        <f>IFERROR(__xludf.DUMMYFUNCTION("filter('Imported Recommendations'!B:D,'Imported Recommendations'!A:A=A34)"),"Put the student in an efficient context; he can see in class a tool that he has probably seen someone using in the company or has heard of. This makes for much better immersion in class.
So, suppose someone had a more traumatic experience at such a stage"&amp;" of the delivery process. In that case, you know how to use it at the right time with them and impersonate with them, talk, look, as you told me in that part, a solution that might work for you, again, because there is no ready-made solution, it would be "&amp;"to apply this technology to try to mitigate or resolve it.
I prefer to take it out during class to show the day-to-day blocks delivered in the end. However, the recommendation is to use the infrastructure blocks to feed your course, as didactics. Do you "&amp;"speak, look, remember the block we had? The dependency, the software is made in Java 8, and we tried to compile a machine that had Java 15. Do you see this problem? How do we solve it? We analyze, run some process analysis frameworks because we can use an"&amp;"y language as a tool, but use it as an experience.
  I spent a couple of discussing about the concepts discussing about the issues.")</f>
        <v>Put the student in an efficient context; he can see in class a tool that he has probably seen someone using in the company or has heard of. This makes for much better immersion in class.
So, suppose someone had a more traumatic experience at such a stage of the delivery process. In that case, you know how to use it at the right time with them and impersonate with them, talk, look, as you told me in that part, a solution that might work for you, again, because there is no ready-made solution, it would be to apply this technology to try to mitigate or resolve it.
I prefer to take it out during class to show the day-to-day blocks delivered in the end. However, the recommendation is to use the infrastructure blocks to feed your course, as didactics. Do you speak, look, remember the block we had? The dependency, the software is made in Java 8, and we tried to compile a machine that had Java 15. Do you see this problem? How do we solve it? We analyze, run some process analysis frameworks because we can use any language as a tool, but use it as an experience.
  I spent a couple of discussing about the concepts discussing about the issues.</v>
      </c>
      <c r="E34" s="8" t="str">
        <f>IFERROR(__xludf.DUMMYFUNCTION("""COMPUTED_VALUE"""),"Search for references from practical contexts experienced by students to easy the understanding, using popular tools.
During the explanations, make use of the difficulties, opinions and experiences faced by the students, pointing out solutions using Devo"&amp;"ps.
Use the difficulties with infrastructure in favor of learning, conducting discussions among students.
Promotes discussions about DevOps concepts and related issues.")</f>
        <v>Search for references from practical contexts experienced by students to easy the understanding, using popular tools.
During the explanations, make use of the difficulties, opinions and experiences faced by the students, pointing out solutions using Devops.
Use the difficulties with infrastructure in favor of learning, conducting discussions among students.
Promotes discussions about DevOps concepts and related issues.</v>
      </c>
      <c r="F34" s="8" t="str">
        <f>IFERROR(__xludf.DUMMYFUNCTION("""COMPUTED_VALUE"""),"Promotes discussions about DevOps concepts and related issues.")</f>
        <v>Promotes discussions about DevOps concepts and related issues.</v>
      </c>
      <c r="G34" s="25" t="s">
        <v>220</v>
      </c>
      <c r="H34" s="9" t="s">
        <v>73</v>
      </c>
      <c r="I34" s="9"/>
      <c r="J34" s="33" t="s">
        <v>340</v>
      </c>
      <c r="K34" s="30" t="s">
        <v>73</v>
      </c>
      <c r="L34" s="31"/>
      <c r="M34" s="6" t="s">
        <v>163</v>
      </c>
      <c r="N34" s="6" t="s">
        <v>163</v>
      </c>
      <c r="O34" s="25"/>
      <c r="P34" s="6"/>
    </row>
    <row r="35">
      <c r="A35" s="8">
        <v>38.0</v>
      </c>
      <c r="B35" s="8" t="s">
        <v>162</v>
      </c>
      <c r="C35" s="8" t="s">
        <v>191</v>
      </c>
      <c r="D35" s="8" t="str">
        <f>IFERROR(__xludf.DUMMYFUNCTION("filter('Imported Recommendations'!B:D,'Imported Recommendations'!A:A=A35)"),"This menu will have some possibilities to create mutations in this menu because the DevOps concept is very open; right, it encompasses different areas between development, security, and operations.")</f>
        <v>This menu will have some possibilities to create mutations in this menu because the DevOps concept is very open; right, it encompasses different areas between development, security, and operations.</v>
      </c>
      <c r="E35" s="8" t="str">
        <f>IFERROR(__xludf.DUMMYFUNCTION("""COMPUTED_VALUE"""),"Create mutations in the menu due to the breadth of DevOps encompassing the development, operation, and security part.")</f>
        <v>Create mutations in the menu due to the breadth of DevOps encompassing the development, operation, and security part.</v>
      </c>
      <c r="F35" s="7"/>
      <c r="G35" s="25" t="s">
        <v>221</v>
      </c>
      <c r="H35" s="9" t="s">
        <v>10</v>
      </c>
      <c r="I35" s="9"/>
      <c r="J35" s="33" t="s">
        <v>452</v>
      </c>
      <c r="K35" s="30" t="s">
        <v>10</v>
      </c>
      <c r="L35" s="31"/>
      <c r="M35" s="6"/>
      <c r="N35" s="6"/>
      <c r="O35" s="25"/>
      <c r="P35" s="6"/>
    </row>
    <row r="36">
      <c r="A36" s="61">
        <v>39.0</v>
      </c>
      <c r="B36" s="8" t="s">
        <v>164</v>
      </c>
      <c r="C36" s="44" t="s">
        <v>191</v>
      </c>
      <c r="D36" s="8" t="str">
        <f>IFERROR(__xludf.DUMMYFUNCTION("filter('Imported Recommendations'!B:D,'Imported Recommendations'!A:A=A36)"),"This curriculum, a part of it, do you understand? With about forty percent, about sixty percent fixed, which is culture, main historical characteristics of how it came about, what does culture represent, what it changes about development processes, securi"&amp;"ty operations. The changeable part is the tools, where you will apply them or what matches you to the students within the classroom in the course syllabus.")</f>
        <v>This curriculum, a part of it, do you understand? With about forty percent, about sixty percent fixed, which is culture, main historical characteristics of how it came about, what does culture represent, what it changes about development processes, security operations. The changeable part is the tools, where you will apply them or what matches you to the students within the classroom in the course syllabus.</v>
      </c>
      <c r="E36" s="44" t="str">
        <f>IFERROR(__xludf.DUMMYFUNCTION("""COMPUTED_VALUE"""),"Half of the curriculum with DevOps concepts/culture. Half the curriculum with tools.")</f>
        <v>Half of the curriculum with DevOps concepts/culture. Half the curriculum with tools.</v>
      </c>
      <c r="F36" s="61"/>
      <c r="G36" s="25" t="s">
        <v>506</v>
      </c>
      <c r="H36" s="9" t="s">
        <v>10</v>
      </c>
      <c r="I36" s="9"/>
      <c r="J36" s="33" t="s">
        <v>341</v>
      </c>
      <c r="K36" s="30" t="s">
        <v>10</v>
      </c>
      <c r="L36" s="31"/>
      <c r="M36" s="6"/>
      <c r="N36" s="6"/>
      <c r="O36" s="25"/>
      <c r="P36" s="6"/>
    </row>
    <row r="37">
      <c r="A37" s="8">
        <v>40.0</v>
      </c>
      <c r="B37" s="8" t="s">
        <v>165</v>
      </c>
      <c r="C37" s="8" t="s">
        <v>191</v>
      </c>
      <c r="D37" s="8" t="str">
        <f>IFERROR(__xludf.DUMMYFUNCTION("filter('Imported Recommendations'!B:D,'Imported Recommendations'!A:A=A37)"),"For a project management class [...], I often had to introduce [...] based on direct analogies or analogies with other scenarios he has already encountered in the product management part to understand what I was speaking.")</f>
        <v>For a project management class [...], I often had to introduce [...] based on direct analogies or analogies with other scenarios he has already encountered in the product management part to understand what I was speaking.</v>
      </c>
      <c r="E37" s="8" t="str">
        <f>IFERROR(__xludf.DUMMYFUNCTION("""COMPUTED_VALUE"""),"For project management class, it is necessary to introduce DevOps through direct analogies or using scenarios known to them during teaching.")</f>
        <v>For project management class, it is necessary to introduce DevOps through direct analogies or using scenarios known to them during teaching.</v>
      </c>
      <c r="F37" s="7"/>
      <c r="G37" s="25" t="s">
        <v>222</v>
      </c>
      <c r="H37" s="9" t="s">
        <v>73</v>
      </c>
      <c r="I37" s="9"/>
      <c r="J37" s="33" t="s">
        <v>342</v>
      </c>
      <c r="K37" s="30" t="s">
        <v>73</v>
      </c>
      <c r="L37" s="31"/>
      <c r="M37" s="6" t="s">
        <v>163</v>
      </c>
      <c r="N37" s="6" t="s">
        <v>163</v>
      </c>
      <c r="O37" s="25"/>
      <c r="P37" s="6"/>
    </row>
    <row r="38">
      <c r="A38" s="8">
        <v>41.0</v>
      </c>
      <c r="B38" s="8" t="s">
        <v>162</v>
      </c>
      <c r="C38" s="8" t="s">
        <v>191</v>
      </c>
      <c r="D38" s="36" t="str">
        <f>IFERROR(__xludf.DUMMYFUNCTION("filter('Imported Recommendations'!B:D,'Imported Recommendations'!A:A=A38)"),"Always focus on culture, the tools are excellent, they attract a student, they create a practical scenario, but oh, DevOps implementation errors in practice are mainly caused by companies and professionals who do not interpret this as a culture.
More imp"&amp;"ortant [...] is to understand that concepts such as observability, development culture, communication, sharing are core. They are the core of what is proposed in relation to DevOps.
Teach the DevOps culture: respect the individualities of your team, not "&amp;"looking to blame anyone but for solutions.
The only way to teach culture, the only way to experience culture is to immerse the students in the culture. [...] one of the examples I give to my students is I say, you know, I took three years of Spanish in h"&amp;"igh school and I don't speak a word of Spanish, but I bet if I spent a summer in Spain, I would come back speaking, fluent Spanish. So I tell them: ""this class is your summer in Spain"", right? We are going to live DevOps. We're going to experience DevOp"&amp;"s. And that's the only way you can properly teach it.
Working as an agile team and using the DevOps tools, but most importantly, living the DevOps culture.
Like, what do you teach in a DevOps course? Like, do you teach just technologies like Kubernetes "&amp;"and Docker? And, and I kept saying, no, this is not why I went back to university. I don't want to be just teaching techniques and tools because these will change over time.
")</f>
        <v>Always focus on culture, the tools are excellent, they attract a student, they create a practical scenario, but oh, DevOps implementation errors in practice are mainly caused by companies and professionals who do not interpret this as a culture.
More important [...] is to understand that concepts such as observability, development culture, communication, sharing are core. They are the core of what is proposed in relation to DevOps.
Teach the DevOps culture: respect the individualities of your team, not looking to blame anyone but for solutions.
The only way to teach culture, the only way to experience culture is to immerse the students in the culture. [...] one of the examples I give to my students is I say, you know, I took three years of Spanish in high school and I don't speak a word of Spanish, but I bet if I spent a summer in Spain, I would come back speaking, fluent Spanish. So I tell them: "this class is your summer in Spain", right? We are going to live DevOps. We're going to experience DevOps. And that's the only way you can properly teach it.
Working as an agile team and using the DevOps tools, but most importantly, living the DevOps culture.
Like, what do you teach in a DevOps course? Like, do you teach just technologies like Kubernetes and Docker? And, and I kept saying, no, this is not why I went back to university. I don't want to be just teaching techniques and tools because these will change over time.
</v>
      </c>
      <c r="E38" s="36" t="str">
        <f>IFERROR(__xludf.DUMMYFUNCTION("""COMPUTED_VALUE"""),"Emphasize the importance of the DevOps culture and propagate it.
It is important to teach concepts such as observability and other cultural aspects such as sharing and communication.
Teach the DevOps culture: respect the individualities of your team, no"&amp;"t looking for blame, but for solutions.
Live DevOps and its culture is the best way to learn it.
Living DevOps culture is more important than just learning DevOps tools.
Don't teach a DevOps course only focusing on tools and technologies because it cha"&amp;"nges over time.")</f>
        <v>Emphasize the importance of the DevOps culture and propagate it.
It is important to teach concepts such as observability and other cultural aspects such as sharing and communication.
Teach the DevOps culture: respect the individualities of your team, not looking for blame, but for solutions.
Live DevOps and its culture is the best way to learn it.
Living DevOps culture is more important than just learning DevOps tools.
Don't teach a DevOps course only focusing on tools and technologies because it changes over time.</v>
      </c>
      <c r="F38" s="36" t="str">
        <f>IFERROR(__xludf.DUMMYFUNCTION("""COMPUTED_VALUE"""),"Teach the DevOps mindset.")</f>
        <v>Teach the DevOps mindset.</v>
      </c>
      <c r="G38" s="25" t="s">
        <v>223</v>
      </c>
      <c r="H38" s="9" t="s">
        <v>16</v>
      </c>
      <c r="I38" s="9"/>
      <c r="J38" s="33" t="s">
        <v>223</v>
      </c>
      <c r="K38" s="30" t="s">
        <v>16</v>
      </c>
      <c r="L38" s="31"/>
      <c r="M38" s="6"/>
      <c r="N38" s="6"/>
      <c r="O38" s="25"/>
      <c r="P38" s="6"/>
    </row>
    <row r="39">
      <c r="A39" s="8">
        <v>43.0</v>
      </c>
      <c r="B39" s="8" t="s">
        <v>165</v>
      </c>
      <c r="C39" s="8" t="s">
        <v>191</v>
      </c>
      <c r="D39" s="8" t="str">
        <f>IFERROR(__xludf.DUMMYFUNCTION("filter('Imported Recommendations'!B:D,'Imported Recommendations'!A:A=A39)"),"And DevOps a lot in seeing this; they have different backgrounds, have other life stories, experiences that marked them in different ways and knowing when to present a new tool, listen to what these people have.
So I let them know that if you asked me th"&amp;"e same question a second time, I promise I won't answer it the same way. I'll try to find some different way to make that connection with you. Right? So that you understand it, given the background that you have. Given the skills that you have. Uh, so aga"&amp;"in, I try to immerse them in this culture.")</f>
        <v>And DevOps a lot in seeing this; they have different backgrounds, have other life stories, experiences that marked them in different ways and knowing when to present a new tool, listen to what these people have.
So I let them know that if you asked me the same question a second time, I promise I won't answer it the same way. I'll try to find some different way to make that connection with you. Right? So that you understand it, given the background that you have. Given the skills that you have. Uh, so again, I try to immerse them in this culture.</v>
      </c>
      <c r="E39" s="8" t="str">
        <f>IFERROR(__xludf.DUMMYFUNCTION("""COMPUTED_VALUE"""),"We seek a communication between students and teachers, where attention is paid to the students' opinions.
Teaching customized based on students background.")</f>
        <v>We seek a communication between students and teachers, where attention is paid to the students' opinions.
Teaching customized based on students background.</v>
      </c>
      <c r="F39" s="8" t="str">
        <f>IFERROR(__xludf.DUMMYFUNCTION("""COMPUTED_VALUE"""),"Customize the teaching based on students background.")</f>
        <v>Customize the teaching based on students background.</v>
      </c>
      <c r="G39" s="25" t="s">
        <v>224</v>
      </c>
      <c r="H39" s="9" t="s">
        <v>73</v>
      </c>
      <c r="I39" s="25"/>
      <c r="J39" s="33" t="s">
        <v>343</v>
      </c>
      <c r="K39" s="30" t="s">
        <v>73</v>
      </c>
      <c r="L39" s="31"/>
      <c r="M39" s="6" t="s">
        <v>163</v>
      </c>
      <c r="N39" s="6" t="s">
        <v>163</v>
      </c>
      <c r="O39" s="25"/>
      <c r="P39" s="6"/>
    </row>
    <row r="40">
      <c r="A40" s="8">
        <v>44.0</v>
      </c>
      <c r="B40" s="8" t="s">
        <v>162</v>
      </c>
      <c r="C40" s="8" t="s">
        <v>191</v>
      </c>
      <c r="D40" s="8" t="str">
        <f>IFERROR(__xludf.DUMMYFUNCTION("filter('Imported Recommendations'!B:D,'Imported Recommendations'!A:A=A40)"),"Nor use VM virtual machines because the virtual machine demands hardware resources. And it's not always that you have availability to upload two virtual machines on the student's device.")</f>
        <v>Nor use VM virtual machines because the virtual machine demands hardware resources. And it's not always that you have availability to upload two virtual machines on the student's device.</v>
      </c>
      <c r="E40" s="8" t="str">
        <f>IFERROR(__xludf.DUMMYFUNCTION("""COMPUTED_VALUE"""),"Avoid using virtual machines because they demand hardware resources, which are not always available on the students' devices.")</f>
        <v>Avoid using virtual machines because they demand hardware resources, which are not always available on the students' devices.</v>
      </c>
      <c r="F40" s="7"/>
      <c r="G40" s="25" t="s">
        <v>226</v>
      </c>
      <c r="H40" s="9" t="s">
        <v>18</v>
      </c>
      <c r="I40" s="9"/>
      <c r="J40" s="33" t="s">
        <v>453</v>
      </c>
      <c r="K40" s="30" t="s">
        <v>18</v>
      </c>
      <c r="L40" s="31"/>
      <c r="M40" s="6" t="s">
        <v>163</v>
      </c>
      <c r="N40" s="6" t="s">
        <v>163</v>
      </c>
      <c r="O40" s="25"/>
      <c r="P40" s="6"/>
    </row>
    <row r="41">
      <c r="A41" s="61">
        <v>45.0</v>
      </c>
      <c r="B41" s="8" t="s">
        <v>164</v>
      </c>
      <c r="C41" s="44" t="s">
        <v>191</v>
      </c>
      <c r="D41" s="8" t="str">
        <f>IFERROR(__xludf.DUMMYFUNCTION("filter('Imported Recommendations'!B:D,'Imported Recommendations'!A:A=A41)"),"All the devops tooling behind it like [...] the ansible or terraform here, or any of those other flavors of automaters and deployment and stuff like that you can use.
I am going to upload the environment here on AWS using Terraform. So, provision the stu"&amp;"dents' machines with TerraForm, explain to the students what you are doing, at the right time, on schedule, but decouple the need for the infrastructure.")</f>
        <v>All the devops tooling behind it like [...] the ansible or terraform here, or any of those other flavors of automaters and deployment and stuff like that you can use.
I am going to upload the environment here on AWS using Terraform. So, provision the students' machines with TerraForm, explain to the students what you are doing, at the right time, on schedule, but decouple the need for the infrastructure.</v>
      </c>
      <c r="E41" s="44" t="str">
        <f>IFERROR(__xludf.DUMMYFUNCTION("""COMPUTED_VALUE"""),"Terraform as a deployment automation tool can be used in teaching devops.
Use Terraform as a provisioning tool (Infrastructure as Code).")</f>
        <v>Terraform as a deployment automation tool can be used in teaching devops.
Use Terraform as a provisioning tool (Infrastructure as Code).</v>
      </c>
      <c r="F41" s="44" t="str">
        <f>IFERROR(__xludf.DUMMYFUNCTION("""COMPUTED_VALUE"""),"Terraform as a deployment provisioning tool can be used in teaching devops.")</f>
        <v>Terraform as a deployment provisioning tool can be used in teaching devops.</v>
      </c>
      <c r="G41" s="25" t="s">
        <v>507</v>
      </c>
      <c r="H41" s="9" t="s">
        <v>18</v>
      </c>
      <c r="I41" s="9"/>
      <c r="J41" s="33" t="s">
        <v>344</v>
      </c>
      <c r="K41" s="30" t="s">
        <v>18</v>
      </c>
      <c r="L41" s="31"/>
      <c r="M41" s="6"/>
      <c r="N41" s="6"/>
      <c r="O41" s="25"/>
      <c r="P41" s="6"/>
    </row>
    <row r="42">
      <c r="A42" s="8">
        <v>46.0</v>
      </c>
      <c r="B42" s="8" t="s">
        <v>165</v>
      </c>
      <c r="C42" s="8" t="s">
        <v>191</v>
      </c>
      <c r="D42" s="8" t="str">
        <f>IFERROR(__xludf.DUMMYFUNCTION("filter('Imported Recommendations'!B:D,'Imported Recommendations'!A:A=A42)"),"To put your hand on something, at least once every, depends a lot [...] on the schedule, but every, I'll put it every eight hours is a very subjective metric, but if you give something practical every eight hours with examples for the student to interact,"&amp;" so you don't stay in a lecture for hours on end talking, it's essential to know how to divide and balance.
He has up to twenty, twenty-five minutes, he has your attention. So, if you cannot break that, alternate the tone of voice you speak, interact wit"&amp;"h him. If you just talk, you quickly lose the student after twenty minutes.
We need to adapt to the environment and try, every twenty to thirty minutes, to interact with the student so that he does something to keep his attention [...] Always propose cha"&amp;"llenges.")</f>
        <v>To put your hand on something, at least once every, depends a lot [...] on the schedule, but every, I'll put it every eight hours is a very subjective metric, but if you give something practical every eight hours with examples for the student to interact, so you don't stay in a lecture for hours on end talking, it's essential to know how to divide and balance.
He has up to twenty, twenty-five minutes, he has your attention. So, if you cannot break that, alternate the tone of voice you speak, interact with him. If you just talk, you quickly lose the student after twenty minutes.
We need to adapt to the environment and try, every twenty to thirty minutes, to interact with the student so that he does something to keep his attention [...] Always propose challenges.</v>
      </c>
      <c r="E42" s="8" t="str">
        <f>IFERROR(__xludf.DUMMYFUNCTION("""COMPUTED_VALUE"""),"Use practical examples regularly for the student to interact.
Interact with the student and break the tone of voice every 20 minutes, inhibiting their loss of attention.
Interact with the student to keep him alert, proposing challenges, for example.")</f>
        <v>Use practical examples regularly for the student to interact.
Interact with the student and break the tone of voice every 20 minutes, inhibiting their loss of attention.
Interact with the student to keep him alert, proposing challenges, for example.</v>
      </c>
      <c r="F42" s="8" t="str">
        <f>IFERROR(__xludf.DUMMYFUNCTION("""COMPUTED_VALUE"""),"Interact with the students.")</f>
        <v>Interact with the students.</v>
      </c>
      <c r="G42" s="25" t="s">
        <v>227</v>
      </c>
      <c r="H42" s="9" t="s">
        <v>73</v>
      </c>
      <c r="I42" s="9"/>
      <c r="J42" s="33" t="s">
        <v>345</v>
      </c>
      <c r="K42" s="30" t="s">
        <v>73</v>
      </c>
      <c r="L42" s="31"/>
      <c r="M42" s="6" t="s">
        <v>163</v>
      </c>
      <c r="N42" s="6" t="s">
        <v>163</v>
      </c>
      <c r="O42" s="25"/>
      <c r="P42" s="6"/>
    </row>
    <row r="43">
      <c r="A43" s="7">
        <v>48.0</v>
      </c>
      <c r="B43" s="8" t="s">
        <v>164</v>
      </c>
      <c r="C43" s="8" t="s">
        <v>191</v>
      </c>
      <c r="D43" s="8" t="str">
        <f>IFERROR(__xludf.DUMMYFUNCTION("filter('Imported Recommendations'!B:D,'Imported Recommendations'!A:A=A43)"),"So, I think it's essential for you to break both the tone of voice, the didactics you're using, put examples, you'll explain something theoretical, like Lean, for example, does an exercise that simulates the Lean process, not in software, it can even be w"&amp;"ith software, it can be with blocks, use Trello, interact with the student because if you spend more than twenty minutes talking, anyway, any situation, even in a typical lecture, you lose the student, you lose the audience.")</f>
        <v>So, I think it's essential for you to break both the tone of voice, the didactics you're using, put examples, you'll explain something theoretical, like Lean, for example, does an exercise that simulates the Lean process, not in software, it can even be with software, it can be with blocks, use Trello, interact with the student because if you spend more than twenty minutes talking, anyway, any situation, even in a typical lecture, you lose the student, you lose the audience.</v>
      </c>
      <c r="E43" s="8" t="str">
        <f>IFERROR(__xludf.DUMMYFUNCTION("""COMPUTED_VALUE"""),"Use examples with students to teach theory. For instance, we are using blocks or Trello to teach Lean.")</f>
        <v>Use examples with students to teach theory. For instance, we are using blocks or Trello to teach Lean.</v>
      </c>
      <c r="F43" s="7"/>
      <c r="G43" s="25" t="s">
        <v>508</v>
      </c>
      <c r="H43" s="9" t="s">
        <v>73</v>
      </c>
      <c r="I43" s="9"/>
      <c r="J43" s="33" t="s">
        <v>346</v>
      </c>
      <c r="K43" s="30" t="s">
        <v>73</v>
      </c>
      <c r="L43" s="31"/>
      <c r="M43" s="6" t="s">
        <v>163</v>
      </c>
      <c r="N43" s="6" t="s">
        <v>163</v>
      </c>
      <c r="O43" s="25"/>
      <c r="P43" s="6"/>
    </row>
    <row r="44">
      <c r="A44" s="8">
        <v>49.0</v>
      </c>
      <c r="B44" s="8" t="s">
        <v>165</v>
      </c>
      <c r="C44" s="8" t="s">
        <v>191</v>
      </c>
      <c r="D44" s="8" t="str">
        <f>IFERROR(__xludf.DUMMYFUNCTION("filter('Imported Recommendations'!B:D,'Imported Recommendations'!A:A=A44)"),"Suppose it's a class that, specifically, we were given the needs and characteristics before, such as access limitations, limited software installation on the machine. In that case, I prepare the class, and we have the schedule as a whole, which is ready; "&amp;"it has a beginning, middle, and an end.
If you are going to teach a software build class, for example, or unit testing, you need to assume that your class is in a certain place, let us say. You need to assume that your class is made up of developers, has"&amp;" a bit of knowledge and such, or you need to assume that your class does not have that much experience.")</f>
        <v>Suppose it's a class that, specifically, we were given the needs and characteristics before, such as access limitations, limited software installation on the machine. In that case, I prepare the class, and we have the schedule as a whole, which is ready; it has a beginning, middle, and an end.
If you are going to teach a software build class, for example, or unit testing, you need to assume that your class is in a certain place, let us say. You need to assume that your class is made up of developers, has a bit of knowledge and such, or you need to assume that your class does not have that much experience.</v>
      </c>
      <c r="E44" s="8" t="str">
        <f>IFERROR(__xludf.DUMMYFUNCTION("""COMPUTED_VALUE"""),"Seek to know in advance the needs and limitations of the class, such as installing software, for example, to create a more efficient schedule.
Identify the students' initial level of knowledge to do the course. For example, check if students can run unit"&amp;" tests that will be used in the software build class.")</f>
        <v>Seek to know in advance the needs and limitations of the class, such as installing software, for example, to create a more efficient schedule.
Identify the students' initial level of knowledge to do the course. For example, check if students can run unit tests that will be used in the software build class.</v>
      </c>
      <c r="F44" s="8" t="str">
        <f>IFERROR(__xludf.DUMMYFUNCTION("""COMPUTED_VALUE"""),"Seek to know in advance the needs and limitations of the class.")</f>
        <v>Seek to know in advance the needs and limitations of the class.</v>
      </c>
      <c r="G44" s="25" t="s">
        <v>228</v>
      </c>
      <c r="H44" s="9" t="s">
        <v>24</v>
      </c>
      <c r="I44" s="9"/>
      <c r="J44" s="33" t="s">
        <v>347</v>
      </c>
      <c r="K44" s="30" t="s">
        <v>24</v>
      </c>
      <c r="L44" s="31"/>
      <c r="M44" s="6"/>
      <c r="N44" s="6"/>
      <c r="O44" s="25"/>
      <c r="P44" s="6"/>
    </row>
    <row r="45">
      <c r="A45" s="61">
        <v>51.0</v>
      </c>
      <c r="B45" s="8" t="s">
        <v>164</v>
      </c>
      <c r="C45" s="44" t="s">
        <v>191</v>
      </c>
      <c r="D45" s="8" t="str">
        <f>IFERROR(__xludf.DUMMYFUNCTION("filter('Imported Recommendations'!B:D,'Imported Recommendations'!A:A=A45)"),"If it's a mixed class, we send students a document that shows them beforehand, right? What are the prerequisites for him to take the course, software, software versions, how to install, well documented.")</f>
        <v>If it's a mixed class, we send students a document that shows them beforehand, right? What are the prerequisites for him to take the course, software, software versions, how to install, well documented.</v>
      </c>
      <c r="E45" s="44" t="str">
        <f>IFERROR(__xludf.DUMMYFUNCTION("""COMPUTED_VALUE"""),"Share course prerequisites with students in advance.")</f>
        <v>Share course prerequisites with students in advance.</v>
      </c>
      <c r="F45" s="61"/>
      <c r="G45" s="25" t="s">
        <v>509</v>
      </c>
      <c r="H45" s="9" t="s">
        <v>24</v>
      </c>
      <c r="I45" s="9"/>
      <c r="J45" s="33" t="s">
        <v>348</v>
      </c>
      <c r="K45" s="30" t="s">
        <v>24</v>
      </c>
      <c r="L45" s="31"/>
      <c r="M45" s="6"/>
      <c r="N45" s="6"/>
      <c r="O45" s="25"/>
      <c r="P45" s="6"/>
    </row>
    <row r="46">
      <c r="A46" s="8">
        <v>52.0</v>
      </c>
      <c r="B46" s="8" t="s">
        <v>165</v>
      </c>
      <c r="C46" s="8" t="s">
        <v>191</v>
      </c>
      <c r="D46" s="36" t="str">
        <f>IFERROR(__xludf.DUMMYFUNCTION("filter('Imported Recommendations'!B:D,'Imported Recommendations'!A:A=A46)"),"These are documents that we send in separate stages of the course [...]. We break the infrastructure documents to do the Kaisen process within Lean-to unify the documentation so that the student understands the difficulty he faced and the problem he faces"&amp;" daily.
But it's been billed according to the right guidelines that we want them to use. So they can borrow heavily from the sample. They can see sample testifies, sample integration test, sample Docker files, componentization, et cetera.
We're building"&amp;" a couple of tutorials so that, you know, the ones that have less experience with certainly the testing can look at it.")</f>
        <v>These are documents that we send in separate stages of the course [...]. We break the infrastructure documents to do the Kaisen process within Lean-to unify the documentation so that the student understands the difficulty he faced and the problem he faces daily.
But it's been billed according to the right guidelines that we want them to use. So they can borrow heavily from the sample. They can see sample testifies, sample integration test, sample Docker files, componentization, et cetera.
We're building a couple of tutorials so that, you know, the ones that have less experience with certainly the testing can look at it.</v>
      </c>
      <c r="E46" s="36" t="str">
        <f>IFERROR(__xludf.DUMMYFUNCTION("""COMPUTED_VALUE"""),"Create student support examples and guidelines, breaks into parts to go through the steps gradually.
Create examples and guidelines to help students develop their solution based on it.
We're building a couple of tutorials so that the ones that have less"&amp;" experience can look at it.")</f>
        <v>Create student support examples and guidelines, breaks into parts to go through the steps gradually.
Create examples and guidelines to help students develop their solution based on it.
We're building a couple of tutorials so that the ones that have less experience can look at it.</v>
      </c>
      <c r="F46" s="36" t="str">
        <f>IFERROR(__xludf.DUMMYFUNCTION("""COMPUTED_VALUE"""),"Create tutorials to help students.")</f>
        <v>Create tutorials to help students.</v>
      </c>
      <c r="G46" s="64" t="s">
        <v>229</v>
      </c>
      <c r="H46" s="9" t="s">
        <v>12</v>
      </c>
      <c r="I46" s="9"/>
      <c r="J46" s="33" t="s">
        <v>349</v>
      </c>
      <c r="K46" s="30" t="s">
        <v>24</v>
      </c>
      <c r="L46" s="31"/>
      <c r="M46" s="6" t="s">
        <v>163</v>
      </c>
      <c r="N46" s="6" t="s">
        <v>163</v>
      </c>
      <c r="O46" s="25" t="s">
        <v>179</v>
      </c>
      <c r="P46" s="62"/>
    </row>
    <row r="47">
      <c r="A47" s="8">
        <v>53.0</v>
      </c>
      <c r="B47" s="8" t="s">
        <v>162</v>
      </c>
      <c r="C47" s="8" t="s">
        <v>191</v>
      </c>
      <c r="D47" s="36" t="str">
        <f>IFERROR(__xludf.DUMMYFUNCTION("filter('Imported Recommendations'!B:D,'Imported Recommendations'!A:A=A47)"),"So we break the infrastructure documents to do the Kaisen process within Lean-to unify the documentation so that the student understands the difficulty he faced and the difficulty he will meet daily.
So we employ someone in our team, a couple of people w"&amp;"ho work on implementing that, and we created some issues in the application, like some bugs.")</f>
        <v>So we break the infrastructure documents to do the Kaisen process within Lean-to unify the documentation so that the student understands the difficulty he faced and the difficulty he will meet daily.
So we employ someone in our team, a couple of people who work on implementing that, and we created some issues in the application, like some bugs.</v>
      </c>
      <c r="E47" s="36" t="str">
        <f>IFERROR(__xludf.DUMMYFUNCTION("""COMPUTED_VALUE"""),"Simulate real problems that the student will likely face in their daily lives.
Try to simulate a real scenario employing someone in the group to insert issues and bugs in students project.")</f>
        <v>Simulate real problems that the student will likely face in their daily lives.
Try to simulate a real scenario employing someone in the group to insert issues and bugs in students project.</v>
      </c>
      <c r="F47" s="36" t="str">
        <f>IFERROR(__xludf.DUMMYFUNCTION("""COMPUTED_VALUE"""),"Simulate real problems with the students.")</f>
        <v>Simulate real problems with the students.</v>
      </c>
      <c r="G47" s="25" t="s">
        <v>230</v>
      </c>
      <c r="H47" s="9" t="s">
        <v>73</v>
      </c>
      <c r="I47" s="9"/>
      <c r="J47" s="33" t="s">
        <v>454</v>
      </c>
      <c r="K47" s="30" t="s">
        <v>73</v>
      </c>
      <c r="L47" s="31"/>
      <c r="M47" s="6"/>
      <c r="N47" s="6"/>
      <c r="O47" s="25"/>
      <c r="P47" s="6"/>
    </row>
    <row r="48">
      <c r="A48" s="61">
        <v>54.0</v>
      </c>
      <c r="B48" s="8" t="s">
        <v>164</v>
      </c>
      <c r="C48" s="44" t="s">
        <v>191</v>
      </c>
      <c r="D48" s="36" t="str">
        <f>IFERROR(__xludf.DUMMYFUNCTION("filter('Imported Recommendations'!B:D,'Imported Recommendations'!A:A=A48)"),"From a didactic point of view, we leave one or two hours before each day; there is a specific infra team to answer any student's doubts.")</f>
        <v>From a didactic point of view, we leave one or two hours before each day; there is a specific infra team to answer any student's doubts.</v>
      </c>
      <c r="E48" s="24" t="str">
        <f>IFERROR(__xludf.DUMMYFUNCTION("""COMPUTED_VALUE"""),"There is a specific support team to answer students' questions about the related infrastructure part.")</f>
        <v>There is a specific support team to answer students' questions about the related infrastructure part.</v>
      </c>
      <c r="F48" s="65"/>
      <c r="G48" s="25" t="s">
        <v>510</v>
      </c>
      <c r="H48" s="9" t="s">
        <v>24</v>
      </c>
      <c r="I48" s="9"/>
      <c r="J48" s="33" t="s">
        <v>350</v>
      </c>
      <c r="K48" s="30" t="s">
        <v>24</v>
      </c>
      <c r="L48" s="31"/>
      <c r="M48" s="6"/>
      <c r="N48" s="6"/>
      <c r="O48" s="25"/>
      <c r="P48" s="6"/>
    </row>
    <row r="49">
      <c r="A49" s="8">
        <v>55.0</v>
      </c>
      <c r="B49" s="8" t="s">
        <v>165</v>
      </c>
      <c r="C49" s="8" t="s">
        <v>191</v>
      </c>
      <c r="D49" s="36" t="str">
        <f>IFERROR(__xludf.DUMMYFUNCTION("filter('Imported Recommendations'!B:D,'Imported Recommendations'!A:A=A49)"),"Realize how much you deviate because the student has a particular problem and loses his didactics a little. So, knowing how to limit it too, then work with the student, talk, look, and talk more calmly, because this situation is particular. There has to b"&amp;"e a breakpoint because otherwise, you'll lose the other students.")</f>
        <v>Realize how much you deviate because the student has a particular problem and loses his didactics a little. So, knowing how to limit it too, then work with the student, talk, look, and talk more calmly, because this situation is particular. There has to be a breakpoint because otherwise, you'll lose the other students.</v>
      </c>
      <c r="E49" s="36" t="str">
        <f>IFERROR(__xludf.DUMMYFUNCTION("""COMPUTED_VALUE"""),"Avoid messing around with specific problems faced by students, dealing in a personalized way at the right time.")</f>
        <v>Avoid messing around with specific problems faced by students, dealing in a personalized way at the right time.</v>
      </c>
      <c r="F49" s="15"/>
      <c r="G49" s="25" t="s">
        <v>231</v>
      </c>
      <c r="H49" s="9" t="s">
        <v>73</v>
      </c>
      <c r="I49" s="9"/>
      <c r="J49" s="33" t="s">
        <v>351</v>
      </c>
      <c r="K49" s="30" t="s">
        <v>73</v>
      </c>
      <c r="L49" s="31"/>
      <c r="M49" s="6" t="s">
        <v>163</v>
      </c>
      <c r="N49" s="6" t="s">
        <v>163</v>
      </c>
      <c r="O49" s="25"/>
      <c r="P49" s="6"/>
    </row>
    <row r="50">
      <c r="A50" s="8">
        <v>56.0</v>
      </c>
      <c r="B50" s="8" t="s">
        <v>162</v>
      </c>
      <c r="C50" s="8" t="s">
        <v>191</v>
      </c>
      <c r="D50" s="36" t="str">
        <f>IFERROR(__xludf.DUMMYFUNCTION("filter('Imported Recommendations'!B:D,'Imported Recommendations'!A:A=A50)"),"A task tracking tool. Then it can be Notion or Trello; I think it's essential.")</f>
        <v>A task tracking tool. Then it can be Notion or Trello; I think it's essential.</v>
      </c>
      <c r="E50" s="36" t="str">
        <f>IFERROR(__xludf.DUMMYFUNCTION("""COMPUTED_VALUE"""),"Use a task tracking tool like Trello or Notion.")</f>
        <v>Use a task tracking tool like Trello or Notion.</v>
      </c>
      <c r="F50" s="15"/>
      <c r="G50" s="25" t="s">
        <v>232</v>
      </c>
      <c r="H50" s="9" t="s">
        <v>18</v>
      </c>
      <c r="I50" s="9"/>
      <c r="J50" s="33" t="s">
        <v>455</v>
      </c>
      <c r="K50" s="30" t="s">
        <v>18</v>
      </c>
      <c r="L50" s="31"/>
      <c r="M50" s="6"/>
      <c r="N50" s="6"/>
      <c r="O50" s="25"/>
      <c r="P50" s="6"/>
    </row>
    <row r="51">
      <c r="A51" s="61">
        <v>57.0</v>
      </c>
      <c r="B51" s="8" t="s">
        <v>164</v>
      </c>
      <c r="C51" s="44" t="s">
        <v>191</v>
      </c>
      <c r="D51" s="36" t="str">
        <f>IFERROR(__xludf.DUMMYFUNCTION("filter('Imported Recommendations'!B:D,'Imported Recommendations'!A:A=A51)"),"There must always be two tools, the stream that would be the zoom, Google Meet, any device that does that, Webex I don't know, it depends on the company.
Because of the remote learning  [...] I've been teaching my classes on zoom.")</f>
        <v>There must always be two tools, the stream that would be the zoom, Google Meet, any device that does that, Webex I don't know, it depends on the company.
Because of the remote learning  [...] I've been teaching my classes on zoom.</v>
      </c>
      <c r="E51" s="24" t="str">
        <f>IFERROR(__xludf.DUMMYFUNCTION("""COMPUTED_VALUE"""),"Use a streaming tool like Zoom, Google Meet, or Webex in remote learning scenario.
Use Zoom in remote learning scenario.")</f>
        <v>Use a streaming tool like Zoom, Google Meet, or Webex in remote learning scenario.
Use Zoom in remote learning scenario.</v>
      </c>
      <c r="F51" s="24" t="str">
        <f>IFERROR(__xludf.DUMMYFUNCTION("""COMPUTED_VALUE"""),"Use streaming tool like Zoom in remote learning scenario.")</f>
        <v>Use streaming tool like Zoom in remote learning scenario.</v>
      </c>
      <c r="G51" s="25" t="s">
        <v>511</v>
      </c>
      <c r="H51" s="9" t="s">
        <v>18</v>
      </c>
      <c r="I51" s="9"/>
      <c r="J51" s="33" t="s">
        <v>352</v>
      </c>
      <c r="K51" s="30" t="s">
        <v>18</v>
      </c>
      <c r="L51" s="31"/>
      <c r="M51" s="6"/>
      <c r="N51" s="6"/>
      <c r="O51" s="25"/>
      <c r="P51" s="6"/>
    </row>
    <row r="52">
      <c r="A52" s="8">
        <v>58.0</v>
      </c>
      <c r="B52" s="8" t="s">
        <v>165</v>
      </c>
      <c r="C52" s="8" t="s">
        <v>191</v>
      </c>
      <c r="D52" s="36" t="str">
        <f>IFERROR(__xludf.DUMMYFUNCTION("filter('Imported Recommendations'!B:D,'Imported Recommendations'!A:A=A52)"),"I prefer Notion even though I work for Trello's company; I prefer Notion for a reason. I can export it in Markdown and directly version all documentation. So, for each day of the course, all the commands that we run or the additional content, I list them,"&amp;" interact with them, and interact together.")</f>
        <v>I prefer Notion even though I work for Trello's company; I prefer Notion for a reason. I can export it in Markdown and directly version all documentation. So, for each day of the course, all the commands that we run or the additional content, I list them, interact with them, and interact together.</v>
      </c>
      <c r="E52" s="36" t="str">
        <f>IFERROR(__xludf.DUMMYFUNCTION("""COMPUTED_VALUE"""),"The Notion tool allows exporting to Markdown, enabling the versioning of documentation for each day of the course: all executed commands and additional content.")</f>
        <v>The Notion tool allows exporting to Markdown, enabling the versioning of documentation for each day of the course: all executed commands and additional content.</v>
      </c>
      <c r="F52" s="15"/>
      <c r="G52" s="25" t="s">
        <v>233</v>
      </c>
      <c r="H52" s="9" t="s">
        <v>18</v>
      </c>
      <c r="I52" s="9"/>
      <c r="J52" s="33" t="s">
        <v>353</v>
      </c>
      <c r="K52" s="30" t="s">
        <v>18</v>
      </c>
      <c r="L52" s="31"/>
      <c r="M52" s="6"/>
      <c r="N52" s="6"/>
      <c r="O52" s="25"/>
      <c r="P52" s="6"/>
    </row>
    <row r="53">
      <c r="A53" s="8">
        <v>59.0</v>
      </c>
      <c r="B53" s="8" t="s">
        <v>162</v>
      </c>
      <c r="C53" s="8" t="s">
        <v>191</v>
      </c>
      <c r="D53" s="36" t="str">
        <f>IFERROR(__xludf.DUMMYFUNCTION("filter('Imported Recommendations'!B:D,'Imported Recommendations'!A:A=A53)"),"And a code repository, you can GitLab, Github, which you can share with students, this situation.
They use GitHub. .. The only thing we really need is that the students give us, uh, access to their accounts.
This course has a very specific structure, wh"&amp;"ich is not usual. Uh, the structure is that, uh, everything. Um, I think you have access to our GitHub repository and everything is, uh, available.
Everything in this course was, uh, was, uh, done through the GitHub repository, there are many issues, the"&amp;"re are many pull requests and the discussions between TAs and the students and grading everything is there.
The student had to have the code that goes so git as a version control system, uh, GitHub GitLab, the, we had a Bitbucket on-premise also, uh, dep"&amp;"loyed inside the school.")</f>
        <v>And a code repository, you can GitLab, Github, which you can share with students, this situation.
They use GitHub. .. The only thing we really need is that the students give us, uh, access to their accounts.
This course has a very specific structure, which is not usual. Uh, the structure is that, uh, everything. Um, I think you have access to our GitHub repository and everything is, uh, available.
Everything in this course was, uh, was, uh, done through the GitHub repository, there are many issues, there are many pull requests and the discussions between TAs and the students and grading everything is there.
The student had to have the code that goes so git as a version control system, uh, GitHub GitLab, the, we had a Bitbucket on-premise also, uh, deployed inside the school.</v>
      </c>
      <c r="E53" s="36" t="str">
        <f>IFERROR(__xludf.DUMMYFUNCTION("""COMPUTED_VALUE"""),"Use a code repository tool like Gitlab or Github.
Use Github with access to students accounts repositories.
Make public access the content of the course using the GitHub.
Use Github to record grading, pull requests and discussions between teacher assis"&amp;"tants and the students.
Use github, gitlab or bitbucket as version control system tools adopted by the course.")</f>
        <v>Use a code repository tool like Gitlab or Github.
Use Github with access to students accounts repositories.
Make public access the content of the course using the GitHub.
Use Github to record grading, pull requests and discussions between teacher assistants and the students.
Use github, gitlab or bitbucket as version control system tools adopted by the course.</v>
      </c>
      <c r="F53" s="36" t="str">
        <f>IFERROR(__xludf.DUMMYFUNCTION("""COMPUTED_VALUE"""),"Use a code repository tool like Github.")</f>
        <v>Use a code repository tool like Github.</v>
      </c>
      <c r="G53" s="25" t="s">
        <v>234</v>
      </c>
      <c r="H53" s="9" t="s">
        <v>18</v>
      </c>
      <c r="I53" s="9"/>
      <c r="J53" s="33" t="s">
        <v>456</v>
      </c>
      <c r="K53" s="30" t="s">
        <v>18</v>
      </c>
      <c r="L53" s="31"/>
      <c r="M53" s="6"/>
      <c r="N53" s="6"/>
      <c r="O53" s="25"/>
      <c r="P53" s="6"/>
    </row>
    <row r="54">
      <c r="A54" s="61">
        <v>60.0</v>
      </c>
      <c r="B54" s="8" t="s">
        <v>164</v>
      </c>
      <c r="C54" s="44" t="s">
        <v>191</v>
      </c>
      <c r="D54" s="36" t="str">
        <f>IFERROR(__xludf.DUMMYFUNCTION("filter('Imported Recommendations'!B:D,'Imported Recommendations'!A:A=A54)"),"We usually use Jenkins as an integration tool because it's open-source, it's everywhere, despite having other devices that do the job even better, but it's spread out, it's ancient.
The software [...] built with Jenkins.
Jenkins, you do not pay anything"&amp;", you install it on your server, and it has gone.
They need Jenkins. So either you tell them to go install Jenkins, or what I've done is I say, Hey, here's a Docker image for Jenkins.
Now I realize every day that I need testing and continuous, I mean, J"&amp;"enkins is my friend.
And, and, uh, so in terms of the continuous integration server, and there are many different services available, but can we use Jenkins because it is a, it is free and, and a lot of companies are using, but there are some other optio"&amp;"ns that can be used.
Let's go for something that we have more control on, uh, using for tools like Jenkins and and a stuff like Docker or Kubernetes was kind of good in a way to, uh, support the deployment and the, uh, like the building plus deployment s"&amp;"tuff.")</f>
        <v>We usually use Jenkins as an integration tool because it's open-source, it's everywhere, despite having other devices that do the job even better, but it's spread out, it's ancient.
The software [...] built with Jenkins.
Jenkins, you do not pay anything, you install it on your server, and it has gone.
They need Jenkins. So either you tell them to go install Jenkins, or what I've done is I say, Hey, here's a Docker image for Jenkins.
Now I realize every day that I need testing and continuous, I mean, Jenkins is my friend.
And, and, uh, so in terms of the continuous integration server, and there are many different services available, but can we use Jenkins because it is a, it is free and, and a lot of companies are using, but there are some other options that can be used.
Let's go for something that we have more control on, uh, using for tools like Jenkins and and a stuff like Docker or Kubernetes was kind of good in a way to, uh, support the deployment and the, uh, like the building plus deployment stuff.</v>
      </c>
      <c r="E54" s="24" t="str">
        <f>IFERROR(__xludf.DUMMYFUNCTION("""COMPUTED_VALUE"""),"Use a Continuous Integration tool. in particular, Jenkins is open source and very widespread. 
Use Jenkins to do continuous integration.
Use Jenkins.
Uses Jenkins through a Docker image.
Jenkins can be chosen as DevOps tool.
Jenkins can be use as con"&amp;"tinuous integration tool because it is free and lot of companies use it.
Use tools like Jenkins to have more control on support the deployment.")</f>
        <v>Use a Continuous Integration tool. in particular, Jenkins is open source and very widespread. 
Use Jenkins to do continuous integration.
Use Jenkins.
Uses Jenkins through a Docker image.
Jenkins can be chosen as DevOps tool.
Jenkins can be use as continuous integration tool because it is free and lot of companies use it.
Use tools like Jenkins to have more control on support the deployment.</v>
      </c>
      <c r="F54" s="24" t="str">
        <f>IFERROR(__xludf.DUMMYFUNCTION("""COMPUTED_VALUE"""),"Use Jenkins tool.")</f>
        <v>Use Jenkins tool.</v>
      </c>
      <c r="G54" s="25" t="s">
        <v>512</v>
      </c>
      <c r="H54" s="9" t="s">
        <v>18</v>
      </c>
      <c r="I54" s="9"/>
      <c r="J54" s="33" t="s">
        <v>354</v>
      </c>
      <c r="K54" s="30" t="s">
        <v>18</v>
      </c>
      <c r="L54" s="31"/>
      <c r="M54" s="6"/>
      <c r="N54" s="6"/>
      <c r="O54" s="25"/>
      <c r="P54" s="6"/>
    </row>
    <row r="55">
      <c r="A55" s="8">
        <v>61.0</v>
      </c>
      <c r="B55" s="8" t="s">
        <v>165</v>
      </c>
      <c r="C55" s="8" t="s">
        <v>191</v>
      </c>
      <c r="D55" s="36" t="str">
        <f>IFERROR(__xludf.DUMMYFUNCTION("filter('Imported Recommendations'!B:D,'Imported Recommendations'!A:A=A55)"),"Notion or Trello [...], you need to have a two-way tool where you and the student interact. Not a Gist, for example, because the Gist, although you can only release it because the student needs to put their feedback there too. [...] There are some tasks t"&amp;"hat we set up there, a post mortem of the process that fails; I need a feedback tool that the student can also interact with.")</f>
        <v>Notion or Trello [...], you need to have a two-way tool where you and the student interact. Not a Gist, for example, because the Gist, although you can only release it because the student needs to put their feedback there too. [...] There are some tasks that we set up there, a post mortem of the process that fails; I need a feedback tool that the student can also interact with.</v>
      </c>
      <c r="E55" s="36" t="str">
        <f>IFERROR(__xludf.DUMMYFUNCTION("""COMPUTED_VALUE"""),"Notion and Trello allow student and teacher interaction in two ways. Gist does not allow it.")</f>
        <v>Notion and Trello allow student and teacher interaction in two ways. Gist does not allow it.</v>
      </c>
      <c r="F55" s="15"/>
      <c r="G55" s="25" t="s">
        <v>235</v>
      </c>
      <c r="H55" s="9" t="s">
        <v>18</v>
      </c>
      <c r="I55" s="9"/>
      <c r="J55" s="33" t="s">
        <v>355</v>
      </c>
      <c r="K55" s="30" t="s">
        <v>18</v>
      </c>
      <c r="L55" s="31"/>
      <c r="M55" s="6"/>
      <c r="N55" s="6"/>
      <c r="O55" s="25"/>
      <c r="P55" s="6"/>
    </row>
    <row r="56">
      <c r="A56" s="8">
        <v>62.0</v>
      </c>
      <c r="B56" s="8" t="s">
        <v>162</v>
      </c>
      <c r="C56" s="8" t="s">
        <v>191</v>
      </c>
      <c r="D56" s="36" t="str">
        <f>IFERROR(__xludf.DUMMYFUNCTION("filter('Imported Recommendations'!B:D,'Imported Recommendations'!A:A=A56)"),"So, I usually recommend it to instructors; I recommend it to students when they share it with me. Decrease the FPF rate of screen sharing because that's a lock. Zoom uses what it can if you don't limit it. So, we restrict ten FPS, for example, so that I d"&amp;"on't consume too much of my or the student's CPU because I sometimes have to correct the exercise on his side.")</f>
        <v>So, I usually recommend it to instructors; I recommend it to students when they share it with me. Decrease the FPF rate of screen sharing because that's a lock. Zoom uses what it can if you don't limit it. So, we restrict ten FPS, for example, so that I don't consume too much of my or the student's CPU because I sometimes have to correct the exercise on his side.</v>
      </c>
      <c r="E56" s="36" t="str">
        <f>IFERROR(__xludf.DUMMYFUNCTION("""COMPUTED_VALUE"""),"Limit the zoom FPS rate to 10, avoiding excessive student and instructor resource consumption.")</f>
        <v>Limit the zoom FPS rate to 10, avoiding excessive student and instructor resource consumption.</v>
      </c>
      <c r="F56" s="15"/>
      <c r="G56" s="25" t="s">
        <v>236</v>
      </c>
      <c r="H56" s="9" t="s">
        <v>18</v>
      </c>
      <c r="I56" s="9"/>
      <c r="J56" s="33" t="s">
        <v>457</v>
      </c>
      <c r="K56" s="30" t="s">
        <v>18</v>
      </c>
      <c r="L56" s="31"/>
      <c r="M56" s="6"/>
      <c r="N56" s="6"/>
      <c r="O56" s="25"/>
      <c r="P56" s="6"/>
    </row>
    <row r="57">
      <c r="A57" s="61">
        <v>63.0</v>
      </c>
      <c r="B57" s="8" t="s">
        <v>164</v>
      </c>
      <c r="C57" s="44" t="s">
        <v>191</v>
      </c>
      <c r="D57" s="36" t="str">
        <f>IFERROR(__xludf.DUMMYFUNCTION("filter('Imported Recommendations'!B:D,'Imported Recommendations'!A:A=A57)"),"It would help if you observed each student and, and then, you have to listen a lot, too, what was the difficulty he had and where he arrived. So, then, we do a final assessment per student, but our perception of it. If he did well, if he had a lot of doub"&amp;"t, what was the point that generated the most suspicion for him?
I tell them, I am not going to grade you on what you submit. I'm going to grade you on how you got there because getting there is not the point. It's the journey, right? That's the point. ["&amp;"...] I teach them that every failure is a learning opportunity. If you fail and you learn something, you get credit. It's not a failure because you've learned something, we're here to learn.
You can't just grade what they submit. You have to watch how th"&amp;"ey're working.
For the assessment, as I said, I give them a lot of leeway in the beginning. Um, they can make mistakes on their Kanban board and still get full credit if they know what the mistakes are that they made. However, in later sprints, if they m"&amp;"ake the same mistakes, then I start taking points off.  So I give them time to learn, uh, so that they feel that they can make a few mistakes, take a few risks, um, and not get penalized for it.
 If there's problems, I'll tell you where there's problems "&amp;"and you can go fix it, go get it, right. Go, go make it, do what it's supposed to do. You know, because in industry we're, we don't just get a one and done shot. We keep at it until it works. And so I bring that to the table and I think that provides a li"&amp;"ttle less pressure on students.
I tend not to get quite as hyper-focused on right versus wrong answers. ... so treating it as, as more of an assessment of maybe architecture, if you will, or an assessment of approach, as opposed to this is right, this is"&amp;" wrong. Uh, I think that's been fairly well received.
So people need to feel comfortable sharing, if they've made a mistake or not thinking that they're gonna have their headquarters. Right. Um, so when talking about that, if students have never worked i"&amp;"n the context where, you know, people are blaming each other and stuff, it's difficult to understand I, to, to be concrete. And this is so crucial.")</f>
        <v>It would help if you observed each student and, and then, you have to listen a lot, too, what was the difficulty he had and where he arrived. So, then, we do a final assessment per student, but our perception of it. If he did well, if he had a lot of doubt, what was the point that generated the most suspicion for him?
I tell them, I am not going to grade you on what you submit. I'm going to grade you on how you got there because getting there is not the point. It's the journey, right? That's the point. [...] I teach them that every failure is a learning opportunity. If you fail and you learn something, you get credit. It's not a failure because you've learned something, we're here to learn.
You can't just grade what they submit. You have to watch how they're working.
For the assessment, as I said, I give them a lot of leeway in the beginning. Um, they can make mistakes on their Kanban board and still get full credit if they know what the mistakes are that they made. However, in later sprints, if they make the same mistakes, then I start taking points off.  So I give them time to learn, uh, so that they feel that they can make a few mistakes, take a few risks, um, and not get penalized for it.
 If there's problems, I'll tell you where there's problems and you can go fix it, go get it, right. Go, go make it, do what it's supposed to do. You know, because in industry we're, we don't just get a one and done shot. We keep at it until it works. And so I bring that to the table and I think that provides a little less pressure on students.
I tend not to get quite as hyper-focused on right versus wrong answers. ... so treating it as, as more of an assessment of maybe architecture, if you will, or an assessment of approach, as opposed to this is right, this is wrong. Uh, I think that's been fairly well received.
So people need to feel comfortable sharing, if they've made a mistake or not thinking that they're gonna have their headquarters. Right. Um, so when talking about that, if students have never worked in the context where, you know, people are blaming each other and stuff, it's difficult to understand I, to, to be concrete. And this is so crucial.</v>
      </c>
      <c r="E57" s="24" t="str">
        <f>IFERROR(__xludf.DUMMYFUNCTION("""COMPUTED_VALUE"""),"Individually assess the student's progress throughout the course.
Grade students based on their learning journey and mistakes, not on what they submit. What's important is how they get there, because every failure is learning opportunity.
Grade based ho"&amp;"w the students working their tasks and not only what they are submitting.
For the assessment, the students can make mistakes in the beginning without fear of being penalized.
Students can fix their code problems. In industry, we keep coding until it wor"&amp;"ks. It also provides a little less pressure on students.
Do not focus your assessment on right versus wrong answers.
Create an environment that students feel comfortable with sharing about their mistakes and learn how with their teammates.")</f>
        <v>Individually assess the student's progress throughout the course.
Grade students based on their learning journey and mistakes, not on what they submit. What's important is how they get there, because every failure is learning opportunity.
Grade based how the students working their tasks and not only what they are submitting.
For the assessment, the students can make mistakes in the beginning without fear of being penalized.
Students can fix their code problems. In industry, we keep coding until it works. It also provides a little less pressure on students.
Do not focus your assessment on right versus wrong answers.
Create an environment that students feel comfortable with sharing about their mistakes and learn how with their teammates.</v>
      </c>
      <c r="F57" s="24" t="str">
        <f>IFERROR(__xludf.DUMMYFUNCTION("""COMPUTED_VALUE"""),"Grade students based on their learning journey and mistakes. What's important is how they get there, because every failure is learning opportunity.")</f>
        <v>Grade students based on their learning journey and mistakes. What's important is how they get there, because every failure is learning opportunity.</v>
      </c>
      <c r="G57" s="25" t="s">
        <v>513</v>
      </c>
      <c r="H57" s="9" t="s">
        <v>29</v>
      </c>
      <c r="I57" s="9"/>
      <c r="J57" s="33" t="s">
        <v>356</v>
      </c>
      <c r="K57" s="30" t="s">
        <v>29</v>
      </c>
      <c r="L57" s="31"/>
      <c r="M57" s="6"/>
      <c r="N57" s="6"/>
      <c r="O57" s="25"/>
      <c r="P57" s="6"/>
    </row>
    <row r="58">
      <c r="A58" s="8">
        <v>64.0</v>
      </c>
      <c r="B58" s="8" t="s">
        <v>165</v>
      </c>
      <c r="C58" s="8" t="s">
        <v>191</v>
      </c>
      <c r="D58" s="36" t="str">
        <f>IFERROR(__xludf.DUMMYFUNCTION("filter('Imported Recommendations'!B:D,'Imported Recommendations'!A:A=A58)"),"They also assess the course at the end; we send you a link and recommend you do this, consider some topics to take the NPS; I think the NPS is the universal metric for assessment, I don't know if you put it under the puts under the radar, the Net Promoter"&amp;" Score, from zero to ten, where zero to zero to seven is Detractor, eight is passive, nine to ten is promoter based on a set of questions that you cannot induce the student.
When people come in to do this, this, this feedback with the students, understan"&amp;"d, the students also talk to a person who is not me, who on the last day, I leave, it is a recommendation I give, I leave the conference to leave the students at ease, talking to this person, they make a mistake during the training and the person got anno"&amp;"yed, and with you inside, they will be a little, a little afraid to expose, although it is also by email.
You need to get the feedback, you don't get the feedback, right? So, and when we, when the students do the student evaluation, of course don't write"&amp;" much. So it's much easier if you can trigger this question.")</f>
        <v>They also assess the course at the end; we send you a link and recommend you do this, consider some topics to take the NPS; I think the NPS is the universal metric for assessment, I don't know if you put it under the puts under the radar, the Net Promoter Score, from zero to ten, where zero to zero to seven is Detractor, eight is passive, nine to ten is promoter based on a set of questions that you cannot induce the student.
When people come in to do this, this, this feedback with the students, understand, the students also talk to a person who is not me, who on the last day, I leave, it is a recommendation I give, I leave the conference to leave the students at ease, talking to this person, they make a mistake during the training and the person got annoyed, and with you inside, they will be a little, a little afraid to expose, although it is also by email.
You need to get the feedback, you don't get the feedback, right? So, and when we, when the students do the student evaluation, of course don't write much. So it's much easier if you can trigger this question.</v>
      </c>
      <c r="E58" s="36" t="str">
        <f>IFERROR(__xludf.DUMMYFUNCTION("""COMPUTED_VALUE"""),"Evaluate the course, performing an NPS (Net Promoter Score) with students.
Teachers and monitors must not be present at the time of course evaluation by students.
Do not try to get feedback before a student assessment, as the student may feel fearful.")</f>
        <v>Evaluate the course, performing an NPS (Net Promoter Score) with students.
Teachers and monitors must not be present at the time of course evaluation by students.
Do not try to get feedback before a student assessment, as the student may feel fearful.</v>
      </c>
      <c r="F58" s="36" t="str">
        <f>IFERROR(__xludf.DUMMYFUNCTION("""COMPUTED_VALUE"""),"Evaluate the course.")</f>
        <v>Evaluate the course.</v>
      </c>
      <c r="G58" s="25" t="s">
        <v>237</v>
      </c>
      <c r="H58" s="9" t="s">
        <v>29</v>
      </c>
      <c r="I58" s="9"/>
      <c r="J58" s="33" t="s">
        <v>357</v>
      </c>
      <c r="K58" s="30" t="s">
        <v>29</v>
      </c>
      <c r="L58" s="31"/>
      <c r="M58" s="6"/>
      <c r="N58" s="6"/>
      <c r="O58" s="25"/>
      <c r="P58" s="6"/>
    </row>
    <row r="59">
      <c r="A59" s="61">
        <v>66.0</v>
      </c>
      <c r="B59" s="8" t="s">
        <v>164</v>
      </c>
      <c r="C59" s="44" t="s">
        <v>191</v>
      </c>
      <c r="D59" s="36" t="str">
        <f>IFERROR(__xludf.DUMMYFUNCTION("filter('Imported Recommendations'!B:D,'Imported Recommendations'!A:A=A59)"),"If possible, record at least one training for an autoscopy at the end. See if you have any language addiction, if there were any process that didn't fit the way you imagined, that would work, because when you're talking and doing, sometimes, there's a det"&amp;"ail that it shouldn't.")</f>
        <v>If possible, record at least one training for an autoscopy at the end. See if you have any language addiction, if there were any process that didn't fit the way you imagined, that would work, because when you're talking and doing, sometimes, there's a detail that it shouldn't.</v>
      </c>
      <c r="E59" s="24" t="str">
        <f>IFERROR(__xludf.DUMMYFUNCTION("""COMPUTED_VALUE"""),"Record a training for the teacher to assess language addiction and whether the class flowed as planned.")</f>
        <v>Record a training for the teacher to assess language addiction and whether the class flowed as planned.</v>
      </c>
      <c r="F59" s="65"/>
      <c r="G59" s="25" t="s">
        <v>514</v>
      </c>
      <c r="H59" s="9" t="s">
        <v>29</v>
      </c>
      <c r="I59" s="9"/>
      <c r="J59" s="33" t="s">
        <v>358</v>
      </c>
      <c r="K59" s="30" t="s">
        <v>29</v>
      </c>
      <c r="L59" s="31"/>
      <c r="M59" s="6"/>
      <c r="N59" s="6"/>
      <c r="O59" s="25"/>
      <c r="P59" s="6"/>
    </row>
    <row r="60">
      <c r="A60" s="8">
        <v>67.0</v>
      </c>
      <c r="B60" s="8" t="s">
        <v>165</v>
      </c>
      <c r="C60" s="8" t="s">
        <v>191</v>
      </c>
      <c r="D60" s="36" t="str">
        <f>IFERROR(__xludf.DUMMYFUNCTION("filter('Imported Recommendations'!B:D,'Imported Recommendations'!A:A=A60)"),"Mixing, theoretical and practical [...] is essential.")</f>
        <v>Mixing, theoretical and practical [...] is essential.</v>
      </c>
      <c r="E60" s="36" t="str">
        <f>IFERROR(__xludf.DUMMYFUNCTION("""COMPUTED_VALUE"""),"It is essential to mix the teaching of the theoretical part and the practical part of DevOps.")</f>
        <v>It is essential to mix the teaching of the theoretical part and the practical part of DevOps.</v>
      </c>
      <c r="F60" s="15"/>
      <c r="G60" s="25" t="s">
        <v>238</v>
      </c>
      <c r="H60" s="9" t="s">
        <v>10</v>
      </c>
      <c r="I60" s="9"/>
      <c r="J60" s="33" t="s">
        <v>359</v>
      </c>
      <c r="K60" s="30" t="s">
        <v>10</v>
      </c>
      <c r="L60" s="31"/>
      <c r="M60" s="6" t="s">
        <v>163</v>
      </c>
      <c r="N60" s="6" t="s">
        <v>163</v>
      </c>
      <c r="O60" s="25"/>
      <c r="P60" s="6"/>
    </row>
    <row r="61">
      <c r="A61" s="8">
        <v>68.0</v>
      </c>
      <c r="B61" s="8" t="s">
        <v>162</v>
      </c>
      <c r="C61" s="8" t="s">
        <v>191</v>
      </c>
      <c r="D61" s="36" t="str">
        <f>IFERROR(__xludf.DUMMYFUNCTION("filter('Imported Recommendations'!B:D,'Imported Recommendations'!A:A=A61)"),"We need to talk about the theoretical part about Lean, which is the Toyota method, Kaisen is also very important, Agile which is significantly linked to the DevOps process.")</f>
        <v>We need to talk about the theoretical part about Lean, which is the Toyota method, Kaisen is also very important, Agile which is significantly linked to the DevOps process.</v>
      </c>
      <c r="E61" s="36" t="str">
        <f>IFERROR(__xludf.DUMMYFUNCTION("""COMPUTED_VALUE"""),"In the theoretical part of DevOps, Lean, Kaisen, and Agile should be taught.")</f>
        <v>In the theoretical part of DevOps, Lean, Kaisen, and Agile should be taught.</v>
      </c>
      <c r="F61" s="15"/>
      <c r="G61" s="25" t="s">
        <v>239</v>
      </c>
      <c r="H61" s="9" t="s">
        <v>10</v>
      </c>
      <c r="I61" s="9"/>
      <c r="J61" s="33" t="s">
        <v>458</v>
      </c>
      <c r="K61" s="30" t="s">
        <v>10</v>
      </c>
      <c r="L61" s="31"/>
      <c r="M61" s="6" t="s">
        <v>163</v>
      </c>
      <c r="N61" s="6" t="s">
        <v>163</v>
      </c>
      <c r="O61" s="25"/>
      <c r="P61" s="6"/>
    </row>
    <row r="62">
      <c r="A62" s="61">
        <v>69.0</v>
      </c>
      <c r="B62" s="8" t="s">
        <v>164</v>
      </c>
      <c r="C62" s="44" t="s">
        <v>191</v>
      </c>
      <c r="D62" s="36" t="str">
        <f>IFERROR(__xludf.DUMMYFUNCTION("filter('Imported Recommendations'!B:D,'Imported Recommendations'!A:A=A62)"),"What is practical, from the menu, is to make an end-to-end software, [...] But, end-to-end, and the end, which is monitoring.")</f>
        <v>What is practical, from the menu, is to make an end-to-end software, [...] But, end-to-end, and the end, which is monitoring.</v>
      </c>
      <c r="E62" s="24" t="str">
        <f>IFERROR(__xludf.DUMMYFUNCTION("""COMPUTED_VALUE"""),"Make software from start to finish, going through the DevOps steps to the monitoring step.")</f>
        <v>Make software from start to finish, going through the DevOps steps to the monitoring step.</v>
      </c>
      <c r="F62" s="65"/>
      <c r="G62" s="25" t="s">
        <v>515</v>
      </c>
      <c r="H62" s="9" t="s">
        <v>10</v>
      </c>
      <c r="I62" s="9"/>
      <c r="J62" s="33" t="s">
        <v>360</v>
      </c>
      <c r="K62" s="30" t="s">
        <v>10</v>
      </c>
      <c r="L62" s="31"/>
      <c r="M62" s="6"/>
      <c r="N62" s="6"/>
      <c r="O62" s="25"/>
      <c r="P62" s="6"/>
    </row>
    <row r="63">
      <c r="A63" s="8">
        <v>70.0</v>
      </c>
      <c r="B63" s="8" t="s">
        <v>165</v>
      </c>
      <c r="C63" s="8" t="s">
        <v>191</v>
      </c>
      <c r="D63" s="36" t="str">
        <f>IFERROR(__xludf.DUMMYFUNCTION("filter('Imported Recommendations'!B:D,'Imported Recommendations'!A:A=A63)"),"Software build [...] deliver this to a VM, somehow, in the best way you understand, which is possible in your suite [...] You can provide it with Docker.")</f>
        <v>Software build [...] deliver this to a VM, somehow, in the best way you understand, which is possible in your suite [...] You can provide it with Docker.</v>
      </c>
      <c r="E63" s="36" t="str">
        <f>IFERROR(__xludf.DUMMYFUNCTION("""COMPUTED_VALUE"""),"Perform continuous delivery through virtual machines or with Docker.")</f>
        <v>Perform continuous delivery through virtual machines or with Docker.</v>
      </c>
      <c r="F63" s="15"/>
      <c r="G63" s="25" t="s">
        <v>240</v>
      </c>
      <c r="H63" s="9" t="s">
        <v>18</v>
      </c>
      <c r="I63" s="9"/>
      <c r="J63" s="33" t="s">
        <v>361</v>
      </c>
      <c r="K63" s="30" t="s">
        <v>18</v>
      </c>
      <c r="L63" s="31"/>
      <c r="M63" s="6"/>
      <c r="N63" s="6"/>
      <c r="O63" s="25"/>
      <c r="P63" s="6"/>
    </row>
    <row r="64">
      <c r="A64" s="8">
        <v>71.0</v>
      </c>
      <c r="B64" s="8" t="s">
        <v>162</v>
      </c>
      <c r="C64" s="8" t="s">
        <v>191</v>
      </c>
      <c r="D64" s="36" t="str">
        <f>IFERROR(__xludf.DUMMYFUNCTION("filter('Imported Recommendations'!B:D,'Imported Recommendations'!A:A=A64)"),"The software [...] a monitoring tool, in the end, for you to look at. [...] Look at a Grafana, for example, with Prometheus, which is free software, like that.")</f>
        <v>The software [...] a monitoring tool, in the end, for you to look at. [...] Look at a Grafana, for example, with Prometheus, which is free software, like that.</v>
      </c>
      <c r="E64" s="36" t="str">
        <f>IFERROR(__xludf.DUMMYFUNCTION("""COMPUTED_VALUE"""),"Use Grafana and Prometheus as monitoring tools.")</f>
        <v>Use Grafana and Prometheus as monitoring tools.</v>
      </c>
      <c r="F64" s="15"/>
      <c r="G64" s="25" t="s">
        <v>241</v>
      </c>
      <c r="H64" s="9" t="s">
        <v>18</v>
      </c>
      <c r="I64" s="9"/>
      <c r="J64" s="33" t="s">
        <v>459</v>
      </c>
      <c r="K64" s="30" t="s">
        <v>18</v>
      </c>
      <c r="L64" s="31"/>
      <c r="M64" s="6"/>
      <c r="N64" s="6"/>
      <c r="O64" s="25"/>
      <c r="P64" s="6"/>
    </row>
    <row r="65">
      <c r="A65" s="7">
        <v>72.0</v>
      </c>
      <c r="B65" s="8" t="s">
        <v>164</v>
      </c>
      <c r="C65" s="8" t="s">
        <v>191</v>
      </c>
      <c r="D65" s="36" t="str">
        <f>IFERROR(__xludf.DUMMYFUNCTION("filter('Imported Recommendations'!B:D,'Imported Recommendations'!A:A=A65)"),"Of the menu is to make an end-to-end software, to understand the software in its conception. We already deliver this to the student, ready. Because we're not going to create the software from scratch, because the code is already kind of polished, it's a c"&amp;"ode from a forum in Java, where we have some features that depend on the machine to do the build, so we're going to decouple.")</f>
        <v>Of the menu is to make an end-to-end software, to understand the software in its conception. We already deliver this to the student, ready. Because we're not going to create the software from scratch, because the code is already kind of polished, it's a code from a forum in Java, where we have some features that depend on the machine to do the build, so we're going to decouple.</v>
      </c>
      <c r="E65" s="36" t="str">
        <f>IFERROR(__xludf.DUMMYFUNCTION("""COMPUTED_VALUE"""),"Use a complete example project from places such as a java discussion forum.")</f>
        <v>Use a complete example project from places such as a java discussion forum.</v>
      </c>
      <c r="F65" s="15"/>
      <c r="G65" s="25" t="s">
        <v>516</v>
      </c>
      <c r="H65" s="9" t="s">
        <v>73</v>
      </c>
      <c r="I65" s="63"/>
      <c r="J65" s="33" t="s">
        <v>362</v>
      </c>
      <c r="K65" s="30" t="s">
        <v>73</v>
      </c>
      <c r="L65" s="31"/>
      <c r="M65" s="6" t="s">
        <v>163</v>
      </c>
      <c r="N65" s="6" t="s">
        <v>163</v>
      </c>
      <c r="O65" s="25"/>
      <c r="P65" s="6"/>
    </row>
    <row r="66">
      <c r="A66" s="8">
        <v>73.0</v>
      </c>
      <c r="B66" s="8" t="s">
        <v>165</v>
      </c>
      <c r="C66" s="8" t="s">
        <v>191</v>
      </c>
      <c r="D66" s="36" t="str">
        <f>IFERROR(__xludf.DUMMYFUNCTION("filter('Imported Recommendations'!B:D,'Imported Recommendations'!A:A=A66)"),"So, the first thing, uncouple the database connection that is versioned in the source code. You can still version the String os; although it's not the best practice, you don't have to comment out the code to change the environment because TomCat will read"&amp;" it from there. Versioning in a git, using a continuous integration like Jenkins, for example, and a constant deploy, a continuous delivery with, it can be with an Ansible, it can be with any tool you deliver or in a VM or the Cloud.")</f>
        <v>So, the first thing, uncouple the database connection that is versioned in the source code. You can still version the String os; although it's not the best practice, you don't have to comment out the code to change the environment because TomCat will read it from there. Versioning in a git, using a continuous integration like Jenkins, for example, and a constant deploy, a continuous delivery with, it can be with an Ansible, it can be with any tool you deliver or in a VM or the Cloud.</v>
      </c>
      <c r="E66" s="36" t="str">
        <f>IFERROR(__xludf.DUMMYFUNCTION("""COMPUTED_VALUE"""),"Carry out the following practical activities during the course: the first step is to decouple the database connection from the system code, then version the code with Git, insert continuous integration with Jenkins, and finish with constant delivery using"&amp;" public cloud services or tools with Ansible.")</f>
        <v>Carry out the following practical activities during the course: the first step is to decouple the database connection from the system code, then version the code with Git, insert continuous integration with Jenkins, and finish with constant delivery using public cloud services or tools with Ansible.</v>
      </c>
      <c r="F66" s="15"/>
      <c r="G66" s="25" t="s">
        <v>242</v>
      </c>
      <c r="H66" s="9" t="s">
        <v>10</v>
      </c>
      <c r="I66" s="9"/>
      <c r="J66" s="33" t="s">
        <v>363</v>
      </c>
      <c r="K66" s="30" t="s">
        <v>10</v>
      </c>
      <c r="L66" s="31"/>
      <c r="M66" s="6"/>
      <c r="N66" s="6"/>
      <c r="O66" s="25"/>
      <c r="P66" s="6"/>
    </row>
    <row r="67">
      <c r="A67" s="8">
        <v>74.0</v>
      </c>
      <c r="B67" s="8" t="s">
        <v>162</v>
      </c>
      <c r="C67" s="8" t="s">
        <v>191</v>
      </c>
      <c r="D67" s="36" t="str">
        <f>IFERROR(__xludf.DUMMYFUNCTION("filter('Imported Recommendations'!B:D,'Imported Recommendations'!A:A=A67)"),"Make it very clear, pedagogically, that I think it involves an exemplary sound configuration so that the student can hear you well, always with the camera open, even if the student doesn't open it, because he can't, but let him see you, that he feels this"&amp;" approach as much as possible.")</f>
        <v>Make it very clear, pedagogically, that I think it involves an exemplary sound configuration so that the student can hear you well, always with the camera open, even if the student doesn't open it, because he can't, but let him see you, that he feels this approach as much as possible.</v>
      </c>
      <c r="E67" s="36" t="str">
        <f>IFERROR(__xludf.DUMMYFUNCTION("""COMPUTED_VALUE"""),"Provide a comfortable learning environment for the student, such as remote teaching, which requires adequate audio and video equipment.")</f>
        <v>Provide a comfortable learning environment for the student, such as remote teaching, which requires adequate audio and video equipment.</v>
      </c>
      <c r="F67" s="15"/>
      <c r="G67" s="25" t="s">
        <v>243</v>
      </c>
      <c r="H67" s="9" t="s">
        <v>73</v>
      </c>
      <c r="I67" s="9"/>
      <c r="J67" s="33" t="s">
        <v>460</v>
      </c>
      <c r="K67" s="30" t="s">
        <v>73</v>
      </c>
      <c r="L67" s="31"/>
      <c r="M67" s="6" t="s">
        <v>163</v>
      </c>
      <c r="N67" s="6" t="s">
        <v>163</v>
      </c>
      <c r="O67" s="25"/>
      <c r="P67" s="6"/>
    </row>
    <row r="68">
      <c r="A68" s="7">
        <v>75.0</v>
      </c>
      <c r="B68" s="8" t="s">
        <v>164</v>
      </c>
      <c r="C68" s="8" t="s">
        <v>191</v>
      </c>
      <c r="D68" s="36" t="str">
        <f>IFERROR(__xludf.DUMMYFUNCTION("filter('Imported Recommendations'!B:D,'Imported Recommendations'!A:A=A68)"),"Within the menu, try to avoid making the student dependent on that stack you are teaching. So, if you're going to explain Jenkins, take half an hour to explain the pipeline in another tool, so he can see that it's possible. So he doesn't come out with the"&amp;" recipe ready. As much as we don't deliver it, the student creates a recipe in his head, and it won't fit in all of his daily routines. Then it will generate frustration. So, make it clear, look, can you see what we're doing? We're doing it for that reaso"&amp;"n, at Jenkins. Today we are going to use Bitbucket, for example, which is how we do it. One, as an example, correct?
They said: teacher, I can do it in such language, I can do it in such a platform, can I do it like this? [...] So, I am not going to say "&amp;"that there were, I do not know, six, seven, different environments, right? That there was, but let us put two or three, right, different ones. So, for us, professors, we are often not proficient in all of these, right? So, then the person will have to cla"&amp;"rify a doubt, then you say: man, I don't know. So, you decided to do it there, you kind of jump up, like, you know? The most we can do is try to convey the concepts, right? And when the person has a very big doubt like that, you say, boy, try to explain t"&amp;"o me how this technology is there that you are using see if I can at least translate the things that I know, that is it.")</f>
        <v>Within the menu, try to avoid making the student dependent on that stack you are teaching. So, if you're going to explain Jenkins, take half an hour to explain the pipeline in another tool, so he can see that it's possible. So he doesn't come out with the recipe ready. As much as we don't deliver it, the student creates a recipe in his head, and it won't fit in all of his daily routines. Then it will generate frustration. So, make it clear, look, can you see what we're doing? We're doing it for that reason, at Jenkins. Today we are going to use Bitbucket, for example, which is how we do it. One, as an example, correct?
They said: teacher, I can do it in such language, I can do it in such a platform, can I do it like this? [...] So, I am not going to say that there were, I do not know, six, seven, different environments, right? That there was, but let us put two or three, right, different ones. So, for us, professors, we are often not proficient in all of these, right? So, then the person will have to clarify a doubt, then you say: man, I don't know. So, you decided to do it there, you kind of jump up, like, you know? The most we can do is try to convey the concepts, right? And when the person has a very big doubt like that, you say, boy, try to explain to me how this technology is there that you are using see if I can at least translate the things that I know, that is it.</v>
      </c>
      <c r="E68" s="36" t="str">
        <f>IFERROR(__xludf.DUMMYFUNCTION("""COMPUTED_VALUE"""),"Show the student that there are several ways and tools to do the task.
Teach in a way that knowledge can be applied in different tools, but not focus on the possible specific problems of each technology.")</f>
        <v>Show the student that there are several ways and tools to do the task.
Teach in a way that knowledge can be applied in different tools, but not focus on the possible specific problems of each technology.</v>
      </c>
      <c r="F68" s="36" t="str">
        <f>IFERROR(__xludf.DUMMYFUNCTION("""COMPUTED_VALUE"""),"Show the student that there are several ways and tools to do the task.")</f>
        <v>Show the student that there are several ways and tools to do the task.</v>
      </c>
      <c r="G68" s="25" t="s">
        <v>517</v>
      </c>
      <c r="H68" s="9" t="s">
        <v>18</v>
      </c>
      <c r="I68" s="9"/>
      <c r="J68" s="33" t="s">
        <v>364</v>
      </c>
      <c r="K68" s="30" t="s">
        <v>18</v>
      </c>
      <c r="L68" s="31"/>
      <c r="M68" s="6" t="s">
        <v>163</v>
      </c>
      <c r="N68" s="6" t="s">
        <v>163</v>
      </c>
      <c r="O68" s="25"/>
      <c r="P68" s="6"/>
    </row>
    <row r="69">
      <c r="A69" s="8">
        <v>76.0</v>
      </c>
      <c r="B69" s="8" t="s">
        <v>165</v>
      </c>
      <c r="C69" s="8" t="s">
        <v>191</v>
      </c>
      <c r="D69" s="36" t="str">
        <f>IFERROR(__xludf.DUMMYFUNCTION("filter('Imported Recommendations'!B:D,'Imported Recommendations'!A:A=A69)"),"I ask the students to implement a straightforward system, which will serve the entire subject. In this minor system, we're going to have tested; there's going to be built, there's going to be continuous integration, there's going to be deployment, you kno"&amp;"w?
This part of the system, which I ask them to do to monitor the discipline [...] When you go to configure the tools and such, as you were the one who developed the system, it becomes easier, I believe for you to understand all the automation and such. "&amp;"However, at the same time, I see that the guys have much difficulty in doing it.")</f>
        <v>I ask the students to implement a straightforward system, which will serve the entire subject. In this minor system, we're going to have tested; there's going to be built, there's going to be continuous integration, there's going to be deployment, you know?
This part of the system, which I ask them to do to monitor the discipline [...] When you go to configure the tools and such, as you were the one who developed the system, it becomes easier, I believe for you to understand all the automation and such. However, at the same time, I see that the guys have much difficulty in doing it.</v>
      </c>
      <c r="E69" s="36" t="str">
        <f>IFERROR(__xludf.DUMMYFUNCTION("""COMPUTED_VALUE"""),"Use a simple example system made by students.
Students build their own systems during the course in order to increase their understanding of automation.")</f>
        <v>Use a simple example system made by students.
Students build their own systems during the course in order to increase their understanding of automation.</v>
      </c>
      <c r="F69" s="36" t="str">
        <f>IFERROR(__xludf.DUMMYFUNCTION("""COMPUTED_VALUE"""),"The students could build their own system during the course.")</f>
        <v>The students could build their own system during the course.</v>
      </c>
      <c r="G69" s="25" t="s">
        <v>244</v>
      </c>
      <c r="H69" s="30" t="s">
        <v>73</v>
      </c>
      <c r="I69" s="31"/>
      <c r="J69" s="33" t="s">
        <v>365</v>
      </c>
      <c r="K69" s="30" t="s">
        <v>73</v>
      </c>
      <c r="L69" s="31"/>
      <c r="M69" s="6" t="s">
        <v>163</v>
      </c>
      <c r="N69" s="6" t="s">
        <v>163</v>
      </c>
      <c r="O69" s="25"/>
      <c r="P69" s="6"/>
    </row>
    <row r="70">
      <c r="A70" s="8">
        <v>77.0</v>
      </c>
      <c r="B70" s="8" t="s">
        <v>162</v>
      </c>
      <c r="C70" s="8" t="s">
        <v>191</v>
      </c>
      <c r="D70" s="36" t="str">
        <f>IFERROR(__xludf.DUMMYFUNCTION("filter('Imported Recommendations'!B:D,'Imported Recommendations'!A:A=A70)"),"The point is to try to exercise as many tools as possible to provide everyone [...] with a range of things to apply in your daily life when you see the need.")</f>
        <v>The point is to try to exercise as many tools as possible to provide everyone [...] with a range of things to apply in your daily life when you see the need.</v>
      </c>
      <c r="E70" s="36" t="str">
        <f>IFERROR(__xludf.DUMMYFUNCTION("""COMPUTED_VALUE"""),"Exercise as many tools as possible.")</f>
        <v>Exercise as many tools as possible.</v>
      </c>
      <c r="F70" s="15"/>
      <c r="G70" s="25" t="s">
        <v>246</v>
      </c>
      <c r="H70" s="9" t="s">
        <v>18</v>
      </c>
      <c r="I70" s="9"/>
      <c r="J70" s="31" t="s">
        <v>461</v>
      </c>
      <c r="K70" s="30" t="s">
        <v>18</v>
      </c>
      <c r="L70" s="31"/>
      <c r="M70" s="6"/>
      <c r="N70" s="6"/>
      <c r="O70" s="25"/>
      <c r="P70" s="6"/>
    </row>
    <row r="71">
      <c r="A71" s="61">
        <v>78.0</v>
      </c>
      <c r="B71" s="8" t="s">
        <v>164</v>
      </c>
      <c r="C71" s="44" t="s">
        <v>191</v>
      </c>
      <c r="D71" s="36" t="str">
        <f>IFERROR(__xludf.DUMMYFUNCTION("filter('Imported Recommendations'!B:D,'Imported Recommendations'!A:A=A71)"),"Because you have to have the mentality that you will have to get materials from different sources, right? ... you'll have to resort to gray literature, right, which is this literature from the blog, the medium, the Nubank or Netflix blog, which are sensat"&amp;"ional articles, but that don't have that scientific rigor, peer review, and such. So, like, I think the DevOps teacher needs to understand that he's in this environment, right?
Material heterogeneity is the biggest challenge [...] you have to set up a cl"&amp;"ass sewing the fonts. So, sometimes, for example, in my integration course, I have to give several concepts, right? For you to talk about continuous integration, you need to talk about version control. You need to talk about build. You need to talk about "&amp;"testing. There are several things that are part of continuous integration, right? So, git-flow is not in the book, you know? Branch, development models, that's not in the book.
Most of the references, the most interesting cases that I considered bringing"&amp;" to the room are posts on INFO2, on Metzone, Hacker News, Twitter posts, Airbnb case study, Glitch, Orbitz, and such; other cases of those that are much more interesting than necessarily, books or ""scientific academic"" articles.")</f>
        <v>Because you have to have the mentality that you will have to get materials from different sources, right? ... you'll have to resort to gray literature, right, which is this literature from the blog, the medium, the Nubank or Netflix blog, which are sensational articles, but that don't have that scientific rigor, peer review, and such. So, like, I think the DevOps teacher needs to understand that he's in this environment, right?
Material heterogeneity is the biggest challenge [...] you have to set up a class sewing the fonts. So, sometimes, for example, in my integration course, I have to give several concepts, right? For you to talk about continuous integration, you need to talk about version control. You need to talk about build. You need to talk about testing. There are several things that are part of continuous integration, right? So, git-flow is not in the book, you know? Branch, development models, that's not in the book.
Most of the references, the most interesting cases that I considered bringing to the room are posts on INFO2, on Metzone, Hacker News, Twitter posts, Airbnb case study, Glitch, Orbitz, and such; other cases of those that are much more interesting than necessarily, books or "scientific academic" articles.</v>
      </c>
      <c r="E71" s="24" t="str">
        <f>IFERROR(__xludf.DUMMYFUNCTION("""COMPUTED_VALUE"""),"Use various sources of DevOps study materials, such as gray literature, blog (medium, Nubank, Netflix).
It is necessary to make use of several sources when creating the course.
Information in gray literature is more interesting to illustrate DevOps use "&amp;"cases: posts on INFO2, Metzone, Hacker News, Twitter, Airbnb case studies, Glitch, Orbitz.")</f>
        <v>Use various sources of DevOps study materials, such as gray literature, blog (medium, Nubank, Netflix).
It is necessary to make use of several sources when creating the course.
Information in gray literature is more interesting to illustrate DevOps use cases: posts on INFO2, Metzone, Hacker News, Twitter, Airbnb case studies, Glitch, Orbitz.</v>
      </c>
      <c r="F71" s="24" t="str">
        <f>IFERROR(__xludf.DUMMYFUNCTION("""COMPUTED_VALUE"""),"Use various sources of DevOps materials.")</f>
        <v>Use various sources of DevOps materials.</v>
      </c>
      <c r="G71" s="25" t="s">
        <v>518</v>
      </c>
      <c r="H71" s="9" t="s">
        <v>24</v>
      </c>
      <c r="I71" s="9"/>
      <c r="J71" s="33" t="s">
        <v>366</v>
      </c>
      <c r="K71" s="30" t="s">
        <v>24</v>
      </c>
      <c r="L71" s="31"/>
      <c r="M71" s="6"/>
      <c r="N71" s="6"/>
      <c r="O71" s="25"/>
      <c r="P71" s="6"/>
    </row>
    <row r="72">
      <c r="A72" s="8">
        <v>79.0</v>
      </c>
      <c r="B72" s="8" t="s">
        <v>165</v>
      </c>
      <c r="C72" s="8" t="s">
        <v>191</v>
      </c>
      <c r="D72" s="36" t="str">
        <f>IFERROR(__xludf.DUMMYFUNCTION("filter('Imported Recommendations'!B:D,'Imported Recommendations'!A:A=A72)"),"This part of the system, which I ask them to do to follow the discipline, [...] I'm seriously thinking about the idea of ​​simply giving them a system.
If I make this system, I can pass it on to people in a much simpler way, right? How do they do things "&amp;"and such.")</f>
        <v>This part of the system, which I ask them to do to follow the discipline, [...] I'm seriously thinking about the idea of ​​simply giving them a system.
If I make this system, I can pass it on to people in a much simpler way, right? How do they do things and such.</v>
      </c>
      <c r="E72" s="36" t="str">
        <f>IFERROR(__xludf.DUMMYFUNCTION("""COMPUTED_VALUE"""),"Deliver a ready-made sample system for students to use.
Using an example system designed by the teacher will give more confidence in supporting students during the course.")</f>
        <v>Deliver a ready-made sample system for students to use.
Using an example system designed by the teacher will give more confidence in supporting students during the course.</v>
      </c>
      <c r="F72" s="36" t="str">
        <f>IFERROR(__xludf.DUMMYFUNCTION("""COMPUTED_VALUE"""),"Deliver a ready-made sample system for students to use.")</f>
        <v>Deliver a ready-made sample system for students to use.</v>
      </c>
      <c r="G72" s="25" t="s">
        <v>247</v>
      </c>
      <c r="H72" s="9" t="s">
        <v>73</v>
      </c>
      <c r="I72" s="9"/>
      <c r="J72" s="33" t="s">
        <v>368</v>
      </c>
      <c r="K72" s="30" t="s">
        <v>73</v>
      </c>
      <c r="L72" s="31"/>
      <c r="M72" s="6" t="s">
        <v>163</v>
      </c>
      <c r="N72" s="6" t="s">
        <v>163</v>
      </c>
      <c r="O72" s="25"/>
      <c r="P72" s="6"/>
    </row>
    <row r="73">
      <c r="A73" s="8">
        <v>80.0</v>
      </c>
      <c r="B73" s="8" t="s">
        <v>162</v>
      </c>
      <c r="C73" s="8" t="s">
        <v>191</v>
      </c>
      <c r="D73" s="36" t="str">
        <f>IFERROR(__xludf.DUMMYFUNCTION("filter('Imported Recommendations'!B:D,'Imported Recommendations'!A:A=A73)"),"Maybe it makes sense for you to provide the environment for the students, right? And this provision, you can use a docker of life, which comes already, right?
I ended up doing was to give each group a big virtual machine. And on that machine, they run th"&amp;"ree or four Docker images. Uh, one with Artifactory, one with Jenkins.")</f>
        <v>Maybe it makes sense for you to provide the environment for the students, right? And this provision, you can use a docker of life, which comes already, right?
I ended up doing was to give each group a big virtual machine. And on that machine, they run three or four Docker images. Uh, one with Artifactory, one with Jenkins.</v>
      </c>
      <c r="E73" s="36" t="str">
        <f>IFERROR(__xludf.DUMMYFUNCTION("""COMPUTED_VALUE"""),"Provide initial environment setup for students.
Give each group a big virtual machine. And on that machine, run three or four Docker images. One with Artifactory, other with Jenkins.")</f>
        <v>Provide initial environment setup for students.
Give each group a big virtual machine. And on that machine, run three or four Docker images. One with Artifactory, other with Jenkins.</v>
      </c>
      <c r="F73" s="36" t="str">
        <f>IFERROR(__xludf.DUMMYFUNCTION("""COMPUTED_VALUE"""),"Provide initial environment setup for students.")</f>
        <v>Provide initial environment setup for students.</v>
      </c>
      <c r="G73" s="25" t="s">
        <v>248</v>
      </c>
      <c r="H73" s="9" t="s">
        <v>12</v>
      </c>
      <c r="I73" s="9"/>
      <c r="J73" s="33" t="s">
        <v>462</v>
      </c>
      <c r="K73" s="30" t="s">
        <v>12</v>
      </c>
      <c r="L73" s="31"/>
      <c r="M73" s="6"/>
      <c r="N73" s="6"/>
      <c r="O73" s="25"/>
      <c r="P73" s="6"/>
    </row>
    <row r="74">
      <c r="A74" s="7">
        <v>81.0</v>
      </c>
      <c r="B74" s="8" t="s">
        <v>164</v>
      </c>
      <c r="C74" s="8" t="s">
        <v>191</v>
      </c>
      <c r="D74" s="36" t="str">
        <f>IFERROR(__xludf.DUMMYFUNCTION("filter('Imported Recommendations'!B:D,'Imported Recommendations'!A:A=A74)"),"You need to talk about version control; you need to talk about build; you need to talk about testing; several things are part of continuous integration. So, git-flow is not in the book, you know? Branch, development models, that's not in the book. Then yo"&amp;"u start going to blogs and such, you know? Then, you will talk about software testing; if you were a software engineering book, this part of testing is extremely weak, so it is highly conceptual; there is nothing. Then you can get the articles.
 I teach "&amp;"them about the git feature branch workflow.
Some of this even goes down to git right, because a lot of people coming in know something about git a lot don't um, in many ways, my opinion, which I realize is, is probably not widely shared is that even if w"&amp;"e were restricted from a software engineering department perspective, almost everything we're teaching should be retooled along devops lines, uh.
We've introduced recently is a notion of digital branches and feature branches, for example, uh, linked to s"&amp;"tories, but we try to just give them small individual tools.")</f>
        <v>You need to talk about version control; you need to talk about build; you need to talk about testing; several things are part of continuous integration. So, git-flow is not in the book, you know? Branch, development models, that's not in the book. Then you start going to blogs and such, you know? Then, you will talk about software testing; if you were a software engineering book, this part of testing is extremely weak, so it is highly conceptual; there is nothing. Then you can get the articles.
 I teach them about the git feature branch workflow.
Some of this even goes down to git right, because a lot of people coming in know something about git a lot don't um, in many ways, my opinion, which I realize is, is probably not widely shared is that even if we were restricted from a software engineering department perspective, almost everything we're teaching should be retooled along devops lines, uh.
We've introduced recently is a notion of digital branches and feature branches, for example, uh, linked to stories, but we try to just give them small individual tools.</v>
      </c>
      <c r="E74" s="36" t="str">
        <f>IFERROR(__xludf.DUMMYFUNCTION("""COMPUTED_VALUE"""),"Version control with git feature branch workflow, build, continuous integration, and software testing content should be taught.
Teach git feature branch workflow.
Use git to teach how to manage the code.
Introduce the notion of digital branches and fea"&amp;"ture branches using small individual tools.")</f>
        <v>Version control with git feature branch workflow, build, continuous integration, and software testing content should be taught.
Teach git feature branch workflow.
Use git to teach how to manage the code.
Introduce the notion of digital branches and feature branches using small individual tools.</v>
      </c>
      <c r="F74" s="36" t="str">
        <f>IFERROR(__xludf.DUMMYFUNCTION("""COMPUTED_VALUE"""),"Teach version control with git feature branch workflow.")</f>
        <v>Teach version control with git feature branch workflow.</v>
      </c>
      <c r="G74" s="25" t="s">
        <v>369</v>
      </c>
      <c r="H74" s="9" t="s">
        <v>10</v>
      </c>
      <c r="I74" s="63"/>
      <c r="J74" s="33" t="s">
        <v>369</v>
      </c>
      <c r="K74" s="30" t="s">
        <v>10</v>
      </c>
      <c r="L74" s="31"/>
      <c r="M74" s="6" t="s">
        <v>163</v>
      </c>
      <c r="N74" s="6" t="s">
        <v>163</v>
      </c>
      <c r="O74" s="25"/>
      <c r="P74" s="6"/>
    </row>
    <row r="75">
      <c r="A75" s="8">
        <v>82.0</v>
      </c>
      <c r="B75" s="8" t="s">
        <v>165</v>
      </c>
      <c r="C75" s="8" t="s">
        <v>191</v>
      </c>
      <c r="D75" s="36" t="str">
        <f>IFERROR(__xludf.DUMMYFUNCTION("filter('Imported Recommendations'!B:D,'Imported Recommendations'!A:A=A75)"),"Something I don't do. I realize that I will need to do it, but it's precisely documenting, right? Those fonts, in case you need to revisit, eh, eh, because it's so easy, right? You open a blog and stuff, you close the tab, and it died like that. So, someh"&amp;"ow you, you are always documenting, where you got it, where you got it from, keep these links, if you have to, if you need to revisit there in future versions of the course, I don't know.")</f>
        <v>Something I don't do. I realize that I will need to do it, but it's precisely documenting, right? Those fonts, in case you need to revisit, eh, eh, because it's so easy, right? You open a blog and stuff, you close the tab, and it died like that. So, somehow you, you are always documenting, where you got it, where you got it from, keep these links, if you have to, if you need to revisit there in future versions of the course, I don't know.</v>
      </c>
      <c r="E75" s="36" t="str">
        <f>IFERROR(__xludf.DUMMYFUNCTION("""COMPUTED_VALUE"""),"Document the consulted material, facilitating future access.")</f>
        <v>Document the consulted material, facilitating future access.</v>
      </c>
      <c r="F75" s="15"/>
      <c r="G75" s="25" t="s">
        <v>249</v>
      </c>
      <c r="H75" s="9" t="s">
        <v>24</v>
      </c>
      <c r="I75" s="9"/>
      <c r="J75" s="33" t="s">
        <v>370</v>
      </c>
      <c r="K75" s="30" t="s">
        <v>24</v>
      </c>
      <c r="L75" s="31"/>
      <c r="M75" s="6"/>
      <c r="N75" s="6"/>
      <c r="O75" s="25"/>
      <c r="P75" s="6"/>
    </row>
    <row r="76">
      <c r="A76" s="8">
        <v>83.0</v>
      </c>
      <c r="B76" s="8" t="s">
        <v>162</v>
      </c>
      <c r="C76" s="8" t="s">
        <v>191</v>
      </c>
      <c r="D76" s="36" t="str">
        <f>IFERROR(__xludf.DUMMYFUNCTION("filter('Imported Recommendations'!B:D,'Imported Recommendations'!A:A=A76)"),"For this part of continuous integration, [...] When you talk about continuous integration, there are several tools you can use. So, you can use Jenkins; you can use Travis; you can use Circle CI, now Github Actions is here, you know?
And then I teach the"&amp;"m, CI continuous integration. I show them how to use Travis to automatically run the test cases.
From a tooling point of view, um, for the pipeline, we, we recommend Travis CI.
There are many checks in this course, we had to make sure that the students "&amp;"had done this and that, and that these, uh, checks could be, uh, automatized by your students. And they had, they added some GitHub actions and to the repository.
I want the code to go through a pipeline. It could be Jenkins. It could be github actions. "&amp;"It could be gitlab workflow. It could be GitHub action.")</f>
        <v>For this part of continuous integration, [...] When you talk about continuous integration, there are several tools you can use. So, you can use Jenkins; you can use Travis; you can use Circle CI, now Github Actions is here, you know?
And then I teach them, CI continuous integration. I show them how to use Travis to automatically run the test cases.
From a tooling point of view, um, for the pipeline, we, we recommend Travis CI.
There are many checks in this course, we had to make sure that the students had done this and that, and that these, uh, checks could be, uh, automatized by your students. And they had, they added some GitHub actions and to the repository.
I want the code to go through a pipeline. It could be Jenkins. It could be github actions. It could be gitlab workflow. It could be GitHub action.</v>
      </c>
      <c r="E76" s="36" t="str">
        <f>IFERROR(__xludf.DUMMYFUNCTION("""COMPUTED_VALUE"""),"Use Jenkins, Travis CI, Circle CI and Github Actions in teaching continuous integration.
Teach continuous integration using travis to automatically run the test cases.
Use Travis CI for the pipeline.
Do automation with Github actions.
Use Jenkins, Git"&amp;"Lab, or Github Actions as pipeline orchestration tools adopted by the course.")</f>
        <v>Use Jenkins, Travis CI, Circle CI and Github Actions in teaching continuous integration.
Teach continuous integration using travis to automatically run the test cases.
Use Travis CI for the pipeline.
Do automation with Github actions.
Use Jenkins, GitLab, or Github Actions as pipeline orchestration tools adopted by the course.</v>
      </c>
      <c r="F76" s="36" t="str">
        <f>IFERROR(__xludf.DUMMYFUNCTION("""COMPUTED_VALUE"""),"Teach continuous integration and pipeline automation.")</f>
        <v>Teach continuous integration and pipeline automation.</v>
      </c>
      <c r="G76" s="25" t="s">
        <v>250</v>
      </c>
      <c r="H76" s="9" t="s">
        <v>18</v>
      </c>
      <c r="I76" s="9"/>
      <c r="J76" s="33" t="s">
        <v>463</v>
      </c>
      <c r="K76" s="30" t="s">
        <v>18</v>
      </c>
      <c r="L76" s="31"/>
      <c r="M76" s="6"/>
      <c r="N76" s="6"/>
      <c r="O76" s="25"/>
      <c r="P76" s="6"/>
    </row>
    <row r="77">
      <c r="A77" s="61">
        <v>84.0</v>
      </c>
      <c r="B77" s="8" t="s">
        <v>164</v>
      </c>
      <c r="C77" s="44" t="s">
        <v>191</v>
      </c>
      <c r="D77" s="36" t="str">
        <f>IFERROR(__xludf.DUMMYFUNCTION("filter('Imported Recommendations'!B:D,'Imported Recommendations'!A:A=A77)"),"Jenkins, let's put it this way, he, even though he's challenging because he's not the easiest thing in the world to set up. These pains, I also think it's essential for the guys [...] Jenkins you don't pay anything [...] These pains, I also believe it is "&amp;"necessary for the guys when you get something a CI that works in the cloud and such, notice, hey, look how easy.")</f>
        <v>Jenkins, let's put it this way, he, even though he's challenging because he's not the easiest thing in the world to set up. These pains, I also think it's essential for the guys [...] Jenkins you don't pay anything [...] These pains, I also believe it is necessary for the guys when you get something a CI that works in the cloud and such, notice, hey, look how easy.</v>
      </c>
      <c r="E77" s="24" t="str">
        <f>IFERROR(__xludf.DUMMYFUNCTION("""COMPUTED_VALUE"""),"The difficulties of configuring CI tools like Jenkins are essential to student learning, facilitating a future transition to cloud CI tools.")</f>
        <v>The difficulties of configuring CI tools like Jenkins are essential to student learning, facilitating a future transition to cloud CI tools.</v>
      </c>
      <c r="F77" s="65"/>
      <c r="G77" s="25" t="s">
        <v>519</v>
      </c>
      <c r="H77" s="9" t="s">
        <v>18</v>
      </c>
      <c r="I77" s="9"/>
      <c r="J77" s="33" t="s">
        <v>371</v>
      </c>
      <c r="K77" s="30" t="s">
        <v>18</v>
      </c>
      <c r="L77" s="31"/>
      <c r="M77" s="6"/>
      <c r="N77" s="6"/>
      <c r="O77" s="25"/>
      <c r="P77" s="6"/>
    </row>
    <row r="78">
      <c r="A78" s="8">
        <v>85.0</v>
      </c>
      <c r="B78" s="8" t="s">
        <v>165</v>
      </c>
      <c r="C78" s="8" t="s">
        <v>191</v>
      </c>
      <c r="D78" s="36" t="str">
        <f>IFERROR(__xludf.DUMMYFUNCTION("filter('Imported Recommendations'!B:D,'Imported Recommendations'!A:A=A78)"),"The recommendation would be that it would be to get tools that are minimally relevant, right? And so that you can present the different cost-benefits of each one.
I try to pick a few key ones.")</f>
        <v>The recommendation would be that it would be to get tools that are minimally relevant, right? And so that you can present the different cost-benefits of each one.
I try to pick a few key ones.</v>
      </c>
      <c r="E78" s="36" t="str">
        <f>IFERROR(__xludf.DUMMYFUNCTION("""COMPUTED_VALUE"""),"Introduce students to minimal relevant tools and their tradeoffs.
Use few key tools.")</f>
        <v>Introduce students to minimal relevant tools and their tradeoffs.
Use few key tools.</v>
      </c>
      <c r="F78" s="36" t="str">
        <f>IFERROR(__xludf.DUMMYFUNCTION("""COMPUTED_VALUE"""),"Use few key tools.")</f>
        <v>Use few key tools.</v>
      </c>
      <c r="G78" s="25" t="s">
        <v>251</v>
      </c>
      <c r="H78" s="9" t="s">
        <v>18</v>
      </c>
      <c r="I78" s="9"/>
      <c r="J78" s="33" t="s">
        <v>372</v>
      </c>
      <c r="K78" s="30" t="s">
        <v>18</v>
      </c>
      <c r="L78" s="31"/>
      <c r="M78" s="6"/>
      <c r="N78" s="6"/>
      <c r="O78" s="25"/>
      <c r="P78" s="6"/>
    </row>
    <row r="79">
      <c r="A79" s="8">
        <v>86.0</v>
      </c>
      <c r="B79" s="8" t="s">
        <v>162</v>
      </c>
      <c r="C79" s="8" t="s">
        <v>191</v>
      </c>
      <c r="D79" s="36" t="str">
        <f>IFERROR(__xludf.DUMMYFUNCTION("filter('Imported Recommendations'!B:D,'Imported Recommendations'!A:A=A79)"),"I always pass some written evaluation of the basic concepts [...] I like the students to express in their own words what they understood [...] mainly from the cultural part.
 And the final exam, I keep, I keep the questions mostly conceptual, right. Beca"&amp;"use let's face it. If you understand the concepts, you can Google the details, right. But you don't know the concepts, you don't know what the Google, right. ... I do put some questions in that they would have only learned had they participated in the pro"&amp;"ject.
The exams are really more the conceptual or philosophical elements stuff, where there is a little more of a, a cut and dry response, or at least I try to structure them that way.")</f>
        <v>I always pass some written evaluation of the basic concepts [...] I like the students to express in their own words what they understood [...] mainly from the cultural part.
 And the final exam, I keep, I keep the questions mostly conceptual, right. Because let's face it. If you understand the concepts, you can Google the details, right. But you don't know the concepts, you don't know what the Google, right. ... I do put some questions in that they would have only learned had they participated in the project.
The exams are really more the conceptual or philosophical elements stuff, where there is a little more of a, a cut and dry response, or at least I try to structure them that way.</v>
      </c>
      <c r="E79" s="36" t="str">
        <f>IFERROR(__xludf.DUMMYFUNCTION("""COMPUTED_VALUE"""),"Use assessment writing of basic concepts and DevOps culture so that students can express what they understand in their own words.
Keep the exam questions mostly conceptual and about participation in the project in the final exam. 
The exams have more co"&amp;"nceptual or philosophical elements.")</f>
        <v>Use assessment writing of basic concepts and DevOps culture so that students can express what they understand in their own words.
Keep the exam questions mostly conceptual and about participation in the project in the final exam. 
The exams have more conceptual or philosophical elements.</v>
      </c>
      <c r="F79" s="15" t="str">
        <f>IFERROR(__xludf.DUMMYFUNCTION("""COMPUTED_VALUE"""),"Do exams with more conceptual questions.")</f>
        <v>Do exams with more conceptual questions.</v>
      </c>
      <c r="G79" s="25" t="s">
        <v>252</v>
      </c>
      <c r="H79" s="9" t="s">
        <v>29</v>
      </c>
      <c r="I79" s="9"/>
      <c r="J79" s="33" t="s">
        <v>464</v>
      </c>
      <c r="K79" s="30" t="s">
        <v>29</v>
      </c>
      <c r="L79" s="31"/>
      <c r="M79" s="6"/>
      <c r="N79" s="6"/>
      <c r="O79" s="25"/>
      <c r="P79" s="6"/>
    </row>
    <row r="80">
      <c r="A80" s="61">
        <v>87.0</v>
      </c>
      <c r="B80" s="8" t="s">
        <v>164</v>
      </c>
      <c r="C80" s="44" t="s">
        <v>191</v>
      </c>
      <c r="D80" s="36" t="str">
        <f>IFERROR(__xludf.DUMMYFUNCTION("filter('Imported Recommendations'!B:D,'Imported Recommendations'!A:A=A80)"),"DevOps [...] In the specialization course [...] you can break all this content into more extensive disciplines.")</f>
        <v>DevOps [...] In the specialization course [...] you can break all this content into more extensive disciplines.</v>
      </c>
      <c r="E80" s="24" t="str">
        <f>IFERROR(__xludf.DUMMYFUNCTION("""COMPUTED_VALUE"""),"It is possible to break the teaching of DevOps into various disciplines in a DevOps specialization course.")</f>
        <v>It is possible to break the teaching of DevOps into various disciplines in a DevOps specialization course.</v>
      </c>
      <c r="F80" s="65"/>
      <c r="G80" s="25" t="s">
        <v>520</v>
      </c>
      <c r="H80" s="9" t="s">
        <v>10</v>
      </c>
      <c r="I80" s="9"/>
      <c r="J80" s="33" t="s">
        <v>373</v>
      </c>
      <c r="K80" s="30" t="s">
        <v>10</v>
      </c>
      <c r="L80" s="31"/>
      <c r="M80" s="6"/>
      <c r="N80" s="6"/>
      <c r="O80" s="25"/>
      <c r="P80" s="6"/>
    </row>
    <row r="81">
      <c r="A81" s="8">
        <v>88.0</v>
      </c>
      <c r="B81" s="8" t="s">
        <v>165</v>
      </c>
      <c r="C81" s="8" t="s">
        <v>191</v>
      </c>
      <c r="D81" s="36" t="str">
        <f>IFERROR(__xludf.DUMMYFUNCTION("filter('Imported Recommendations'!B:D,'Imported Recommendations'!A:A=A81)"),"So, there are some things that you cannot miss. All, if you see the cute little DevOps cycle figure there, right? All that part of compiling, testing, making, monitoring, and evaluating, I think all of this needs to be charged in some way; it has to come "&amp;"in somehow.
I would have some more, uh, time for, uh, for basics of, uh, basics of DevOps and the old technologies, and not only focus on the things that are, uh, that are very novel and very being developed right now. So, uh, because that would give stu"&amp;"dents a better opportunity to, uh, understand the, uh, the other things as well.
")</f>
        <v>So, there are some things that you cannot miss. All, if you see the cute little DevOps cycle figure there, right? All that part of compiling, testing, making, monitoring, and evaluating, I think all of this needs to be charged in some way; it has to come in somehow.
I would have some more, uh, time for, uh, for basics of, uh, basics of DevOps and the old technologies, and not only focus on the things that are, uh, that are very novel and very being developed right now. So, uh, because that would give students a better opportunity to, uh, understand the, uh, the other things as well.
</v>
      </c>
      <c r="E81" s="36" t="str">
        <f>IFERROR(__xludf.DUMMYFUNCTION("""COMPUTED_VALUE"""),"The basics of building, testing, deploying, and monitoring should be present in a DevOps course.
Not just focus on the current, but teach the basics of DevOps and older technologies to a better understanding.")</f>
        <v>The basics of building, testing, deploying, and monitoring should be present in a DevOps course.
Not just focus on the current, but teach the basics of DevOps and older technologies to a better understanding.</v>
      </c>
      <c r="F81" s="36" t="str">
        <f>IFERROR(__xludf.DUMMYFUNCTION("""COMPUTED_VALUE"""),"The basics of building, testing, deploying, and monitoring should be present in a DevOps course.")</f>
        <v>The basics of building, testing, deploying, and monitoring should be present in a DevOps course.</v>
      </c>
      <c r="G81" s="25" t="s">
        <v>253</v>
      </c>
      <c r="H81" s="9" t="s">
        <v>10</v>
      </c>
      <c r="I81" s="9"/>
      <c r="J81" s="33" t="s">
        <v>253</v>
      </c>
      <c r="K81" s="30" t="s">
        <v>10</v>
      </c>
      <c r="L81" s="31"/>
      <c r="M81" s="6"/>
      <c r="N81" s="6"/>
      <c r="O81" s="25"/>
      <c r="P81" s="6"/>
    </row>
    <row r="82">
      <c r="A82" s="8">
        <v>89.0</v>
      </c>
      <c r="B82" s="8" t="s">
        <v>162</v>
      </c>
      <c r="C82" s="8" t="s">
        <v>191</v>
      </c>
      <c r="D82" s="36" t="str">
        <f>IFERROR(__xludf.DUMMYFUNCTION("filter('Imported Recommendations'!B:D,'Imported Recommendations'!A:A=A82)"),"During creation [...] Everything is already prepared, and the groups are always the same [...] it is the same booklet, the same content, the same teaching didactics, so there is no preparation for each class, you know? It was just an initial preparation.")</f>
        <v>During creation [...] Everything is already prepared, and the groups are always the same [...] it is the same booklet, the same content, the same teaching didactics, so there is no preparation for each class, you know? It was just an initial preparation.</v>
      </c>
      <c r="E82" s="36" t="str">
        <f>IFERROR(__xludf.DUMMYFUNCTION("""COMPUTED_VALUE"""),"Standardize the teaching material for all classes.")</f>
        <v>Standardize the teaching material for all classes.</v>
      </c>
      <c r="F82" s="15"/>
      <c r="G82" s="25" t="s">
        <v>254</v>
      </c>
      <c r="H82" s="9" t="s">
        <v>24</v>
      </c>
      <c r="I82" s="9"/>
      <c r="J82" s="33" t="s">
        <v>465</v>
      </c>
      <c r="K82" s="30" t="s">
        <v>24</v>
      </c>
      <c r="L82" s="31"/>
      <c r="M82" s="6"/>
      <c r="N82" s="6"/>
      <c r="O82" s="25"/>
      <c r="P82" s="6"/>
    </row>
    <row r="83">
      <c r="A83" s="61">
        <v>90.0</v>
      </c>
      <c r="B83" s="8" t="s">
        <v>164</v>
      </c>
      <c r="C83" s="44" t="s">
        <v>191</v>
      </c>
      <c r="D83" s="36" t="str">
        <f>IFERROR(__xludf.DUMMYFUNCTION("filter('Imported Recommendations'!B:D,'Imported Recommendations'!A:A=A83)"),"Training is limited [...] we will have to cut it, right? Focuses on tools, but which tools. So, this was a big challenge, so to think about which themes are essential, which means to teach, within each piece, right?")</f>
        <v>Training is limited [...] we will have to cut it, right? Focuses on tools, but which tools. So, this was a big challenge, so to think about which themes are essential, which means to teach, within each piece, right?</v>
      </c>
      <c r="E83" s="24" t="str">
        <f>IFERROR(__xludf.DUMMYFUNCTION("""COMPUTED_VALUE"""),"It is necessary to choose which topics and tools are essential as the course time is limited.")</f>
        <v>It is necessary to choose which topics and tools are essential as the course time is limited.</v>
      </c>
      <c r="F83" s="65"/>
      <c r="G83" s="25" t="s">
        <v>521</v>
      </c>
      <c r="H83" s="9" t="s">
        <v>24</v>
      </c>
      <c r="I83" s="9"/>
      <c r="J83" s="33" t="s">
        <v>374</v>
      </c>
      <c r="K83" s="30" t="s">
        <v>24</v>
      </c>
      <c r="L83" s="31"/>
      <c r="M83" s="6"/>
      <c r="N83" s="6"/>
      <c r="O83" s="25"/>
      <c r="P83" s="6"/>
    </row>
    <row r="84">
      <c r="A84" s="8">
        <v>91.0</v>
      </c>
      <c r="B84" s="8" t="s">
        <v>165</v>
      </c>
      <c r="C84" s="8" t="s">
        <v>191</v>
      </c>
      <c r="D84" s="36" t="str">
        <f>IFERROR(__xludf.DUMMYFUNCTION("filter('Imported Recommendations'!B:D,'Imported Recommendations'!A:A=A84)"),"the recommendation is to look at the market, search, see on Twitter, discussion groups, see what's hot on Google Trends. To know how to choose a tool that is more popular, right? That it is used more and that more people can enjoy the content there, right"&amp;"? Because they are tools they are already used to using.
The recommendation is to see what the market is using, right? Moreover, trying to go with what is most used, like, it was no use messing with CRIO if everyone uses Docker.
 I also try to use a set"&amp;" of tools that are popular in the industry.
It is very critical to teach them tools that are relevant and tools that will help them get a job.
Setting up good logging monitoring notifications, some of these other open source tools that provide that kind"&amp;" of those kinds of capabilities. ... So I try to pick a representative sample open source, always cause I don't want people to be buying things.
 I try to use as much as possible with tools that people use in industry and companies.
I wanted to go with "&amp;"open source technologies so I can explain later how we build the labs.")</f>
        <v>the recommendation is to look at the market, search, see on Twitter, discussion groups, see what's hot on Google Trends. To know how to choose a tool that is more popular, right? That it is used more and that more people can enjoy the content there, right? Because they are tools they are already used to using.
The recommendation is to see what the market is using, right? Moreover, trying to go with what is most used, like, it was no use messing with CRIO if everyone uses Docker.
 I also try to use a set of tools that are popular in the industry.
It is very critical to teach them tools that are relevant and tools that will help them get a job.
Setting up good logging monitoring notifications, some of these other open source tools that provide that kind of those kinds of capabilities. ... So I try to pick a representative sample open source, always cause I don't want people to be buying things.
 I try to use as much as possible with tools that people use in industry and companies.
I wanted to go with open source technologies so I can explain later how we build the labs.</v>
      </c>
      <c r="E84" s="36" t="str">
        <f>IFERROR(__xludf.DUMMYFUNCTION("""COMPUTED_VALUE"""),"Research market tools on Twitter, discussion groups, Google Trends, as they are probably the tools that students are used to using and will take advantage of in their work.
Use the most relevant tools on the market like Docker.
Use popular industry tool"&amp;"s.
Teach tools that will help to get a job.
Use representative open source industrial tools.
Use as much as possible relevant industry tools.
Prefer to use open source technologies.")</f>
        <v>Research market tools on Twitter, discussion groups, Google Trends, as they are probably the tools that students are used to using and will take advantage of in their work.
Use the most relevant tools on the market like Docker.
Use popular industry tools.
Teach tools that will help to get a job.
Use representative open source industrial tools.
Use as much as possible relevant industry tools.
Prefer to use open source technologies.</v>
      </c>
      <c r="F84" s="36" t="str">
        <f>IFERROR(__xludf.DUMMYFUNCTION("""COMPUTED_VALUE"""),"Use relevant industry tools.")</f>
        <v>Use relevant industry tools.</v>
      </c>
      <c r="G84" s="25" t="s">
        <v>255</v>
      </c>
      <c r="H84" s="9" t="s">
        <v>18</v>
      </c>
      <c r="I84" s="9"/>
      <c r="J84" s="33" t="s">
        <v>375</v>
      </c>
      <c r="K84" s="30" t="s">
        <v>18</v>
      </c>
      <c r="L84" s="31"/>
      <c r="M84" s="6" t="s">
        <v>163</v>
      </c>
      <c r="N84" s="6" t="s">
        <v>163</v>
      </c>
      <c r="O84" s="25"/>
      <c r="P84" s="6"/>
    </row>
    <row r="85">
      <c r="A85" s="61">
        <v>94.0</v>
      </c>
      <c r="B85" s="44" t="s">
        <v>162</v>
      </c>
      <c r="C85" s="8" t="s">
        <v>191</v>
      </c>
      <c r="D85" s="36" t="str">
        <f>IFERROR(__xludf.DUMMYFUNCTION("filter('Imported Recommendations'!B:D,'Imported Recommendations'!A:A=A85)"),"Which tool to choose, which one had to see, which was more standard in the market, which was more straightforward, which is even easier to teach, and how to fit it in, right?
You don't know what is Docker yet, but here's a common line. Just run it. And t"&amp;"hen here's a common line to run. Artifactory you don't know what it means, just type it like this. Um, it will give you an Artifactory that's running.")</f>
        <v>Which tool to choose, which one had to see, which was more standard in the market, which was more straightforward, which is even easier to teach, and how to fit it in, right?
You don't know what is Docker yet, but here's a common line. Just run it. And then here's a common line to run. Artifactory you don't know what it means, just type it like this. Um, it will give you an Artifactory that's running.</v>
      </c>
      <c r="E85" s="36" t="str">
        <f>IFERROR(__xludf.DUMMYFUNCTION("""COMPUTED_VALUE"""),"Use the simplest tools chosen by the market as a method of selecting the tools that will be adopted during the course.
Use the tools like Docker and Artifactory in simplest way.")</f>
        <v>Use the simplest tools chosen by the market as a method of selecting the tools that will be adopted during the course.
Use the tools like Docker and Artifactory in simplest way.</v>
      </c>
      <c r="F85" s="36" t="str">
        <f>IFERROR(__xludf.DUMMYFUNCTION("""COMPUTED_VALUE"""),"Use the DevOps tools in simplest way.")</f>
        <v>Use the DevOps tools in simplest way.</v>
      </c>
      <c r="G85" s="9" t="s">
        <v>257</v>
      </c>
      <c r="H85" s="9" t="s">
        <v>18</v>
      </c>
      <c r="I85" s="9"/>
      <c r="J85" s="30" t="s">
        <v>257</v>
      </c>
      <c r="K85" s="30" t="s">
        <v>18</v>
      </c>
      <c r="L85" s="31"/>
      <c r="M85" s="6"/>
      <c r="N85" s="6"/>
      <c r="O85" s="25"/>
      <c r="P85" s="6"/>
    </row>
    <row r="86">
      <c r="A86" s="8">
        <v>92.0</v>
      </c>
      <c r="B86" s="8" t="s">
        <v>162</v>
      </c>
      <c r="C86" s="8" t="s">
        <v>191</v>
      </c>
      <c r="D86" s="36" t="str">
        <f>IFERROR(__xludf.DUMMYFUNCTION("filter('Imported Recommendations'!B:D,'Imported Recommendations'!A:A=A86)"),"Of first showing the history, showing the motivation, showing the problem, and making some hooks with possible solutions that Devops was bringing, suitable?")</f>
        <v>Of first showing the history, showing the motivation, showing the problem, and making some hooks with possible solutions that Devops was bringing, suitable?</v>
      </c>
      <c r="E86" s="36" t="str">
        <f>IFERROR(__xludf.DUMMYFUNCTION("""COMPUTED_VALUE"""),"The assembly of classes should follow the following steps to use DevOps: history, motivation, problems that can be solved, and possible solutions with DevOps.")</f>
        <v>The assembly of classes should follow the following steps to use DevOps: history, motivation, problems that can be solved, and possible solutions with DevOps.</v>
      </c>
      <c r="F86" s="15"/>
      <c r="G86" s="25" t="s">
        <v>256</v>
      </c>
      <c r="H86" s="9" t="s">
        <v>24</v>
      </c>
      <c r="I86" s="9"/>
      <c r="J86" s="33" t="s">
        <v>466</v>
      </c>
      <c r="K86" s="30" t="s">
        <v>24</v>
      </c>
      <c r="L86" s="31"/>
      <c r="M86" s="6"/>
      <c r="N86" s="6"/>
      <c r="O86" s="25"/>
      <c r="P86" s="6"/>
    </row>
    <row r="87">
      <c r="A87" s="61">
        <v>93.0</v>
      </c>
      <c r="B87" s="8" t="s">
        <v>164</v>
      </c>
      <c r="C87" s="44" t="s">
        <v>191</v>
      </c>
      <c r="D87" s="36" t="str">
        <f>IFERROR(__xludf.DUMMYFUNCTION("filter('Imported Recommendations'!B:D,'Imported Recommendations'!A:A=A87)"),"So, we ended up choosing Java because it is the greatest strength; ours, that was Java.")</f>
        <v>So, we ended up choosing Java because it is the greatest strength; ours, that was Java.</v>
      </c>
      <c r="E87" s="24" t="str">
        <f>IFERROR(__xludf.DUMMYFUNCTION("""COMPUTED_VALUE"""),"Use a programming language that the teacher knows.")</f>
        <v>Use a programming language that the teacher knows.</v>
      </c>
      <c r="F87" s="65"/>
      <c r="G87" s="25" t="s">
        <v>522</v>
      </c>
      <c r="H87" s="9" t="s">
        <v>18</v>
      </c>
      <c r="I87" s="9"/>
      <c r="J87" s="33" t="s">
        <v>376</v>
      </c>
      <c r="K87" s="30" t="s">
        <v>18</v>
      </c>
      <c r="L87" s="31"/>
      <c r="M87" s="6"/>
      <c r="N87" s="6"/>
      <c r="O87" s="25"/>
      <c r="P87" s="6"/>
    </row>
    <row r="88">
      <c r="A88" s="8">
        <v>95.0</v>
      </c>
      <c r="B88" s="8" t="s">
        <v>162</v>
      </c>
      <c r="C88" s="8" t="s">
        <v>191</v>
      </c>
      <c r="D88" s="36" t="str">
        <f>IFERROR(__xludf.DUMMYFUNCTION("filter('Imported Recommendations'!B:D,'Imported Recommendations'!A:A=A88)"),"We don't evaluate, [...] but we keep observing, right, the students, and such throughout the training.")</f>
        <v>We don't evaluate, [...] but we keep observing, right, the students, and such throughout the training.</v>
      </c>
      <c r="E88" s="36" t="str">
        <f>IFERROR(__xludf.DUMMYFUNCTION("""COMPUTED_VALUE"""),"Monitor student progress throughout training by conducting a traditional assessment.")</f>
        <v>Monitor student progress throughout training by conducting a traditional assessment.</v>
      </c>
      <c r="F88" s="15"/>
      <c r="G88" s="25" t="s">
        <v>258</v>
      </c>
      <c r="H88" s="9" t="s">
        <v>29</v>
      </c>
      <c r="I88" s="9"/>
      <c r="J88" s="33" t="s">
        <v>467</v>
      </c>
      <c r="K88" s="30" t="s">
        <v>29</v>
      </c>
      <c r="L88" s="31"/>
      <c r="M88" s="6"/>
      <c r="N88" s="6"/>
      <c r="O88" s="25"/>
      <c r="P88" s="6"/>
    </row>
    <row r="89">
      <c r="A89" s="61">
        <v>96.0</v>
      </c>
      <c r="B89" s="8" t="s">
        <v>164</v>
      </c>
      <c r="C89" s="44" t="s">
        <v>191</v>
      </c>
      <c r="D89" s="36" t="str">
        <f>IFERROR(__xludf.DUMMYFUNCTION("filter('Imported Recommendations'!B:D,'Imported Recommendations'!A:A=A89)"),"One important thing for me, which became apparent during my studies, is that I had to show the background, the motivation somehow, so I wanted to fit it in any way in the curriculum at the beginning, showing the history of software development [...] inclu"&amp;"de these topics, like, more historical, which are not good, are not technical, right? But in a way that isn't too boring, you also [...] have to fit this with the technical part [...] With concepts of continuous integration, continuous delivery, continuou"&amp;"s deployment, tools, automation, anyway.")</f>
        <v>One important thing for me, which became apparent during my studies, is that I had to show the background, the motivation somehow, so I wanted to fit it in any way in the curriculum at the beginning, showing the history of software development [...] include these topics, like, more historical, which are not good, are not technical, right? But in a way that isn't too boring, you also [...] have to fit this with the technical part [...] With concepts of continuous integration, continuous delivery, continuous deployment, tools, automation, anyway.</v>
      </c>
      <c r="E89" s="24" t="str">
        <f>IFERROR(__xludf.DUMMYFUNCTION("""COMPUTED_VALUE"""),"Contextualize the historical aspects and definition of continuous integration, continuous delivery, continuous deployment, and automation concepts.")</f>
        <v>Contextualize the historical aspects and definition of continuous integration, continuous delivery, continuous deployment, and automation concepts.</v>
      </c>
      <c r="F89" s="65"/>
      <c r="G89" s="25" t="s">
        <v>523</v>
      </c>
      <c r="H89" s="9" t="s">
        <v>16</v>
      </c>
      <c r="I89" s="9"/>
      <c r="J89" s="33" t="s">
        <v>377</v>
      </c>
      <c r="K89" s="30" t="s">
        <v>16</v>
      </c>
      <c r="L89" s="31"/>
      <c r="M89" s="6"/>
      <c r="N89" s="6"/>
      <c r="O89" s="25"/>
      <c r="P89" s="6"/>
    </row>
    <row r="90">
      <c r="A90" s="8">
        <v>97.0</v>
      </c>
      <c r="B90" s="8" t="s">
        <v>165</v>
      </c>
      <c r="C90" s="8" t="s">
        <v>191</v>
      </c>
      <c r="D90" s="36" t="str">
        <f>IFERROR(__xludf.DUMMYFUNCTION("filter('Imported Recommendations'!B:D,'Imported Recommendations'!A:A=A90)")," I had to show the history somehow... the history of software development, showing about the processes. Cascade, RUP, agile, talk a lot about agile, because it's related and fit these topics, so, more historical, not sound, not technical... And make a par"&amp;"allel, there, with the agile world with the problems that DevOps came to solve, right?
I'm trying to tie the application of the devops principles and techniques and technologies, and to, and to link that together with agile approaches, for example.
We h"&amp;"elp them manage stories, backlog. Uh, so it's more on the front of, we give you requirements.
If you want to be able to experiment and, and to, to, to do the postmortem so that you can learn and you can solve issues and stuff.
I have to do more of this,"&amp;" um, story telling. ... I'm trying to share my experience with the students.")</f>
        <v> I had to show the history somehow... the history of software development, showing about the processes. Cascade, RUP, agile, talk a lot about agile, because it's related and fit these topics, so, more historical, not sound, not technical... And make a parallel, there, with the agile world with the problems that DevOps came to solve, right?
I'm trying to tie the application of the devops principles and techniques and technologies, and to, and to link that together with agile approaches, for example.
We help them manage stories, backlog. Uh, so it's more on the front of, we give you requirements.
If you want to be able to experiment and, and to, to, to do the postmortem so that you can learn and you can solve issues and stuff.
I have to do more of this, um, story telling. ... I'm trying to share my experience with the students.</v>
      </c>
      <c r="E90" s="36" t="str">
        <f>IFERROR(__xludf.DUMMYFUNCTION("""COMPUTED_VALUE"""),"It is important to show the relationship of DevOps with software development models, notably Agile.
Tie application of DevOps principles, techniques and technologies with Agile approaches.
Help students manage stories and backlog.
Make post mortem with"&amp;" the students to solve problems.
Use storytelling to share experience with the students.")</f>
        <v>It is important to show the relationship of DevOps with software development models, notably Agile.
Tie application of DevOps principles, techniques and technologies with Agile approaches.
Help students manage stories and backlog.
Make post mortem with the students to solve problems.
Use storytelling to share experience with the students.</v>
      </c>
      <c r="F90" s="36" t="str">
        <f>IFERROR(__xludf.DUMMYFUNCTION("""COMPUTED_VALUE"""),"Use Agile approaches in DevOps classes.")</f>
        <v>Use Agile approaches in DevOps classes.</v>
      </c>
      <c r="G90" s="25" t="s">
        <v>259</v>
      </c>
      <c r="H90" s="9" t="s">
        <v>16</v>
      </c>
      <c r="I90" s="9"/>
      <c r="J90" s="33" t="s">
        <v>378</v>
      </c>
      <c r="K90" s="30" t="s">
        <v>16</v>
      </c>
      <c r="L90" s="31"/>
      <c r="M90" s="6" t="s">
        <v>163</v>
      </c>
      <c r="N90" s="6" t="s">
        <v>163</v>
      </c>
      <c r="O90" s="25"/>
      <c r="P90" s="6"/>
    </row>
    <row r="91">
      <c r="A91" s="8">
        <v>98.0</v>
      </c>
      <c r="B91" s="8" t="s">
        <v>162</v>
      </c>
      <c r="C91" s="8" t="s">
        <v>191</v>
      </c>
      <c r="D91" s="36" t="str">
        <f>IFERROR(__xludf.DUMMYFUNCTION("filter('Imported Recommendations'!B:D,'Imported Recommendations'!A:A=A91)"),"To get Everything ready to avoid problems and lose the focus and essence of the group.")</f>
        <v>To get Everything ready to avoid problems and lose the focus and essence of the group.</v>
      </c>
      <c r="E91" s="36" t="str">
        <f>IFERROR(__xludf.DUMMYFUNCTION("""COMPUTED_VALUE"""),"Start a class with a pre-organized structure.")</f>
        <v>Start a class with a pre-organized structure.</v>
      </c>
      <c r="F91" s="15"/>
      <c r="G91" s="25" t="s">
        <v>260</v>
      </c>
      <c r="H91" s="9" t="s">
        <v>12</v>
      </c>
      <c r="I91" s="9"/>
      <c r="J91" s="33" t="s">
        <v>468</v>
      </c>
      <c r="K91" s="30" t="s">
        <v>12</v>
      </c>
      <c r="L91" s="31"/>
      <c r="M91" s="6"/>
      <c r="N91" s="6"/>
      <c r="O91" s="25"/>
      <c r="P91" s="6"/>
    </row>
    <row r="92">
      <c r="A92" s="8">
        <v>100.0</v>
      </c>
      <c r="B92" s="8" t="s">
        <v>165</v>
      </c>
      <c r="C92" s="8" t="s">
        <v>191</v>
      </c>
      <c r="D92" s="36" t="str">
        <f>IFERROR(__xludf.DUMMYFUNCTION("filter('Imported Recommendations'!B:D,'Imported Recommendations'!A:A=A92)"),"Working so hard on the theoretical aspects needed to understand why things in DevOps are in SRE as a whole [...] you have to have that.
Thus, DevOps and SRE are concepts that were born much more strongly in practice than in state of the art, that is, muc"&amp;"h more in the industry than necessarily in the university. So for you to deal with these concepts without making a real explanation, or bringing the main players about how they did it and why they did it, it is essential.")</f>
        <v>Working so hard on the theoretical aspects needed to understand why things in DevOps are in SRE as a whole [...] you have to have that.
Thus, DevOps and SRE are concepts that were born much more strongly in practice than in state of the art, that is, much more in the industry than necessarily in the university. So for you to deal with these concepts without making a real explanation, or bringing the main players about how they did it and why they did it, it is essential.</v>
      </c>
      <c r="E92" s="36" t="str">
        <f>IFERROR(__xludf.DUMMYFUNCTION("""COMPUTED_VALUE"""),"Relate devops to site reliability engineering (sre) for students.
Show the historical importance of DevOps and SRE concepts from the main players in the industry.")</f>
        <v>Relate devops to site reliability engineering (sre) for students.
Show the historical importance of DevOps and SRE concepts from the main players in the industry.</v>
      </c>
      <c r="F92" s="36" t="str">
        <f>IFERROR(__xludf.DUMMYFUNCTION("""COMPUTED_VALUE"""),"Relate devops to site reliability engineering (sre) for students.")</f>
        <v>Relate devops to site reliability engineering (sre) for students.</v>
      </c>
      <c r="G92" s="25" t="s">
        <v>261</v>
      </c>
      <c r="H92" s="9" t="s">
        <v>16</v>
      </c>
      <c r="I92" s="9"/>
      <c r="J92" s="33" t="s">
        <v>379</v>
      </c>
      <c r="K92" s="30" t="s">
        <v>16</v>
      </c>
      <c r="L92" s="31"/>
      <c r="M92" s="6" t="s">
        <v>163</v>
      </c>
      <c r="N92" s="6" t="s">
        <v>163</v>
      </c>
      <c r="O92" s="25"/>
      <c r="P92" s="6"/>
    </row>
    <row r="93">
      <c r="A93" s="8">
        <v>103.0</v>
      </c>
      <c r="B93" s="8" t="s">
        <v>165</v>
      </c>
      <c r="C93" s="8" t="s">
        <v>191</v>
      </c>
      <c r="D93" s="36" t="str">
        <f>IFERROR(__xludf.DUMMYFUNCTION("filter('Imported Recommendations'!B:D,'Imported Recommendations'!A:A=A93)"),"To bring the concept applied, then use a CDL approach, or PBL, that helps a lot, because then you have to present the problem and then show the idea behind the resolution of that problem.")</f>
        <v>To bring the concept applied, then use a CDL approach, or PBL, that helps a lot, because then you have to present the problem and then show the idea behind the resolution of that problem.</v>
      </c>
      <c r="E93" s="36" t="str">
        <f>IFERROR(__xludf.DUMMYFUNCTION("""COMPUTED_VALUE"""),"Make use of the Comprehensive Distance Learning (CDL) teaching methodology.")</f>
        <v>Make use of the Comprehensive Distance Learning (CDL) teaching methodology.</v>
      </c>
      <c r="F93" s="15"/>
      <c r="G93" s="25" t="s">
        <v>262</v>
      </c>
      <c r="H93" s="9" t="s">
        <v>24</v>
      </c>
      <c r="I93" s="9"/>
      <c r="J93" s="33" t="s">
        <v>380</v>
      </c>
      <c r="K93" s="30" t="s">
        <v>73</v>
      </c>
      <c r="L93" s="31"/>
      <c r="M93" s="6" t="s">
        <v>163</v>
      </c>
      <c r="N93" s="6"/>
      <c r="O93" s="25" t="s">
        <v>169</v>
      </c>
      <c r="P93" s="6"/>
    </row>
    <row r="94">
      <c r="A94" s="8">
        <v>104.0</v>
      </c>
      <c r="B94" s="8" t="s">
        <v>162</v>
      </c>
      <c r="C94" s="8" t="s">
        <v>191</v>
      </c>
      <c r="D94" s="36" t="str">
        <f>IFERROR(__xludf.DUMMYFUNCTION("filter('Imported Recommendations'!B:D,'Imported Recommendations'!A:A=A94)"),"DevOps comes very close in these quirks of software architecture-like chairs. You can't just stick to the concepts. In theory, you have to show the realization of these things.
You have to learn by doing.
You can't learn the DevOps culture from a book.
"&amp;"
Once you've been to the exercise session, you have to go back to the concept again and display them again because the, some concept only makes sense when you apply them.
I was saying at the beginning is that when you tell them that they're going to get "&amp;"their hands dirty and things that work one day will not work the other day, they start laughing. They don't take it seriously. Um, and then when they, when they building and they build a script to, I don't know, run some integration tests or to magically "&amp;"build Docker images and deploy them, it works on the machine on one guy of the group because they're working group, right? So they talk together. The one guy actually typing on the keyboard, he commits a script and they go, yes, we're done for the day. Le"&amp;"t's go to some of the tasks, right? And then the next day somebody else was in the group wants to use it. And it doesn't work for them because they have a different environment because the script was assuming that the Docker was installed.
If we can have"&amp;" a students together working together and, um, working on the projects and developing projects together at the same time while the teachers are there and they, uh, we can, uh, see what they are doing, that would be better. And I think we will, uh, hopeful"&amp;"ly do this, uh, next year when grown-up situation gets better.")</f>
        <v>DevOps comes very close in these quirks of software architecture-like chairs. You can't just stick to the concepts. In theory, you have to show the realization of these things.
You have to learn by doing.
You can't learn the DevOps culture from a book.
Once you've been to the exercise session, you have to go back to the concept again and display them again because the, some concept only makes sense when you apply them.
I was saying at the beginning is that when you tell them that they're going to get their hands dirty and things that work one day will not work the other day, they start laughing. They don't take it seriously. Um, and then when they, when they building and they build a script to, I don't know, run some integration tests or to magically build Docker images and deploy them, it works on the machine on one guy of the group because they're working group, right? So they talk together. The one guy actually typing on the keyboard, he commits a script and they go, yes, we're done for the day. Let's go to some of the tasks, right? And then the next day somebody else was in the group wants to use it. And it doesn't work for them because they have a different environment because the script was assuming that the Docker was installed.
If we can have a students together working together and, um, working on the projects and developing projects together at the same time while the teachers are there and they, uh, we can, uh, see what they are doing, that would be better. And I think we will, uh, hopefully do this, uh, next year when grown-up situation gets better.</v>
      </c>
      <c r="E94" s="36" t="str">
        <f>IFERROR(__xludf.DUMMYFUNCTION("""COMPUTED_VALUE"""),"It takes practice to understand DevOps concepts.
It is necessary to practice DevOps knowledge.
You can't learn the DevOps culture from a book.
DevOps concepts need to be shown in practice so that students can understand.
Students only understand probl"&amp;"ems of the environment setup when they experiment in the practice.
Promote a moment to students practice while teachers are around to help them.")</f>
        <v>It takes practice to understand DevOps concepts.
It is necessary to practice DevOps knowledge.
You can't learn the DevOps culture from a book.
DevOps concepts need to be shown in practice so that students can understand.
Students only understand problems of the environment setup when they experiment in the practice.
Promote a moment to students practice while teachers are around to help them.</v>
      </c>
      <c r="F94" s="36" t="str">
        <f>IFERROR(__xludf.DUMMYFUNCTION("""COMPUTED_VALUE"""),"It takes practice to understand DevOps concepts.")</f>
        <v>It takes practice to understand DevOps concepts.</v>
      </c>
      <c r="G94" s="25" t="s">
        <v>263</v>
      </c>
      <c r="H94" s="9" t="s">
        <v>73</v>
      </c>
      <c r="I94" s="9"/>
      <c r="J94" s="33" t="s">
        <v>469</v>
      </c>
      <c r="K94" s="30" t="s">
        <v>73</v>
      </c>
      <c r="L94" s="31"/>
      <c r="M94" s="6" t="s">
        <v>163</v>
      </c>
      <c r="N94" s="6"/>
      <c r="O94" s="25" t="s">
        <v>179</v>
      </c>
      <c r="P94" s="62"/>
    </row>
    <row r="95">
      <c r="A95" s="61">
        <v>105.0</v>
      </c>
      <c r="B95" s="8" t="s">
        <v>164</v>
      </c>
      <c r="C95" s="44" t="s">
        <v>191</v>
      </c>
      <c r="D95" s="36" t="str">
        <f>IFERROR(__xludf.DUMMYFUNCTION("filter('Imported Recommendations'!B:D,'Imported Recommendations'!A:A=A95)"),"I usually study the subject to understand and then see the best way to explain that subject.")</f>
        <v>I usually study the subject to understand and then see the best way to explain that subject.</v>
      </c>
      <c r="E95" s="24" t="str">
        <f>IFERROR(__xludf.DUMMYFUNCTION("""COMPUTED_VALUE"""),"Study the subject thoroughly before preparing for classes.")</f>
        <v>Study the subject thoroughly before preparing for classes.</v>
      </c>
      <c r="F95" s="65"/>
      <c r="G95" s="25" t="s">
        <v>524</v>
      </c>
      <c r="H95" s="9" t="s">
        <v>24</v>
      </c>
      <c r="I95" s="9"/>
      <c r="J95" s="33" t="s">
        <v>381</v>
      </c>
      <c r="K95" s="30" t="s">
        <v>24</v>
      </c>
      <c r="L95" s="31"/>
      <c r="M95" s="12"/>
      <c r="N95" s="6"/>
      <c r="O95" s="25"/>
      <c r="P95" s="6"/>
    </row>
    <row r="96">
      <c r="A96" s="8">
        <v>106.0</v>
      </c>
      <c r="B96" s="8" t="s">
        <v>165</v>
      </c>
      <c r="C96" s="8" t="s">
        <v>191</v>
      </c>
      <c r="D96" s="36" t="str">
        <f>IFERROR(__xludf.DUMMYFUNCTION("filter('Imported Recommendations'!B:D,'Imported Recommendations'!A:A=A96)"),"You propose the dynamics and have these things move the group because otherwise, it gets so dull.")</f>
        <v>You propose the dynamics and have these things move the group because otherwise, it gets so dull.</v>
      </c>
      <c r="E96" s="36" t="str">
        <f>IFERROR(__xludf.DUMMYFUNCTION("""COMPUTED_VALUE"""),"Use dynamics to inspire the class.")</f>
        <v>Use dynamics to inspire the class.</v>
      </c>
      <c r="F96" s="15"/>
      <c r="G96" s="25" t="s">
        <v>264</v>
      </c>
      <c r="H96" s="9" t="s">
        <v>73</v>
      </c>
      <c r="I96" s="9"/>
      <c r="J96" s="33" t="s">
        <v>382</v>
      </c>
      <c r="K96" s="30" t="s">
        <v>73</v>
      </c>
      <c r="L96" s="31"/>
      <c r="M96" s="12" t="s">
        <v>163</v>
      </c>
      <c r="N96" s="6" t="s">
        <v>163</v>
      </c>
      <c r="O96" s="25"/>
      <c r="P96" s="6"/>
    </row>
    <row r="97">
      <c r="A97" s="61">
        <v>108.0</v>
      </c>
      <c r="B97" s="8" t="s">
        <v>164</v>
      </c>
      <c r="C97" s="44" t="s">
        <v>191</v>
      </c>
      <c r="D97" s="36" t="str">
        <f>IFERROR(__xludf.DUMMYFUNCTION("filter('Imported Recommendations'!B:D,'Imported Recommendations'!A:A=A97)"),"I try to bring this up: Mesos, Marathon, then Swarm, even to exercise the concepts is more accessible, lighter than Kubernetes, and then after Kubernetes, Rancher, for example.")</f>
        <v>I try to bring this up: Mesos, Marathon, then Swarm, even to exercise the concepts is more accessible, lighter than Kubernetes, and then after Kubernetes, Rancher, for example.</v>
      </c>
      <c r="E97" s="24" t="str">
        <f>IFERROR(__xludf.DUMMYFUNCTION("""COMPUTED_VALUE"""),"Initially, adopt more straightforward tools such as Mesos, Marathon, and Docker Swarm before using the Kubernetes tool.")</f>
        <v>Initially, adopt more straightforward tools such as Mesos, Marathon, and Docker Swarm before using the Kubernetes tool.</v>
      </c>
      <c r="F97" s="65"/>
      <c r="G97" s="25" t="s">
        <v>525</v>
      </c>
      <c r="H97" s="9" t="s">
        <v>18</v>
      </c>
      <c r="I97" s="9"/>
      <c r="J97" s="33" t="s">
        <v>383</v>
      </c>
      <c r="K97" s="30" t="s">
        <v>18</v>
      </c>
      <c r="L97" s="31"/>
      <c r="M97" s="6"/>
      <c r="N97" s="6"/>
      <c r="O97" s="25"/>
      <c r="P97" s="6"/>
    </row>
    <row r="98">
      <c r="A98" s="8">
        <v>109.0</v>
      </c>
      <c r="B98" s="8" t="s">
        <v>165</v>
      </c>
      <c r="C98" s="8" t="s">
        <v>191</v>
      </c>
      <c r="D98" s="36" t="str">
        <f>IFERROR(__xludf.DUMMYFUNCTION("filter('Imported Recommendations'!B:D,'Imported Recommendations'!A:A=A98)"),"Some settings you can have for us to help, like, oh, you have the monitors team, for example, this allows you to go to a more excellent practical line because you'll have more arms to help you, evaluate and everything else.
We had to do as TAs and other "&amp;"things I think, uh, we, it's not, uh, only before the lecture, but during the whole, uh, time that this, uh, this course was, uh, going on, we had to check the, uh, check the github. And, um, students had, since they had to make some contributions, uh, we"&amp;" had to make sure that their contributions, uh, could pass all the checks that we had. [...] So we had to check that they were doing what they were supposed to do before the lectures, during the lectures and after it. So that was our, uh, our role in this"&amp;" course.
What we've done in this case was to let the TA grade the projects, um, because then it was way more simple. And as the two props, we were, uh, grading the exams and were like cross validating.")</f>
        <v>Some settings you can have for us to help, like, oh, you have the monitors team, for example, this allows you to go to a more excellent practical line because you'll have more arms to help you, evaluate and everything else.
We had to do as TAs and other things I think, uh, we, it's not, uh, only before the lecture, but during the whole, uh, time that this, uh, this course was, uh, going on, we had to check the, uh, check the github. And, um, students had, since they had to make some contributions, uh, we had to make sure that their contributions, uh, could pass all the checks that we had. [...] So we had to check that they were doing what they were supposed to do before the lectures, during the lectures and after it. So that was our, uh, our role in this course.
What we've done in this case was to let the TA grade the projects, um, because then it was way more simple. And as the two props, we were, uh, grading the exams and were like cross validating.</v>
      </c>
      <c r="E98" s="36" t="str">
        <f>IFERROR(__xludf.DUMMYFUNCTION("""COMPUTED_VALUE"""),"If possible, have a team of monitors to assist in the assessment process.
Teacher assistants check if students contributions pass all the roles of the course.
Teacher assistants grade the projects and the professors grade the exams with cross validating"&amp;".")</f>
        <v>If possible, have a team of monitors to assist in the assessment process.
Teacher assistants check if students contributions pass all the roles of the course.
Teacher assistants grade the projects and the professors grade the exams with cross validating.</v>
      </c>
      <c r="F98" s="36" t="str">
        <f>IFERROR(__xludf.DUMMYFUNCTION("""COMPUTED_VALUE"""),"Teacher assistants help in the assessment process.")</f>
        <v>Teacher assistants help in the assessment process.</v>
      </c>
      <c r="G98" s="25" t="s">
        <v>265</v>
      </c>
      <c r="H98" s="9" t="s">
        <v>29</v>
      </c>
      <c r="I98" s="9"/>
      <c r="J98" s="33" t="s">
        <v>384</v>
      </c>
      <c r="K98" s="30" t="s">
        <v>29</v>
      </c>
      <c r="L98" s="31"/>
      <c r="M98" s="6"/>
      <c r="N98" s="6"/>
      <c r="O98" s="25"/>
      <c r="P98" s="6"/>
    </row>
    <row r="99">
      <c r="A99" s="8">
        <v>110.0</v>
      </c>
      <c r="B99" s="8" t="s">
        <v>162</v>
      </c>
      <c r="C99" s="8" t="s">
        <v>191</v>
      </c>
      <c r="D99" s="36" t="str">
        <f>IFERROR(__xludf.DUMMYFUNCTION("filter('Imported Recommendations'!B:D,'Imported Recommendations'!A:A=A99)"),"Because it is based on the assumption in all my disciplines that, right, knowledge is an open work, right? I'm not the holder of all knowledge [...] So they learn to curate what is relevant, necessary or not, is part of my teaching and learning processes."&amp;"
So, in my activities, I always try to put a decision-making Delta that belongs to the team, right? To the students and who will obviously assess their understanding in all the semester's discussions. So, all decisions are valid, obviously, right?")</f>
        <v>Because it is based on the assumption in all my disciplines that, right, knowledge is an open work, right? I'm not the holder of all knowledge [...] So they learn to curate what is relevant, necessary or not, is part of my teaching and learning processes.
So, in my activities, I always try to put a decision-making Delta that belongs to the team, right? To the students and who will obviously assess their understanding in all the semester's discussions. So, all decisions are valid, obviously, right?</v>
      </c>
      <c r="E99" s="36" t="str">
        <f>IFERROR(__xludf.DUMMYFUNCTION("""COMPUTED_VALUE"""),"Instigate students' critical thinking and encourage the self-taught search for extra-class information.
Promote and evaluate students' independent decision-making in the learning process.")</f>
        <v>Instigate students' critical thinking and encourage the self-taught search for extra-class information.
Promote and evaluate students' independent decision-making in the learning process.</v>
      </c>
      <c r="F99" s="36" t="str">
        <f>IFERROR(__xludf.DUMMYFUNCTION("""COMPUTED_VALUE"""),"Promote students' independent decision-making in the learning process.")</f>
        <v>Promote students' independent decision-making in the learning process.</v>
      </c>
      <c r="G99" s="25" t="s">
        <v>266</v>
      </c>
      <c r="H99" s="9" t="s">
        <v>73</v>
      </c>
      <c r="I99" s="9"/>
      <c r="J99" s="33" t="s">
        <v>470</v>
      </c>
      <c r="K99" s="30" t="s">
        <v>73</v>
      </c>
      <c r="L99" s="31"/>
      <c r="M99" s="6"/>
      <c r="N99" s="6"/>
      <c r="O99" s="25"/>
      <c r="P99" s="6"/>
    </row>
    <row r="100">
      <c r="A100" s="61">
        <v>111.0</v>
      </c>
      <c r="B100" s="8" t="s">
        <v>164</v>
      </c>
      <c r="C100" s="44" t="s">
        <v>191</v>
      </c>
      <c r="D100" s="36" t="str">
        <f>IFERROR(__xludf.DUMMYFUNCTION("filter('Imported Recommendations'!B:D,'Imported Recommendations'!A:A=A100)"),"I already have mine that has my discipline ready, right? So the challenge, for those who will start one, is less.
I already have mine that has my discipline ready, right? So the challenge, for those who will start one, is less.")</f>
        <v>I already have mine that has my discipline ready, right? So the challenge, for those who will start one, is less.
I already have mine that has my discipline ready, right? So the challenge, for those who will start one, is less.</v>
      </c>
      <c r="E100" s="24" t="str">
        <f>IFERROR(__xludf.DUMMYFUNCTION("""COMPUTED_VALUE"""),"You can use the discipline that the interviewee professor Vinicius elaborated as a reference for the elaboration of other DevOps disciplines.
Use other DevOps courses as a reference.")</f>
        <v>You can use the discipline that the interviewee professor Vinicius elaborated as a reference for the elaboration of other DevOps disciplines.
Use other DevOps courses as a reference.</v>
      </c>
      <c r="F100" s="24" t="str">
        <f>IFERROR(__xludf.DUMMYFUNCTION("""COMPUTED_VALUE"""),"Use other DevOps courses as a reference.
")</f>
        <v>Use other DevOps courses as a reference.
</v>
      </c>
      <c r="G100" s="25" t="s">
        <v>526</v>
      </c>
      <c r="H100" s="9" t="s">
        <v>10</v>
      </c>
      <c r="I100" s="9"/>
      <c r="J100" s="33" t="s">
        <v>385</v>
      </c>
      <c r="K100" s="30" t="s">
        <v>10</v>
      </c>
      <c r="L100" s="31"/>
      <c r="M100" s="12"/>
      <c r="N100" s="6"/>
      <c r="O100" s="25"/>
      <c r="P100" s="6"/>
    </row>
    <row r="101">
      <c r="A101" s="8">
        <v>112.0</v>
      </c>
      <c r="B101" s="8" t="s">
        <v>165</v>
      </c>
      <c r="C101" s="8" t="s">
        <v>191</v>
      </c>
      <c r="D101" s="36" t="str">
        <f>IFERROR(__xludf.DUMMYFUNCTION("filter('Imported Recommendations'!B:D,'Imported Recommendations'!A:A=A101)"),"PBL matches very well with, at least like this, how I see the DevOps signals or architecture, or MicroServices, which is another discipline I have; it's cool because you can start from the problem and show why people are using what are you using. So I thi"&amp;"nk it matches perfectly.
Bringing the concept applied, then use an approach like CDL, or PBL, that helps a lot because then you have a way to present the problem and then show the concept behind the resolution of that problem.
Most of the time to give a"&amp;" problem solving questions where I put a problem and say, okay, and push a student to critically think. ... , I put a problem and then we'll come up with the solutions for the problem. And I haven't been able to find a good way to do that with DevOps, in,"&amp;" uh, in terms of assessment.
We decided to go on a problem-based approach. So having like introductory lecture, giving the context, giving the leads to follow, then getting a problem based on, on, uh, like a long-term project for the whole semester.")</f>
        <v>PBL matches very well with, at least like this, how I see the DevOps signals or architecture, or MicroServices, which is another discipline I have; it's cool because you can start from the problem and show why people are using what are you using. So I think it matches perfectly.
Bringing the concept applied, then use an approach like CDL, or PBL, that helps a lot because then you have a way to present the problem and then show the concept behind the resolution of that problem.
Most of the time to give a problem solving questions where I put a problem and say, okay, and push a student to critically think. ... , I put a problem and then we'll come up with the solutions for the problem. And I haven't been able to find a good way to do that with DevOps, in, uh, in terms of assessment.
We decided to go on a problem-based approach. So having like introductory lecture, giving the context, giving the leads to follow, then getting a problem based on, on, uh, like a long-term project for the whole semester.</v>
      </c>
      <c r="E101" s="36" t="str">
        <f>IFERROR(__xludf.DUMMYFUNCTION("""COMPUTED_VALUE"""),"Make use of Problem-Based Learning (PBL).
Problem-Based Learning (PBL) is great for teaching DevOps.
Use problem solving questions in DevOps assessment. It pushs student to critically think.
Use problem-based approach on the projects of the students.")</f>
        <v>Make use of Problem-Based Learning (PBL).
Problem-Based Learning (PBL) is great for teaching DevOps.
Use problem solving questions in DevOps assessment. It pushs student to critically think.
Use problem-based approach on the projects of the students.</v>
      </c>
      <c r="F101" s="36" t="str">
        <f>IFERROR(__xludf.DUMMYFUNCTION("""COMPUTED_VALUE"""),"Problem-Based Learning (PBL) is great for teaching DevOps.")</f>
        <v>Problem-Based Learning (PBL) is great for teaching DevOps.</v>
      </c>
      <c r="G101" s="9" t="str">
        <f>IFERROR(__xludf.DUMMYFUNCTION("GOOGLETRANSLATE(F101,DETECTLANGUAGE(F101),""en"")"),"Problem-Based Learning (PBL) is great for teaching DevOps.")</f>
        <v>Problem-Based Learning (PBL) is great for teaching DevOps.</v>
      </c>
      <c r="H101" s="9" t="s">
        <v>24</v>
      </c>
      <c r="I101" s="9"/>
      <c r="J101" s="33" t="s">
        <v>386</v>
      </c>
      <c r="K101" s="30" t="s">
        <v>73</v>
      </c>
      <c r="L101" s="31"/>
      <c r="M101" s="12" t="s">
        <v>163</v>
      </c>
      <c r="N101" s="6"/>
      <c r="O101" s="25" t="s">
        <v>169</v>
      </c>
      <c r="P101" s="62"/>
    </row>
    <row r="102">
      <c r="A102" s="8">
        <v>113.0</v>
      </c>
      <c r="B102" s="8" t="s">
        <v>162</v>
      </c>
      <c r="C102" s="8" t="s">
        <v>191</v>
      </c>
      <c r="D102" s="36" t="str">
        <f>IFERROR(__xludf.DUMMYFUNCTION("filter('Imported Recommendations'!B:D,'Imported Recommendations'!A:A=A102)"),"Today, I don't use it; I use not only PBL; there is an inverted classroom, right? I think this translation is into Portuguese; I work with missions, right? So, the execution itself is Agile; we always have a post-mortem for each task. My methodology today"&amp;", at work, is a combination of a series of different good practices that come from my professional experience and part of what I learned, seeing that it worked and didn't work while teaching.")</f>
        <v>Today, I don't use it; I use not only PBL; there is an inverted classroom, right? I think this translation is into Portuguese; I work with missions, right? So, the execution itself is Agile; we always have a post-mortem for each task. My methodology today, at work, is a combination of a series of different good practices that come from my professional experience and part of what I learned, seeing that it worked and didn't work while teaching.</v>
      </c>
      <c r="E102" s="36" t="str">
        <f>IFERROR(__xludf.DUMMYFUNCTION("""COMPUTED_VALUE"""),"Merge good practices of Problem-Based Learning (PBL), inverted class and Agile, through classroom experimentation.")</f>
        <v>Merge good practices of Problem-Based Learning (PBL), inverted class and Agile, through classroom experimentation.</v>
      </c>
      <c r="F102" s="15"/>
      <c r="G102" s="25" t="s">
        <v>269</v>
      </c>
      <c r="H102" s="9" t="s">
        <v>73</v>
      </c>
      <c r="I102" s="9"/>
      <c r="J102" s="33" t="s">
        <v>471</v>
      </c>
      <c r="K102" s="30" t="s">
        <v>73</v>
      </c>
      <c r="L102" s="31"/>
      <c r="M102" s="6"/>
      <c r="N102" s="6"/>
      <c r="O102" s="25"/>
      <c r="P102" s="6"/>
    </row>
    <row r="103">
      <c r="A103" s="61">
        <v>114.0</v>
      </c>
      <c r="B103" s="44" t="s">
        <v>165</v>
      </c>
      <c r="C103" s="44" t="s">
        <v>191</v>
      </c>
      <c r="D103" s="36" t="str">
        <f>IFERROR(__xludf.DUMMYFUNCTION("filter('Imported Recommendations'!B:D,'Imported Recommendations'!A:A=A103)"),"I break them up into nine teams of five students each.
For this course, I haven't done as much in terms of team projects, although I'm rolling that around to every, because everybody loves team projects.
 There was something like 17 groups.
I put them "&amp;"by a team of four, six per group, and then we work together and, and that's good also because it may be working in a team.")</f>
        <v>I break them up into nine teams of five students each.
For this course, I haven't done as much in terms of team projects, although I'm rolling that around to every, because everybody loves team projects.
 There was something like 17 groups.
I put them by a team of four, six per group, and then we work together and, and that's good also because it may be working in a team.</v>
      </c>
      <c r="E103" s="65" t="str">
        <f>IFERROR(__xludf.DUMMYFUNCTION("""COMPUTED_VALUE"""),"Organize the students into teams of five.
Students like to work on team projects.
Students organized by groups.
Put students to work by a team of four to six per group.")</f>
        <v>Organize the students into teams of five.
Students like to work on team projects.
Students organized by groups.
Put students to work by a team of four to six per group.</v>
      </c>
      <c r="F103" s="65" t="str">
        <f>IFERROR(__xludf.DUMMYFUNCTION("""COMPUTED_VALUE"""),"Organize the students into teams.")</f>
        <v>Organize the students into teams.</v>
      </c>
      <c r="G103" s="9" t="s">
        <v>270</v>
      </c>
      <c r="H103" s="9" t="s">
        <v>73</v>
      </c>
      <c r="I103" s="9"/>
      <c r="J103" s="30" t="s">
        <v>387</v>
      </c>
      <c r="K103" s="30" t="s">
        <v>73</v>
      </c>
      <c r="L103" s="31"/>
      <c r="M103" s="6"/>
      <c r="N103" s="6"/>
      <c r="O103" s="25"/>
      <c r="P103" s="6"/>
    </row>
    <row r="104">
      <c r="A104" s="61">
        <v>115.0</v>
      </c>
      <c r="B104" s="44" t="s">
        <v>162</v>
      </c>
      <c r="C104" s="44" t="s">
        <v>191</v>
      </c>
      <c r="D104" s="36" t="str">
        <f>IFERROR(__xludf.DUMMYFUNCTION("filter('Imported Recommendations'!B:D,'Imported Recommendations'!A:A=A104)"),"And then I tell them, I am not going to grade you on what you submit. I'm going to grade you on how you got there because getting there is not the point. It's the journey, right? That's the point. It's how you got there. And so, um, I teach my class in sp"&amp;"rints. We do five, two weeks sprints in a 15-week course. And I give them the requirements for each sprint, what I need them to build. And I teach them how to do agile planning. And then they go build an agile plan.
So I try to force them into these situ"&amp;"ations that really drive home the message of how to work as a DevOps team, how to work agile, but you've got to live it.
So we do things in sort of an iterative and incremental model where every week or every sprint, if you will build on the previous one"&amp;".")</f>
        <v>And then I tell them, I am not going to grade you on what you submit. I'm going to grade you on how you got there because getting there is not the point. It's the journey, right? That's the point. It's how you got there. And so, um, I teach my class in sprints. We do five, two weeks sprints in a 15-week course. And I give them the requirements for each sprint, what I need them to build. And I teach them how to do agile planning. And then they go build an agile plan.
So I try to force them into these situations that really drive home the message of how to work as a DevOps team, how to work agile, but you've got to live it.
So we do things in sort of an iterative and incremental model where every week or every sprint, if you will build on the previous one.</v>
      </c>
      <c r="E104" s="65" t="str">
        <f>IFERROR(__xludf.DUMMYFUNCTION("""COMPUTED_VALUE"""),"I teach my class in sprints. We do five, two weeks sprints in a 15-week course. I give them the requirements for each sprint, what I need them to build and I teach them how to do agile planning. Then they go build an agile plan.
Make students experiment "&amp;"situations where they can learn how to work as a DevOps team, how to work agile.
Use an incremental models with sprints.")</f>
        <v>I teach my class in sprints. We do five, two weeks sprints in a 15-week course. I give them the requirements for each sprint, what I need them to build and I teach them how to do agile planning. Then they go build an agile plan.
Make students experiment situations where they can learn how to work as a DevOps team, how to work agile.
Use an incremental models with sprints.</v>
      </c>
      <c r="F104" s="65" t="str">
        <f>IFERROR(__xludf.DUMMYFUNCTION("""COMPUTED_VALUE"""),"Do agile planning with sprints.")</f>
        <v>Do agile planning with sprints.</v>
      </c>
      <c r="G104" s="9" t="s">
        <v>271</v>
      </c>
      <c r="H104" s="9" t="s">
        <v>73</v>
      </c>
      <c r="I104" s="9"/>
      <c r="J104" s="30" t="s">
        <v>472</v>
      </c>
      <c r="K104" s="30" t="s">
        <v>73</v>
      </c>
      <c r="L104" s="31"/>
      <c r="M104" s="6"/>
      <c r="N104" s="6"/>
      <c r="O104" s="25"/>
      <c r="P104" s="6"/>
    </row>
    <row r="105">
      <c r="A105" s="61">
        <v>116.0</v>
      </c>
      <c r="B105" s="44" t="s">
        <v>164</v>
      </c>
      <c r="C105" s="44" t="s">
        <v>191</v>
      </c>
      <c r="D105" s="36" t="str">
        <f>IFERROR(__xludf.DUMMYFUNCTION("filter('Imported Recommendations'!B:D,'Imported Recommendations'!A:A=A105)"),"Those are the ones you remember, right? Not just read, right? If you learn in the abstract, you'll soon forget it. But if you learn in context, then you'll remember it because you understood why you did it. So I try to teach them just enough to get them g"&amp;"oing.
 I used to have people stand up during Jenkins instances to do the work, but that just at the end of the day, that's a distraction. My goal is not to teach them how to administer Jenkins.
I'm having conversations with the university about trying t"&amp;"o take the devops course and essentially converting it to a three course sequence one for agile, one for kind of the dev part of devops and one for the ops part of devops.
So second one is about establishing the pipeline and then they finish the second o"&amp;"ne by, uh, building the Docker images. But it's not in depth about containers or, or kubernetes, but that's easily touch it. Okay.
They need to do concrete things ... it's to be able to traverse the whole thing without necessarily going in depth about al"&amp;"l of these things.
I need very solid, uh, research. It's a sorry, a lab assistance. The people responsible for the labs of course, assistants that that can actually deal with the students. So I'm lucky to have students and have good industrial experience"&amp;", uh, to do that.")</f>
        <v>Those are the ones you remember, right? Not just read, right? If you learn in the abstract, you'll soon forget it. But if you learn in context, then you'll remember it because you understood why you did it. So I try to teach them just enough to get them going.
 I used to have people stand up during Jenkins instances to do the work, but that just at the end of the day, that's a distraction. My goal is not to teach them how to administer Jenkins.
I'm having conversations with the university about trying to take the devops course and essentially converting it to a three course sequence one for agile, one for kind of the dev part of devops and one for the ops part of devops.
So second one is about establishing the pipeline and then they finish the second one by, uh, building the Docker images. But it's not in depth about containers or, or kubernetes, but that's easily touch it. Okay.
They need to do concrete things ... it's to be able to traverse the whole thing without necessarily going in depth about all of these things.
I need very solid, uh, research. It's a sorry, a lab assistance. The people responsible for the labs of course, assistants that that can actually deal with the students. So I'm lucky to have students and have good industrial experience, uh, to do that.</v>
      </c>
      <c r="E105" s="65" t="str">
        <f>IFERROR(__xludf.DUMMYFUNCTION("""COMPUTED_VALUE"""),"Teach just enough to get them going so they can learn in the right context.
Do not focus on unnecessary features of tools like avoid administering Jenkins if you want to practice continuous integration.
You cannot possibly get through everything in deta"&amp;"ils.
Teach how to use tools like Docker and Kubernetes but do not much depth.
Do concrete things without necessarily going in depth about all.
Do not teach deeply some hard technologies like Kubernetes.")</f>
        <v>Teach just enough to get them going so they can learn in the right context.
Do not focus on unnecessary features of tools like avoid administering Jenkins if you want to practice continuous integration.
You cannot possibly get through everything in details.
Teach how to use tools like Docker and Kubernetes but do not much depth.
Do concrete things without necessarily going in depth about all.
Do not teach deeply some hard technologies like Kubernetes.</v>
      </c>
      <c r="F105" s="24" t="str">
        <f>IFERROR(__xludf.DUMMYFUNCTION("""COMPUTED_VALUE"""),"Teach just enough of DevOps tools to get the students going so they can learn in the right context. ")</f>
        <v>Teach just enough of DevOps tools to get the students going so they can learn in the right context. </v>
      </c>
      <c r="G105" s="9" t="s">
        <v>527</v>
      </c>
      <c r="H105" s="9" t="s">
        <v>73</v>
      </c>
      <c r="I105" s="9"/>
      <c r="J105" s="30" t="s">
        <v>388</v>
      </c>
      <c r="K105" s="30" t="s">
        <v>73</v>
      </c>
      <c r="L105" s="31"/>
      <c r="M105" s="6"/>
      <c r="N105" s="6"/>
      <c r="O105" s="25"/>
      <c r="P105" s="6"/>
    </row>
    <row r="106">
      <c r="A106" s="61">
        <v>117.0</v>
      </c>
      <c r="B106" s="44" t="s">
        <v>165</v>
      </c>
      <c r="C106" s="44" t="s">
        <v>191</v>
      </c>
      <c r="D106" s="36" t="str">
        <f>IFERROR(__xludf.DUMMYFUNCTION("filter('Imported Recommendations'!B:D,'Imported Recommendations'!A:A=A106)"),"I teach them how to work as a DevOps team. And we create a slack channel. , and I create a channel for each one of the teams. And they're all collaborating in their channel. They have 24/7 access to me. They can ping me at any time on slack.
You have a q"&amp;"uestion, ask me the question in the moment, right? Because that's when the answer is important to you.
Whenever they have a problem they can come to me. And I tell them, don't spend too much time Googling stuff. If you don't understand something, ask me "&amp;"if, if you don't understand what I presented, then I didn't present it in a way that you could connect with it. [...] Everybody learns differently.
I'm always asking you the last factor. I'm always taking almost an hour to, as a student. Just give me you"&amp;"r feedback. Like, like very openly, right? That's you should all give me a feedback again.
Each week we had, uh, four hours of, uh, lectures and answering questions from students and, and, uh, making, making some points about the course more clear.")</f>
        <v>I teach them how to work as a DevOps team. And we create a slack channel. , and I create a channel for each one of the teams. And they're all collaborating in their channel. They have 24/7 access to me. They can ping me at any time on slack.
You have a question, ask me the question in the moment, right? Because that's when the answer is important to you.
Whenever they have a problem they can come to me. And I tell them, don't spend too much time Googling stuff. If you don't understand something, ask me if, if you don't understand what I presented, then I didn't present it in a way that you could connect with it. [...] Everybody learns differently.
I'm always asking you the last factor. I'm always taking almost an hour to, as a student. Just give me your feedback. Like, like very openly, right? That's you should all give me a feedback again.
Each week we had, uh, four hours of, uh, lectures and answering questions from students and, and, uh, making, making some points about the course more clear.</v>
      </c>
      <c r="E106" s="65" t="str">
        <f>IFERROR(__xludf.DUMMYFUNCTION("""COMPUTED_VALUE"""),"I teach them how to work as a DevOps team. And they're all collaborating in their channel. They have 24/7 access to me. They can ping me at any time on slack.
The student's question should be answered in the moment.
Incentive professor-students interact"&amp;"ion, easing fast solving questions.
Take time to hear student's feedbacks very openly and give them your feedback too.
Separate time to answer students questions, each week, four hours, lectures and answering questions, making some points about the cour"&amp;"se more clear.")</f>
        <v>I teach them how to work as a DevOps team. And they're all collaborating in their channel. They have 24/7 access to me. They can ping me at any time on slack.
The student's question should be answered in the moment.
Incentive professor-students interaction, easing fast solving questions.
Take time to hear student's feedbacks very openly and give them your feedback too.
Separate time to answer students questions, each week, four hours, lectures and answering questions, making some points about the course more clear.</v>
      </c>
      <c r="F106" s="65" t="str">
        <f>IFERROR(__xludf.DUMMYFUNCTION("""COMPUTED_VALUE"""),"Provide fast feedback to the students.")</f>
        <v>Provide fast feedback to the students.</v>
      </c>
      <c r="G106" s="9" t="s">
        <v>272</v>
      </c>
      <c r="H106" s="9" t="s">
        <v>73</v>
      </c>
      <c r="I106" s="9"/>
      <c r="J106" s="30" t="s">
        <v>389</v>
      </c>
      <c r="K106" s="30" t="s">
        <v>73</v>
      </c>
      <c r="L106" s="31"/>
      <c r="M106" s="6" t="s">
        <v>163</v>
      </c>
      <c r="N106" s="6" t="s">
        <v>163</v>
      </c>
      <c r="O106" s="25"/>
      <c r="P106" s="6"/>
    </row>
    <row r="107">
      <c r="A107" s="61">
        <v>118.0</v>
      </c>
      <c r="B107" s="44" t="s">
        <v>162</v>
      </c>
      <c r="C107" s="44" t="s">
        <v>191</v>
      </c>
      <c r="D107" s="36" t="str">
        <f>IFERROR(__xludf.DUMMYFUNCTION("filter('Imported Recommendations'!B:D,'Imported Recommendations'!A:A=A107)"),"I like to make them feel a little bit of pain before I give them the solution. So I will have them to run their test cases.
The thing I've done to try to avoid a little bit of the mess is I want to go gradual. I want to be gradual in the class. So first "&amp;"I teach compilation and testing. Then I teach continuous integration. team A is going to build one piece team B is going to build another piece that depends upon what team is built.")</f>
        <v>I like to make them feel a little bit of pain before I give them the solution. So I will have them to run their test cases.
The thing I've done to try to avoid a little bit of the mess is I want to go gradual. I want to be gradual in the class. So first I teach compilation and testing. Then I teach continuous integration. team A is going to build one piece team B is going to build another piece that depends upon what team is built.</v>
      </c>
      <c r="E107" s="65" t="str">
        <f>IFERROR(__xludf.DUMMYFUNCTION("""COMPUTED_VALUE"""),"Don't give the solution right away, let them reach it first for themselves.
Teach DevOps giving the content gradually, like first teach compilation and testing, then continuous integration; do not give everything right away so easily.")</f>
        <v>Don't give the solution right away, let them reach it first for themselves.
Teach DevOps giving the content gradually, like first teach compilation and testing, then continuous integration; do not give everything right away so easily.</v>
      </c>
      <c r="F107" s="65" t="str">
        <f>IFERROR(__xludf.DUMMYFUNCTION("""COMPUTED_VALUE"""),"Don't give the solution right away.")</f>
        <v>Don't give the solution right away.</v>
      </c>
      <c r="G107" s="9" t="s">
        <v>273</v>
      </c>
      <c r="H107" s="9" t="s">
        <v>73</v>
      </c>
      <c r="I107" s="25"/>
      <c r="J107" s="30" t="s">
        <v>473</v>
      </c>
      <c r="K107" s="30" t="s">
        <v>73</v>
      </c>
      <c r="L107" s="31"/>
      <c r="M107" s="6"/>
      <c r="N107" s="6"/>
      <c r="O107" s="25"/>
      <c r="P107" s="6"/>
    </row>
    <row r="108">
      <c r="A108" s="61">
        <v>119.0</v>
      </c>
      <c r="B108" s="44" t="s">
        <v>164</v>
      </c>
      <c r="C108" s="44" t="s">
        <v>191</v>
      </c>
      <c r="D108" s="36" t="str">
        <f>IFERROR(__xludf.DUMMYFUNCTION("filter('Imported Recommendations'!B:D,'Imported Recommendations'!A:A=A108)"),"I'll have them run their test cases manually. And then when someone makes a pull request, I'm like, well, you need to clone that, run the test case. [...] And then [.. ] I show them how to [...] automatically run the test cases. [...] And so they write al"&amp;"l the test cases. And then, and then I, I teach them about code coverage. I said, it's not about the test passing. If the code coverage go down, then somebody code it without writing a test case, don't merge that pull-request, right? So I'm teaching this "&amp;"whole culture, right? This way of working. [...] Then finally we push it to the cloud. We set up CD pipelines to deploy things in the cloud")</f>
        <v>I'll have them run their test cases manually. And then when someone makes a pull request, I'm like, well, you need to clone that, run the test case. [...] And then [.. ] I show them how to [...] automatically run the test cases. [...] And so they write all the test cases. And then, and then I, I teach them about code coverage. I said, it's not about the test passing. If the code coverage go down, then somebody code it without writing a test case, don't merge that pull-request, right? So I'm teaching this whole culture, right? This way of working. [...] Then finally we push it to the cloud. We set up CD pipelines to deploy things in the cloud</v>
      </c>
      <c r="E108" s="65" t="str">
        <f>IFERROR(__xludf.DUMMYFUNCTION("""COMPUTED_VALUE"""),"Write some tests cases manually, do pull requests, do test automation with CI, write all test cases, teach code coverage. Then finally setup CD pipeline to deploy the application in the cloud.")</f>
        <v>Write some tests cases manually, do pull requests, do test automation with CI, write all test cases, teach code coverage. Then finally setup CD pipeline to deploy the application in the cloud.</v>
      </c>
      <c r="F108" s="65"/>
      <c r="G108" s="9" t="s">
        <v>528</v>
      </c>
      <c r="H108" s="9" t="s">
        <v>73</v>
      </c>
      <c r="I108" s="9"/>
      <c r="J108" s="30" t="s">
        <v>390</v>
      </c>
      <c r="K108" s="30" t="s">
        <v>73</v>
      </c>
      <c r="L108" s="31"/>
      <c r="M108" s="6" t="s">
        <v>163</v>
      </c>
      <c r="N108" s="6" t="s">
        <v>163</v>
      </c>
      <c r="O108" s="25"/>
      <c r="P108" s="6"/>
    </row>
    <row r="109">
      <c r="A109" s="61">
        <v>120.0</v>
      </c>
      <c r="B109" s="44" t="s">
        <v>165</v>
      </c>
      <c r="C109" s="44" t="s">
        <v>191</v>
      </c>
      <c r="D109" s="36" t="str">
        <f>IFERROR(__xludf.DUMMYFUNCTION("filter('Imported Recommendations'!B:D,'Imported Recommendations'!A:A=A109)"),"So sometimes a student will say to me: ""professor, what do I do if another student is like not pulling their weight on the team?"", And I say: ""when you go to a job interview, you're going to be asked the question, tell me about a time when a member of "&amp;"your team wasn't pulling their weight. And what did you do to get them excited and to contribute again, today's the day to go write that story. Today's the data to write the answer to that question"".
You need to sit together and experience because if yo"&amp;"u can't work as a team, you're not gonna make it right out in industry because we want team players. I don't want heroes. I don't want people who saved the day. I want people who mentor each other.")</f>
        <v>So sometimes a student will say to me: "professor, what do I do if another student is like not pulling their weight on the team?", And I say: "when you go to a job interview, you're going to be asked the question, tell me about a time when a member of your team wasn't pulling their weight. And what did you do to get them excited and to contribute again, today's the day to go write that story. Today's the data to write the answer to that question".
You need to sit together and experience because if you can't work as a team, you're not gonna make it right out in industry because we want team players. I don't want heroes. I don't want people who saved the day. I want people who mentor each other.</v>
      </c>
      <c r="E109" s="65" t="str">
        <f>IFERROR(__xludf.DUMMYFUNCTION("""COMPUTED_VALUE"""),"Make the group motivation a responsibility of themselves, students should motivate each other.
Teaching how to students mentor each other is one of the most important things and must be a priority.")</f>
        <v>Make the group motivation a responsibility of themselves, students should motivate each other.
Teaching how to students mentor each other is one of the most important things and must be a priority.</v>
      </c>
      <c r="F109" s="65" t="str">
        <f>IFERROR(__xludf.DUMMYFUNCTION("""COMPUTED_VALUE"""),"Make the group motivation a responsibility of themselves.")</f>
        <v>Make the group motivation a responsibility of themselves.</v>
      </c>
      <c r="G109" s="9" t="s">
        <v>274</v>
      </c>
      <c r="H109" s="9" t="s">
        <v>73</v>
      </c>
      <c r="I109" s="9"/>
      <c r="J109" s="30" t="s">
        <v>391</v>
      </c>
      <c r="K109" s="30" t="s">
        <v>73</v>
      </c>
      <c r="L109" s="31"/>
      <c r="M109" s="6"/>
      <c r="N109" s="6"/>
      <c r="O109" s="25"/>
      <c r="P109" s="6"/>
    </row>
    <row r="110">
      <c r="A110" s="61">
        <v>121.0</v>
      </c>
      <c r="B110" s="44" t="s">
        <v>162</v>
      </c>
      <c r="C110" s="44" t="s">
        <v>191</v>
      </c>
      <c r="D110" s="36" t="str">
        <f>IFERROR(__xludf.DUMMYFUNCTION("filter('Imported Recommendations'!B:D,'Imported Recommendations'!A:A=A110)"),"Do they understand what the cloud is? It'd be great if there was a cloud course before mine, but there isn't.
It's an option that we give them the year before too preparing them.")</f>
        <v>Do they understand what the cloud is? It'd be great if there was a cloud course before mine, but there isn't.
It's an option that we give them the year before too preparing them.</v>
      </c>
      <c r="E110" s="65" t="str">
        <f>IFERROR(__xludf.DUMMYFUNCTION("""COMPUTED_VALUE"""),"It'd be great if there was a Cloud course before DevOps course.
Prepare students with previous courses.")</f>
        <v>It'd be great if there was a Cloud course before DevOps course.
Prepare students with previous courses.</v>
      </c>
      <c r="F110" s="24" t="str">
        <f>IFERROR(__xludf.DUMMYFUNCTION("""COMPUTED_VALUE"""),"Prepare students with previous courses that teach related DevOps concepts.")</f>
        <v>Prepare students with previous courses that teach related DevOps concepts.</v>
      </c>
      <c r="G110" s="9" t="s">
        <v>275</v>
      </c>
      <c r="H110" s="9" t="s">
        <v>10</v>
      </c>
      <c r="I110" s="9"/>
      <c r="J110" s="30" t="s">
        <v>474</v>
      </c>
      <c r="K110" s="30" t="s">
        <v>10</v>
      </c>
      <c r="L110" s="31"/>
      <c r="M110" s="6"/>
      <c r="N110" s="6"/>
      <c r="O110" s="25"/>
      <c r="P110" s="6"/>
    </row>
    <row r="111">
      <c r="A111" s="61">
        <v>122.0</v>
      </c>
      <c r="B111" s="44" t="s">
        <v>164</v>
      </c>
      <c r="C111" s="44" t="s">
        <v>191</v>
      </c>
      <c r="D111" s="36" t="str">
        <f>IFERROR(__xludf.DUMMYFUNCTION("filter('Imported Recommendations'!B:D,'Imported Recommendations'!A:A=A111)"),"so I don't care if you using windows or using Mac or whatever you're using. We're all going to learn a bunch of Linux and we're going to deploy all our stuff, using a bunch of it and use all the tools in a bunch of.")</f>
        <v>so I don't care if you using windows or using Mac or whatever you're using. We're all going to learn a bunch of Linux and we're going to deploy all our stuff, using a bunch of it and use all the tools in a bunch of.</v>
      </c>
      <c r="E111" s="65" t="str">
        <f>IFERROR(__xludf.DUMMYFUNCTION("""COMPUTED_VALUE"""),"Use Linux operational system.")</f>
        <v>Use Linux operational system.</v>
      </c>
      <c r="F111" s="65"/>
      <c r="G111" s="9" t="s">
        <v>529</v>
      </c>
      <c r="H111" s="9" t="s">
        <v>18</v>
      </c>
      <c r="I111" s="9"/>
      <c r="J111" s="30" t="s">
        <v>392</v>
      </c>
      <c r="K111" s="30" t="s">
        <v>18</v>
      </c>
      <c r="L111" s="31"/>
      <c r="M111" s="6"/>
      <c r="N111" s="6"/>
      <c r="O111" s="25"/>
      <c r="P111" s="6"/>
    </row>
    <row r="112">
      <c r="A112" s="61">
        <v>123.0</v>
      </c>
      <c r="B112" s="44" t="s">
        <v>165</v>
      </c>
      <c r="C112" s="44" t="s">
        <v>191</v>
      </c>
      <c r="D112" s="36" t="str">
        <f>IFERROR(__xludf.DUMMYFUNCTION("filter('Imported Recommendations'!B:D,'Imported Recommendations'!A:A=A112)"),"We use Vagrant and VirtualBox. And so I don't care if you using windows or using Mac or whatever you're using.
I selected Vagrant and virtualbox because they're both free. ... so I had to change the class for them to use Docker and VirtualBox. 
They cal"&amp;"l my repo, Vagrant up and they're up and running. And so that's how I solve that problem. Bigger. It does a very good job of solving that consistent environments for students.")</f>
        <v>We use Vagrant and VirtualBox. And so I don't care if you using windows or using Mac or whatever you're using.
I selected Vagrant and virtualbox because they're both free. ... so I had to change the class for them to use Docker and VirtualBox. 
They call my repo, Vagrant up and they're up and running. And so that's how I solve that problem. Bigger. It does a very good job of solving that consistent environments for students.</v>
      </c>
      <c r="E112" s="24" t="str">
        <f>IFERROR(__xludf.DUMMYFUNCTION("""COMPUTED_VALUE"""),"Vagrant and VirtualBox are useful to create consistent development environment.
I selected Vagrant and virtualbox because they're free.
Make environment setup consistent between students using Vagrant.")</f>
        <v>Vagrant and VirtualBox are useful to create consistent development environment.
I selected Vagrant and virtualbox because they're free.
Make environment setup consistent between students using Vagrant.</v>
      </c>
      <c r="F112" s="66" t="str">
        <f>IFERROR(__xludf.DUMMYFUNCTION("""COMPUTED_VALUE"""),"Vagrant and VirtualBox tools are free and useful to create consistent development environment between students.")</f>
        <v>Vagrant and VirtualBox tools are free and useful to create consistent development environment between students.</v>
      </c>
      <c r="G112" s="9" t="s">
        <v>276</v>
      </c>
      <c r="H112" s="9" t="s">
        <v>18</v>
      </c>
      <c r="I112" s="9"/>
      <c r="J112" s="30" t="s">
        <v>393</v>
      </c>
      <c r="K112" s="30" t="s">
        <v>18</v>
      </c>
      <c r="L112" s="31"/>
      <c r="M112" s="6"/>
      <c r="N112" s="6"/>
      <c r="O112" s="25"/>
      <c r="P112" s="6"/>
    </row>
    <row r="113">
      <c r="A113" s="61">
        <v>124.0</v>
      </c>
      <c r="B113" s="44" t="s">
        <v>162</v>
      </c>
      <c r="C113" s="44" t="s">
        <v>191</v>
      </c>
      <c r="D113" s="36" t="str">
        <f>IFERROR(__xludf.DUMMYFUNCTION("filter('Imported Recommendations'!B:D,'Imported Recommendations'!A:A=A113)"),"I selected Vagrant and virtualbox because they're both free. ... so I had to change the class for them to use Docker and VirtualBox.
We build Docker images.
Let's go for something that we have more control on, uh, using for tools like Jenkins and and a "&amp;"stuff like Docker or Kubernetes was kind of good in a way to, uh, support the deployment and the, uh, like the building plus deployment stuff.
I want to be able to deploy it with containers. So it can be, um, through Kubernetes, it can be through Docker.")</f>
        <v>I selected Vagrant and virtualbox because they're both free. ... so I had to change the class for them to use Docker and VirtualBox.
We build Docker images.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v>
      </c>
      <c r="E113" s="65" t="str">
        <f>IFERROR(__xludf.DUMMYFUNCTION("""COMPUTED_VALUE"""),"I selected docker docker because it is free.
Docker can be chosen as DevOps tool.
Use tools like Docker to have more control on support the deployment.
Use Docker as container deployment tool adopted by the course.")</f>
        <v>I selected docker docker because it is free.
Docker can be chosen as DevOps tool.
Use tools like Docker to have more control on support the deployment.
Use Docker as container deployment tool adopted by the course.</v>
      </c>
      <c r="F113" s="67" t="str">
        <f>IFERROR(__xludf.DUMMYFUNCTION("""COMPUTED_VALUE"""),"Docker can be chosen as DevOps tool.")</f>
        <v>Docker can be chosen as DevOps tool.</v>
      </c>
      <c r="G113" s="9" t="s">
        <v>277</v>
      </c>
      <c r="H113" s="9" t="s">
        <v>18</v>
      </c>
      <c r="I113" s="9"/>
      <c r="J113" s="30" t="s">
        <v>475</v>
      </c>
      <c r="K113" s="30" t="s">
        <v>18</v>
      </c>
      <c r="L113" s="31"/>
      <c r="M113" s="6"/>
      <c r="N113" s="6"/>
      <c r="O113" s="25"/>
      <c r="P113" s="6"/>
    </row>
    <row r="114">
      <c r="A114" s="61">
        <v>125.0</v>
      </c>
      <c r="B114" s="44" t="s">
        <v>164</v>
      </c>
      <c r="C114" s="44" t="s">
        <v>191</v>
      </c>
      <c r="D114" s="36" t="str">
        <f>IFERROR(__xludf.DUMMYFUNCTION("filter('Imported Recommendations'!B:D,'Imported Recommendations'!A:A=A114)"),"We use selenium to, to work on the, uh, on the UI, as a browser.
We use Selenium for test automation.")</f>
        <v>We use selenium to, to work on the, uh, on the UI, as a browser.
We use Selenium for test automation.</v>
      </c>
      <c r="E114" s="65" t="str">
        <f>IFERROR(__xludf.DUMMYFUNCTION("""COMPUTED_VALUE"""),"Use Selenium to automate UI tests.
Use Selenium for test automation.")</f>
        <v>Use Selenium to automate UI tests.
Use Selenium for test automation.</v>
      </c>
      <c r="F114" s="65" t="str">
        <f>IFERROR(__xludf.DUMMYFUNCTION("""COMPUTED_VALUE"""),"Use Selenium for UI test automation.")</f>
        <v>Use Selenium for UI test automation.</v>
      </c>
      <c r="G114" s="9" t="s">
        <v>530</v>
      </c>
      <c r="H114" s="9" t="s">
        <v>18</v>
      </c>
      <c r="I114" s="9"/>
      <c r="J114" s="30" t="s">
        <v>394</v>
      </c>
      <c r="K114" s="30" t="s">
        <v>18</v>
      </c>
      <c r="L114" s="31"/>
      <c r="M114" s="6"/>
      <c r="N114" s="6"/>
      <c r="O114" s="25"/>
      <c r="P114" s="6"/>
    </row>
    <row r="115">
      <c r="A115" s="61">
        <v>126.0</v>
      </c>
      <c r="B115" s="44" t="s">
        <v>165</v>
      </c>
      <c r="C115" s="44" t="s">
        <v>191</v>
      </c>
      <c r="D115" s="36" t="str">
        <f>IFERROR(__xludf.DUMMYFUNCTION("filter('Imported Recommendations'!B:D,'Imported Recommendations'!A:A=A115)"),"Students will ask me, can I use a different test suite? Can I use, you know, something different? And I'll say, well, you can, but then it's up to you to figure out how it integrates back into everything.
 So it's rather simple that we, we let them, of c"&amp;"ourse use the programming language. They want to develop the application. So, you know, the department, I think traditional were quite open with respect to that in the department. Yes. Java is still used, but students, these days, don't like Java. Um, the"&amp;"y prefer Python. They prefer different things. So for us, we don't care, right? The application we give them when we gave them the HVAC application, we give them, uh, I think they have, I should even look myself, but I think we, we created two versions, o"&amp;"ne, it says Java version.
So we support them to the Travis CI. We support them with a certain number of things, but if they want to choose something else, it's okay. I mean, but you know, they have to understand that we won't necessarily support them.
W"&amp;"e asked them to choose a tool, uh, on internet and new tool, and then use that tool and show other students how that works. So, uh, we didn't have some predefined, uh, projects.
Just find whatever they want to find and work on whatever they want to work "&amp;"on and let them be free since that was our goal in this course, uh, we let them choose, um, novel technologies, the technologies and the tools that are being used, uh, today and the tools that are being developed today. 
We decided to let the student cho"&amp;"ose and said, okay, you have your option and do what you want, but you're responsible of doing it.
It was a graduate course, I started not to, uh, enforce given tools ... I want you to have a version control system that should be git, but git up, gitlab "&amp;"Bitbucket, Bitbucket on premises. ...  you can justify and defend each step of what's happening to your code in the context of devops.")</f>
        <v>Students will ask me, can I use a different test suite? Can I use, you know, something different? And I'll say, well, you can, but then it's up to you to figure out how it integrates back into everything.
 So it's rather simple that we, we let them, of course use the programming language. They want to develop the application. So, you know, the department, I think traditional were quite open with respect to that in the department. Yes. Java is still used, but students, these days, don't like Java. Um, they prefer Python. They prefer different things. So for us, we don't care, right? The application we give them when we gave them the HVAC application, we give them, uh, I think they have, I should even look myself, but I think we, we created two versions, one, it says Java version.
So we support them to the Travis CI. We support them with a certain number of things, but if they want to choose something else, it's okay. I mean, but you know, they have to understand that we won't necessarily support them.
We asked them to choose a tool, uh, on internet and new tool, and then use that tool and show other students how that works. So, uh, we didn't have some predefined, uh, projects.
Just find whatever they want to find and work on whatever they want to work on and let them be free since that was our goal in this course, uh, we let them choose, um, novel technologies, the technologies and the tools that are being used, uh, today and the tools that are being developed today. 
We decided to let the student choose and said, okay, you have your option and do what you want, but you're responsible of doing it.
It was a graduate course, I started not to, uh, enforce given tools ... I want you to have a version control system that should be git, but git up, gitlab Bitbucket, Bitbucket on premises. ...  you can justify and defend each step of what's happening to your code in the context of devops.</v>
      </c>
      <c r="E115" s="24" t="str">
        <f>IFERROR(__xludf.DUMMYFUNCTION("""COMPUTED_VALUE"""),"Students could use other tools non-taught without professor support.
Do not force students to use a single language like Java.
Give students the freedom to choose other tools they want, but make it clear that these tools will not be supported by teacher"&amp;"s during the class
The students choose the tools and the projects freely on internet.
Let the students be free about the used tools and technologies.
Give the responsibility to the student to chose the system and also the responsibility of what they ar"&amp;"e doing.
Do not enforce given tools on a graduate course. The students should justify and defend each step of what's happening to their code in the context of devops.")</f>
        <v>Students could use other tools non-taught without professor support.
Do not force students to use a single language like Java.
Give students the freedom to choose other tools they want, but make it clear that these tools will not be supported by teachers during the class
The students choose the tools and the projects freely on internet.
Let the students be free about the used tools and technologies.
Give the responsibility to the student to chose the system and also the responsibility of what they are doing.
Do not enforce given tools on a graduate course. The students should justify and defend each step of what's happening to their code in the context of devops.</v>
      </c>
      <c r="F115" s="24" t="str">
        <f>IFERROR(__xludf.DUMMYFUNCTION("""COMPUTED_VALUE"""),"Do not force the technology stack used by students in their systems.")</f>
        <v>Do not force the technology stack used by students in their systems.</v>
      </c>
      <c r="G115" s="9" t="s">
        <v>278</v>
      </c>
      <c r="H115" s="9" t="s">
        <v>18</v>
      </c>
      <c r="I115" s="9"/>
      <c r="J115" s="30" t="s">
        <v>278</v>
      </c>
      <c r="K115" s="30" t="s">
        <v>18</v>
      </c>
      <c r="L115" s="31"/>
      <c r="M115" s="6"/>
      <c r="N115" s="6"/>
      <c r="O115" s="25"/>
      <c r="P115" s="6"/>
    </row>
    <row r="116">
      <c r="A116" s="61">
        <v>127.0</v>
      </c>
      <c r="B116" s="44" t="s">
        <v>162</v>
      </c>
      <c r="C116" s="44" t="s">
        <v>191</v>
      </c>
      <c r="D116" s="36" t="str">
        <f>IFERROR(__xludf.DUMMYFUNCTION("filter('Imported Recommendations'!B:D,'Imported Recommendations'!A:A=A116)"),"   People use an Argo CD to do continuous delivery. They used to be using Jenkins. So do you still teach Jenkins? Do you teach them Argo? Um, so it's a constant, um, improvement on the tools are what tools are popular, what tools are going to get them a j"&amp;"ob in the industry, right? ")</f>
        <v>   People use an Argo CD to do continuous delivery. They used to be using Jenkins. So do you still teach Jenkins? Do you teach them Argo? Um, so it's a constant, um, improvement on the tools are what tools are popular, what tools are going to get them a job in the industry, right? </v>
      </c>
      <c r="E116" s="65" t="str">
        <f>IFERROR(__xludf.DUMMYFUNCTION("""COMPUTED_VALUE"""),"Argo CD is a more current continuous delivery tool than Jenkins.")</f>
        <v>Argo CD is a more current continuous delivery tool than Jenkins.</v>
      </c>
      <c r="F116" s="65"/>
      <c r="G116" s="9" t="s">
        <v>279</v>
      </c>
      <c r="H116" s="9" t="s">
        <v>18</v>
      </c>
      <c r="I116" s="9"/>
      <c r="J116" s="30" t="s">
        <v>476</v>
      </c>
      <c r="K116" s="30" t="s">
        <v>18</v>
      </c>
      <c r="L116" s="31"/>
      <c r="M116" s="6"/>
      <c r="N116" s="6"/>
      <c r="O116" s="25"/>
      <c r="P116" s="6"/>
    </row>
    <row r="117">
      <c r="A117" s="61">
        <v>128.0</v>
      </c>
      <c r="B117" s="44" t="s">
        <v>164</v>
      </c>
      <c r="C117" s="44" t="s">
        <v>191</v>
      </c>
      <c r="D117" s="36" t="str">
        <f>IFERROR(__xludf.DUMMYFUNCTION("filter('Imported Recommendations'!B:D,'Imported Recommendations'!A:A=A117)"),"I'm going to watch your Kanban board every week.
 I don't give quizzes because I'm grading them every day, watching their Kanban boards, seeing how they're working, interacting with them on slack. 
 I built kind of a fictitious company [...] based on my"&amp;" experience [...]  the students work in groups of three [...]  in the first lab, they have to set up their environment [...] We bring them also to, to build, uh, two small applications that actually extract, um, data from the Kanban, uh, in GitHub using t"&amp;"he GitHub APIs, because I want the students to one that very important aspect of DevOps is the continuous improvement. So if you want, you have to apply the same principles to the process that you're applying to your product.
We enforce the usage of, of "&amp;"the, of the Kanban, because it's an important practice in devops to make the work visible and stuff.
Make the students realize that the Kanban has certain information for a certain purpose. Um, if I want to analyze my process, I may extract information f"&amp;"rom the Kanban that will tell me about, you know, the time that I spent in the development phase or in the, in the review phase and things like that.")</f>
        <v>I'm going to watch your Kanban board every week.
 I don't give quizzes because I'm grading them every day, watching their Kanban boards, seeing how they're working, interacting with them on slack. 
 I built kind of a fictitious company [...] based on my experience [...]  the students work in groups of three [...]  in the first lab, they have to set up their environment [...] We bring them also to, to build, uh, two small applications that actually extract, um, data from the Kanban, uh, in GitHub using the GitHub APIs, because I want the students to one that very important aspect of DevOps is the continuous improvement. So if you want, you have to apply the same principles to the process that you're applying to your product.
We enforce the usage of, of the, of the Kanban, because it's an important practice in devops to make the work visible and stuff.
Make the students realize that the Kanban has certain information for a certain purpose. Um, if I want to analyze my process, I may extract information from the Kanban that will tell me about, you know, the time that I spent in the development phase or in the, in the review phase and things like that.</v>
      </c>
      <c r="E117" s="65" t="str">
        <f>IFERROR(__xludf.DUMMYFUNCTION("""COMPUTED_VALUE"""),"Teach Kanban board.
You don't need quizzes if you grade the students continuously watching their Kanban boards.
Create a fictitious company based on experience for students to practice continuous improvement, creating applications, extracting data from "&amp;"Kanban.
Use Kanban to make the work visible in devops.
Make the students realize that the Kanban has certain information for analyzing the overall process.")</f>
        <v>Teach Kanban board.
You don't need quizzes if you grade the students continuously watching their Kanban boards.
Create a fictitious company based on experience for students to practice continuous improvement, creating applications, extracting data from Kanban.
Use Kanban to make the work visible in devops.
Make the students realize that the Kanban has certain information for analyzing the overall process.</v>
      </c>
      <c r="F117" s="65" t="str">
        <f>IFERROR(__xludf.DUMMYFUNCTION("""COMPUTED_VALUE"""),"Teach Kanban board.")</f>
        <v>Teach Kanban board.</v>
      </c>
      <c r="G117" s="9" t="s">
        <v>531</v>
      </c>
      <c r="H117" s="9" t="s">
        <v>73</v>
      </c>
      <c r="I117" s="9"/>
      <c r="J117" s="30" t="s">
        <v>395</v>
      </c>
      <c r="K117" s="30" t="s">
        <v>73</v>
      </c>
      <c r="L117" s="31"/>
      <c r="M117" s="6" t="s">
        <v>163</v>
      </c>
      <c r="N117" s="6" t="s">
        <v>163</v>
      </c>
      <c r="O117" s="25"/>
      <c r="P117" s="6"/>
    </row>
    <row r="118">
      <c r="A118" s="61">
        <v>129.0</v>
      </c>
      <c r="B118" s="44" t="s">
        <v>165</v>
      </c>
      <c r="C118" s="44" t="s">
        <v>191</v>
      </c>
      <c r="D118" s="36" t="str">
        <f>IFERROR(__xludf.DUMMYFUNCTION("filter('Imported Recommendations'!B:D,'Imported Recommendations'!A:A=A118)"),"I actually last semester I prepared something on Sunday. And when I got Wednesday, when we had the class and I went to the cloud, the cloud had changed. [...] we're pushing to the IBM cloud the other night and it said there's an, there's a new update avai"&amp;"lable for the tool. Uh, you know, version two, it may have breaking changes. And I said, timeout, nobody press, yes, everybody press no, because that's not the version I used on the weekend.
I'm usually maybe a couple of weeks out verifying something for"&amp;" an upcoming, an upcoming session.
The second recommendation is update your exercises often. ... you can get everything set up.
So you have to have your stack ready, but you have to update it with the current version of the software that you intend the "&amp;"students to use fairly close to the beginning of the session, if you don't want to be surprised.")</f>
        <v>I actually last semester I prepared something on Sunday. And when I got Wednesday, when we had the class and I went to the cloud, the cloud had changed. [...] we're pushing to the IBM cloud the other night and it said there's an, there's a new update available for the tool. Uh, you know, version two, it may have breaking changes. And I said, timeout, nobody press, yes, everybody press no, because that's not the version I used on the weekend.
I'm usually maybe a couple of weeks out verifying something for an upcoming, an upcoming session.
The second recommendation is update your exercises often. ... you can get everything set up.
So you have to have your stack ready, but you have to update it with the current version of the software that you intend the students to use fairly close to the beginning of the session, if you don't want to be surprised.</v>
      </c>
      <c r="E118" s="65" t="str">
        <f>IFERROR(__xludf.DUMMYFUNCTION("""COMPUTED_VALUE"""),"Check if the the labs work well always before start the class.
Verify if labs exercises are working before classes.
Update your exercises often to get everything set up.
Update your exercises frequently.")</f>
        <v>Check if the the labs work well always before start the class.
Verify if labs exercises are working before classes.
Update your exercises often to get everything set up.
Update your exercises frequently.</v>
      </c>
      <c r="F118" s="65"/>
      <c r="G118" s="25" t="s">
        <v>280</v>
      </c>
      <c r="H118" s="9" t="s">
        <v>24</v>
      </c>
      <c r="I118" s="9"/>
      <c r="J118" s="30" t="s">
        <v>396</v>
      </c>
      <c r="K118" s="30" t="s">
        <v>24</v>
      </c>
      <c r="L118" s="31"/>
      <c r="M118" s="6"/>
      <c r="N118" s="6"/>
      <c r="O118" s="25"/>
      <c r="P118" s="6"/>
    </row>
    <row r="119">
      <c r="A119" s="61">
        <v>130.0</v>
      </c>
      <c r="B119" s="44" t="s">
        <v>162</v>
      </c>
      <c r="C119" s="44" t="s">
        <v>191</v>
      </c>
      <c r="D119" s="36" t="str">
        <f>IFERROR(__xludf.DUMMYFUNCTION("filter('Imported Recommendations'!B:D,'Imported Recommendations'!A:A=A119)"),"So without having, uh, physically having a technical assistance in the class and I do have TA's on with my zoom and they do help students over slack, uh, to get things going.
We had a long Google doc that the students during the lectures and after the le"&amp;"ctures, students could add their questions there. And then we, the TAs could answer the questions, uh, in the doc. ")</f>
        <v>So without having, uh, physically having a technical assistance in the class and I do have TA's on with my zoom and they do help students over slack, uh, to get things going.
We had a long Google doc that the students during the lectures and after the lectures, students could add their questions there. And then we, the TAs could answer the questions, uh, in the doc. </v>
      </c>
      <c r="E119" s="65" t="str">
        <f>IFERROR(__xludf.DUMMYFUNCTION("""COMPUTED_VALUE"""),"Teacher assistence help students over slack managing questions.
Use Google Docs during the lectures so students could add their questions. Teacher Assistants could answer the questions in the doc.")</f>
        <v>Teacher assistence help students over slack managing questions.
Use Google Docs during the lectures so students could add their questions. Teacher Assistants could answer the questions in the doc.</v>
      </c>
      <c r="F119" s="65" t="str">
        <f>IFERROR(__xludf.DUMMYFUNCTION("""COMPUTED_VALUE"""),"Teacher assistence help students over managing questions.")</f>
        <v>Teacher assistence help students over managing questions.</v>
      </c>
      <c r="G119" s="9" t="s">
        <v>281</v>
      </c>
      <c r="H119" s="9" t="s">
        <v>73</v>
      </c>
      <c r="I119" s="9"/>
      <c r="J119" s="30" t="s">
        <v>477</v>
      </c>
      <c r="K119" s="30" t="s">
        <v>73</v>
      </c>
      <c r="L119" s="31"/>
      <c r="M119" s="6"/>
      <c r="N119" s="6"/>
      <c r="O119" s="25"/>
      <c r="P119" s="6"/>
    </row>
    <row r="120">
      <c r="A120" s="61">
        <v>131.0</v>
      </c>
      <c r="B120" s="44" t="s">
        <v>164</v>
      </c>
      <c r="C120" s="44" t="s">
        <v>191</v>
      </c>
      <c r="D120" s="36" t="str">
        <f>IFERROR(__xludf.DUMMYFUNCTION("filter('Imported Recommendations'!B:D,'Imported Recommendations'!A:A=A120)"),"Then I give them two exams. So the team is 40% of their grade. The exams are 60% a midterm that's 30 and a, and a final that's 30.")</f>
        <v>Then I give them two exams. So the team is 40% of their grade. The exams are 60% a midterm that's 30 and a, and a final that's 30.</v>
      </c>
      <c r="E120" s="65" t="str">
        <f>IFERROR(__xludf.DUMMYFUNCTION("""COMPUTED_VALUE"""),"So the team is 40% of their grade. The exams are 60% a midterm that's 30 and a, and a final that's 30.")</f>
        <v>So the team is 40% of their grade. The exams are 60% a midterm that's 30 and a, and a final that's 30.</v>
      </c>
      <c r="F120" s="65"/>
      <c r="G120" s="9" t="s">
        <v>532</v>
      </c>
      <c r="H120" s="9" t="s">
        <v>29</v>
      </c>
      <c r="I120" s="9"/>
      <c r="J120" s="30" t="s">
        <v>397</v>
      </c>
      <c r="K120" s="30" t="s">
        <v>29</v>
      </c>
      <c r="L120" s="31"/>
      <c r="M120" s="6"/>
      <c r="N120" s="6"/>
      <c r="O120" s="25"/>
      <c r="P120" s="6"/>
    </row>
    <row r="121">
      <c r="A121" s="61">
        <v>132.0</v>
      </c>
      <c r="B121" s="44" t="s">
        <v>165</v>
      </c>
      <c r="C121" s="44" t="s">
        <v>191</v>
      </c>
      <c r="D121" s="36" t="str">
        <f>IFERROR(__xludf.DUMMYFUNCTION("filter('Imported Recommendations'!B:D,'Imported Recommendations'!A:A=A121)"),"I try to get the student more engaged.... If they're not having fun, then we're, we're doing it wrong. So, so I'm making sure they're having fun.")</f>
        <v>I try to get the student more engaged.... If they're not having fun, then we're, we're doing it wrong. So, so I'm making sure they're having fun.</v>
      </c>
      <c r="E121" s="65" t="str">
        <f>IFERROR(__xludf.DUMMYFUNCTION("""COMPUTED_VALUE"""),"Try to get the student having fun in order to keep them engaged.")</f>
        <v>Try to get the student having fun in order to keep them engaged.</v>
      </c>
      <c r="F121" s="65"/>
      <c r="G121" s="9" t="s">
        <v>282</v>
      </c>
      <c r="H121" s="9" t="s">
        <v>73</v>
      </c>
      <c r="I121" s="9"/>
      <c r="J121" s="30" t="s">
        <v>399</v>
      </c>
      <c r="K121" s="30" t="s">
        <v>73</v>
      </c>
      <c r="L121" s="31"/>
      <c r="M121" s="6"/>
      <c r="N121" s="6"/>
      <c r="O121" s="25"/>
      <c r="P121" s="6"/>
    </row>
    <row r="122">
      <c r="A122" s="61">
        <v>133.0</v>
      </c>
      <c r="B122" s="44" t="s">
        <v>162</v>
      </c>
      <c r="C122" s="44" t="s">
        <v>191</v>
      </c>
      <c r="D122" s="36" t="str">
        <f>IFERROR(__xludf.DUMMYFUNCTION("filter('Imported Recommendations'!B:D,'Imported Recommendations'!A:A=A122)"),"In that assessment, you know, that they're, um, there are 50 multiple choice questions in each exam, no partial credit. Um, and, and so, and I give, and it's an hour, uh, you know, to go do that exam. ...  we're remote now.
The book I have quiz, uh, agai"&amp;"n, it could be translated and adjusted, but that's the way to, to test in the exams. ...  one part is exactly quiz questions. So they have multiple choices.
If I was asking you the question and say, give me the three benefits of this thought of this, uh,"&amp;" concept, then it's memorization. But if I give them five, if I give you five choices and they could be between zero and five, that are true statements with respect to this concept, it's not about memorization. It's about understanding.
If the exam is in"&amp;" presence, then I don't care that much if, if they do the control that before, because ultimately they have to understand, I think that these quizzes to me have a specific objective.")</f>
        <v>In that assessment, you know, that they're, um, there are 50 multiple choice questions in each exam, no partial credit. Um, and, and so, and I give, and it's an hour, uh, you know, to go do that exam. ...  we're remote now.
The book I have quiz, uh, again, it could be translated and adjusted, but that's the way to, to test in the exams. ...  one part is exactly quiz questions. So they have multiple choices.
If I was asking you the question and say, give me the three benefits of this thought of this, uh, concept, then it's memorization. But if I give them five, if I give you five choices and they could be between zero and five, that are true statements with respect to this concept, it's not about memorization. It's about understanding.
If the exam is in presence, then I don't care that much if, if they do the control that before, because ultimately they have to understand, I think that these quizzes to me have a specific objective.</v>
      </c>
      <c r="E122" s="65" t="str">
        <f>IFERROR(__xludf.DUMMYFUNCTION("""COMPUTED_VALUE"""),"50 multiple choice questions in one hour each exam if you are remote.
Use quiz in the book to test in the exams with multiple choices.
Multiple-choice format questions about DevOps concepts favor the understanding instead of memorization of the students"&amp;".
Quizzes forces students to understand the concepts.")</f>
        <v>50 multiple choice questions in one hour each exam if you are remote.
Use quiz in the book to test in the exams with multiple choices.
Multiple-choice format questions about DevOps concepts favor the understanding instead of memorization of the students.
Quizzes forces students to understand the concepts.</v>
      </c>
      <c r="F122" s="65" t="str">
        <f>IFERROR(__xludf.DUMMYFUNCTION("""COMPUTED_VALUE"""),"Use quiz with multiple choices to assess the students.")</f>
        <v>Use quiz with multiple choices to assess the students.</v>
      </c>
      <c r="G122" s="9" t="s">
        <v>283</v>
      </c>
      <c r="H122" s="9" t="s">
        <v>29</v>
      </c>
      <c r="I122" s="9"/>
      <c r="J122" s="30" t="s">
        <v>478</v>
      </c>
      <c r="K122" s="30" t="s">
        <v>29</v>
      </c>
      <c r="L122" s="31"/>
      <c r="M122" s="6"/>
      <c r="N122" s="6"/>
      <c r="O122" s="25"/>
      <c r="P122" s="6"/>
    </row>
    <row r="123">
      <c r="A123" s="61">
        <v>134.0</v>
      </c>
      <c r="B123" s="44" t="s">
        <v>164</v>
      </c>
      <c r="C123" s="44" t="s">
        <v>191</v>
      </c>
      <c r="D123" s="36" t="str">
        <f>IFERROR(__xludf.DUMMYFUNCTION("filter('Imported Recommendations'!B:D,'Imported Recommendations'!A:A=A123)"),"the exams are open book, right? I, I, when I'm in the classroom, they're not open book, but for, for the remote learning, they have to be open book. I just can't enforce it.")</f>
        <v>the exams are open book, right? I, I, when I'm in the classroom, they're not open book, but for, for the remote learning, they have to be open book. I just can't enforce it.</v>
      </c>
      <c r="E123" s="65" t="str">
        <f>IFERROR(__xludf.DUMMYFUNCTION("""COMPUTED_VALUE"""),"Exams in remote class format are with the open book.")</f>
        <v>Exams in remote class format are with the open book.</v>
      </c>
      <c r="F123" s="65"/>
      <c r="G123" s="9" t="s">
        <v>533</v>
      </c>
      <c r="H123" s="9" t="s">
        <v>29</v>
      </c>
      <c r="I123" s="9"/>
      <c r="J123" s="30" t="s">
        <v>400</v>
      </c>
      <c r="K123" s="30" t="s">
        <v>29</v>
      </c>
      <c r="L123" s="31"/>
      <c r="M123" s="6"/>
      <c r="N123" s="6"/>
      <c r="O123" s="25"/>
      <c r="P123" s="6"/>
    </row>
    <row r="124">
      <c r="A124" s="61">
        <v>136.0</v>
      </c>
      <c r="B124" s="44" t="s">
        <v>162</v>
      </c>
      <c r="C124" s="44" t="s">
        <v>191</v>
      </c>
      <c r="D124" s="36" t="str">
        <f>IFERROR(__xludf.DUMMYFUNCTION("filter('Imported Recommendations'!B:D,'Imported Recommendations'!A:A=A124)"),"we had cloud computing, where can easily stand up virtual machines for people and things like that.")</f>
        <v>we had cloud computing, where can easily stand up virtual machines for people and things like that.</v>
      </c>
      <c r="E124" s="65" t="str">
        <f>IFERROR(__xludf.DUMMYFUNCTION("""COMPUTED_VALUE"""),"Cloud computing make easier to stand up virtual machines.")</f>
        <v>Cloud computing make easier to stand up virtual machines.</v>
      </c>
      <c r="F124" s="65"/>
      <c r="G124" s="9" t="s">
        <v>284</v>
      </c>
      <c r="H124" s="9" t="s">
        <v>12</v>
      </c>
      <c r="I124" s="9"/>
      <c r="J124" s="30" t="s">
        <v>479</v>
      </c>
      <c r="K124" s="30" t="s">
        <v>12</v>
      </c>
      <c r="L124" s="31"/>
      <c r="M124" s="6" t="s">
        <v>163</v>
      </c>
      <c r="N124" s="6" t="s">
        <v>163</v>
      </c>
      <c r="O124" s="25"/>
      <c r="P124" s="6"/>
    </row>
    <row r="125">
      <c r="A125" s="61">
        <v>137.0</v>
      </c>
      <c r="B125" s="44" t="s">
        <v>164</v>
      </c>
      <c r="C125" s="44" t="s">
        <v>191</v>
      </c>
      <c r="D125" s="36" t="str">
        <f>IFERROR(__xludf.DUMMYFUNCTION("filter('Imported Recommendations'!B:D,'Imported Recommendations'!A:A=A125)"),"People coming through the programs want to play with technology. That's half the reason we got into this field in the first place, and it's a really fun thing to be able to do, but it's not sufficient. And trying to change that mindset to emphasize more t"&amp;"he idea of devops as a means of continuous improvement, as a means of organizational change. As a, to some extent I use this phrase guardedly, but to some extent, a philosophy around how the organization is going to go from concept to implementation, that"&amp;"'s a much harder set of skills to pick up.
The global approach made sure the students not associated with devops with a CI/CD pipeline, because in my opinion, it's all about continuous improvement.
This mindset of thinking of continuous improvement is s"&amp;"o important, right?  ... the improvement of the daily work is more important than the work itself.
What should I improve to make my process more efficient? So to me, this is the most important thing of DevOps. And, and, and then you do it through automat"&amp;"ion, automation of, of the deployment process, automation of, of, you know, the testing process automation later of the security, uh, thing and so on.")</f>
        <v>People coming through the programs want to play with technology. That's half the reason we got into this field in the first place, and it's a really fun thing to be able to do, but it's not sufficient. And trying to change that mindset to emphasize more the idea of devops as a means of continuous improvement, as a means of organizational change. As a, to some extent I use this phrase guardedly, but to some extent, a philosophy around how the organization is going to go from concept to implementation, that's a much harder set of skills to pick up.
The global approach made sure the students not associated with devops with a CI/CD pipeline, because in my opinion, it's all about continuous improvement.
This mindset of thinking of continuous improvement is so important, right?  ... the improvement of the daily work is more important than the work itself.
What should I improve to make my process more efficient? So to me, this is the most important thing of DevOps. And, and, and then you do it through automation, automation of, of the deployment process, automation of, of, you know, the testing process automation later of the security, uh, thing and so on.</v>
      </c>
      <c r="E125" s="65" t="str">
        <f>IFERROR(__xludf.DUMMYFUNCTION("""COMPUTED_VALUE"""),"Make clear the importance of the DevOps mindset like continuous improvement in constrast to using the tools.
Continuous improvement is a key DevOps concept.
The mindset of thinking of continuous improvement is so important because the improvement of the"&amp;" daily work is more important than the work itself.
The most importart thing of DevOps is to improve my process continuously through automation of the deployment process.")</f>
        <v>Make clear the importance of the DevOps mindset like continuous improvement in constrast to using the tools.
Continuous improvement is a key DevOps concept.
The mindset of thinking of continuous improvement is so important because the improvement of the daily work is more important than the work itself.
The most importart thing of DevOps is to improve my process continuously through automation of the deployment process.</v>
      </c>
      <c r="F125" s="65" t="str">
        <f>IFERROR(__xludf.DUMMYFUNCTION("""COMPUTED_VALUE"""),"Continuous improvement is a key DevOps concept.")</f>
        <v>Continuous improvement is a key DevOps concept.</v>
      </c>
      <c r="G125" s="9" t="s">
        <v>534</v>
      </c>
      <c r="H125" s="9" t="s">
        <v>16</v>
      </c>
      <c r="I125" s="9"/>
      <c r="J125" s="33" t="s">
        <v>401</v>
      </c>
      <c r="K125" s="30" t="s">
        <v>16</v>
      </c>
      <c r="L125" s="31"/>
      <c r="M125" s="6"/>
      <c r="N125" s="6"/>
      <c r="O125" s="25"/>
      <c r="P125" s="6"/>
    </row>
    <row r="126">
      <c r="A126" s="61">
        <v>138.0</v>
      </c>
      <c r="B126" s="44" t="s">
        <v>165</v>
      </c>
      <c r="C126" s="44" t="s">
        <v>191</v>
      </c>
      <c r="D126" s="36" t="str">
        <f>IFERROR(__xludf.DUMMYFUNCTION("filter('Imported Recommendations'!B:D,'Imported Recommendations'!A:A=A126)"),"I'm starting to do is to just build out images, for example, that contain everything that I want them to have. Uh, and that way I can tell them to spin up a virtual machine. ")</f>
        <v>I'm starting to do is to just build out images, for example, that contain everything that I want them to have. Uh, and that way I can tell them to spin up a virtual machine. </v>
      </c>
      <c r="E126" s="65" t="str">
        <f>IFERROR(__xludf.DUMMYFUNCTION("""COMPUTED_VALUE"""),"Use imagens that contain everything that the teacher wants to teach to clone virtual machines.")</f>
        <v>Use imagens that contain everything that the teacher wants to teach to clone virtual machines.</v>
      </c>
      <c r="F126" s="65"/>
      <c r="G126" s="9" t="s">
        <v>285</v>
      </c>
      <c r="H126" s="9" t="s">
        <v>12</v>
      </c>
      <c r="I126" s="9"/>
      <c r="J126" s="30" t="s">
        <v>402</v>
      </c>
      <c r="K126" s="30" t="s">
        <v>12</v>
      </c>
      <c r="L126" s="31"/>
      <c r="M126" s="6"/>
      <c r="N126" s="6"/>
      <c r="O126" s="25"/>
      <c r="P126" s="6"/>
    </row>
    <row r="127">
      <c r="A127" s="61">
        <v>139.0</v>
      </c>
      <c r="B127" s="44" t="s">
        <v>162</v>
      </c>
      <c r="C127" s="44" t="s">
        <v>191</v>
      </c>
      <c r="D127" s="36" t="str">
        <f>IFERROR(__xludf.DUMMYFUNCTION("filter('Imported Recommendations'!B:D,'Imported Recommendations'!A:A=A127)"),"I use GitHub and they have options for professors, you know, for academic use, where you can set up these GitHub classrooms. I use those constantly, um, and they work very, very well because again, I can kind of control who gets what I can see, everything"&amp;" I can help individuals through things works great.")</f>
        <v>I use GitHub and they have options for professors, you know, for academic use, where you can set up these GitHub classrooms. I use those constantly, um, and they work very, very well because again, I can kind of control who gets what I can see, everything I can help individuals through things works great.</v>
      </c>
      <c r="E127" s="65" t="str">
        <f>IFERROR(__xludf.DUMMYFUNCTION("""COMPUTED_VALUE"""),"Use Github for academic use where you can set up GitHub classrooms.")</f>
        <v>Use Github for academic use where you can set up GitHub classrooms.</v>
      </c>
      <c r="F127" s="65"/>
      <c r="G127" s="9" t="s">
        <v>286</v>
      </c>
      <c r="H127" s="9" t="s">
        <v>18</v>
      </c>
      <c r="I127" s="9"/>
      <c r="J127" s="30" t="s">
        <v>480</v>
      </c>
      <c r="K127" s="30" t="s">
        <v>18</v>
      </c>
      <c r="L127" s="31"/>
      <c r="M127" s="6"/>
      <c r="N127" s="6"/>
      <c r="O127" s="25"/>
      <c r="P127" s="6"/>
    </row>
    <row r="128">
      <c r="A128" s="61">
        <v>140.0</v>
      </c>
      <c r="B128" s="44" t="s">
        <v>164</v>
      </c>
      <c r="C128" s="44" t="s">
        <v>191</v>
      </c>
      <c r="D128" s="36" t="str">
        <f>IFERROR(__xludf.DUMMYFUNCTION("filter('Imported Recommendations'!B:D,'Imported Recommendations'!A:A=A128)"),"I will pick one, usually one, although I'll usually compare and contrast against a couple of others, something in the around of automated builds.")</f>
        <v>I will pick one, usually one, although I'll usually compare and contrast against a couple of others, something in the around of automated builds.</v>
      </c>
      <c r="E128" s="65" t="str">
        <f>IFERROR(__xludf.DUMMYFUNCTION("""COMPUTED_VALUE"""),"Compare and contrast the tools before to choice.")</f>
        <v>Compare and contrast the tools before to choice.</v>
      </c>
      <c r="F128" s="65"/>
      <c r="G128" s="25" t="s">
        <v>535</v>
      </c>
      <c r="H128" s="9" t="s">
        <v>18</v>
      </c>
      <c r="I128" s="9"/>
      <c r="J128" s="30" t="s">
        <v>403</v>
      </c>
      <c r="K128" s="30" t="s">
        <v>18</v>
      </c>
      <c r="L128" s="31"/>
      <c r="M128" s="6"/>
      <c r="N128" s="6"/>
      <c r="O128" s="25"/>
      <c r="P128" s="6"/>
    </row>
    <row r="129">
      <c r="A129" s="61">
        <v>141.0</v>
      </c>
      <c r="B129" s="44" t="s">
        <v>165</v>
      </c>
      <c r="C129" s="44" t="s">
        <v>191</v>
      </c>
      <c r="D129" s="36" t="str">
        <f>IFERROR(__xludf.DUMMYFUNCTION("filter('Imported Recommendations'!B:D,'Imported Recommendations'!A:A=A129)"),"I try to use cloud providers, you know, kind of cloud SAS providers for that sort of thing, because I don't want people to spend a lot of time getting the stuff stood up.")</f>
        <v>I try to use cloud providers, you know, kind of cloud SAS providers for that sort of thing, because I don't want people to spend a lot of time getting the stuff stood up.</v>
      </c>
      <c r="E129" s="65" t="str">
        <f>IFERROR(__xludf.DUMMYFUNCTION("""COMPUTED_VALUE"""),"Use cloud SAS providers to avoid spending a lot of time installations and configurations.")</f>
        <v>Use cloud SAS providers to avoid spending a lot of time installations and configurations.</v>
      </c>
      <c r="F129" s="65"/>
      <c r="G129" s="9" t="s">
        <v>287</v>
      </c>
      <c r="H129" s="9" t="s">
        <v>12</v>
      </c>
      <c r="I129" s="9"/>
      <c r="J129" s="30" t="s">
        <v>404</v>
      </c>
      <c r="K129" s="30" t="s">
        <v>12</v>
      </c>
      <c r="L129" s="31"/>
      <c r="M129" s="6"/>
      <c r="N129" s="6"/>
      <c r="O129" s="25"/>
      <c r="P129" s="6"/>
    </row>
    <row r="130">
      <c r="A130" s="61">
        <v>142.0</v>
      </c>
      <c r="B130" s="44" t="s">
        <v>162</v>
      </c>
      <c r="C130" s="44" t="s">
        <v>191</v>
      </c>
      <c r="D130" s="36" t="str">
        <f>IFERROR(__xludf.DUMMYFUNCTION("filter('Imported Recommendations'!B:D,'Imported Recommendations'!A:A=A130)"),"I tend to focus on gradle, but I also will link that to say a comparison against Maven and ant to provide some context for how we got here, why we got here")</f>
        <v>I tend to focus on gradle, but I also will link that to say a comparison against Maven and ant to provide some context for how we got here, why we got here</v>
      </c>
      <c r="E130" s="65" t="str">
        <f>IFERROR(__xludf.DUMMYFUNCTION("""COMPUTED_VALUE"""),"Show the evolution of the tools like exposing from ant and maven to gradle tool in build managment.")</f>
        <v>Show the evolution of the tools like exposing from ant and maven to gradle tool in build managment.</v>
      </c>
      <c r="F130" s="65"/>
      <c r="G130" s="9" t="s">
        <v>288</v>
      </c>
      <c r="H130" s="9" t="s">
        <v>18</v>
      </c>
      <c r="I130" s="25"/>
      <c r="J130" s="30" t="s">
        <v>481</v>
      </c>
      <c r="K130" s="30" t="s">
        <v>18</v>
      </c>
      <c r="L130" s="31"/>
      <c r="M130" s="6"/>
      <c r="N130" s="6"/>
      <c r="O130" s="25"/>
      <c r="P130" s="6"/>
    </row>
    <row r="131">
      <c r="A131" s="61">
        <v>143.0</v>
      </c>
      <c r="B131" s="44" t="s">
        <v>164</v>
      </c>
      <c r="C131" s="44" t="s">
        <v>191</v>
      </c>
      <c r="D131" s="36" t="str">
        <f>IFERROR(__xludf.DUMMYFUNCTION("filter('Imported Recommendations'!B:D,'Imported Recommendations'!A:A=A131)"),"I'm having conversations with the university about trying to take the devops course and essentially converting it to a three course sequence one for agile, one for kind of the dev part of devops and one for the ops part of devops.")</f>
        <v>I'm having conversations with the university about trying to take the devops course and essentially converting it to a three course sequence one for agile, one for kind of the dev part of devops and one for the ops part of devops.</v>
      </c>
      <c r="E131" s="65" t="str">
        <f>IFERROR(__xludf.DUMMYFUNCTION("""COMPUTED_VALUE"""),"separate the dev and ops part into different courses.")</f>
        <v>separate the dev and ops part into different courses.</v>
      </c>
      <c r="F131" s="65"/>
      <c r="G131" s="9" t="s">
        <v>536</v>
      </c>
      <c r="H131" s="9" t="s">
        <v>10</v>
      </c>
      <c r="I131" s="9"/>
      <c r="J131" s="30" t="s">
        <v>405</v>
      </c>
      <c r="K131" s="30" t="s">
        <v>10</v>
      </c>
      <c r="L131" s="31"/>
      <c r="M131" s="6"/>
      <c r="N131" s="6"/>
      <c r="O131" s="25"/>
      <c r="P131" s="6"/>
    </row>
    <row r="132">
      <c r="A132" s="61">
        <v>144.0</v>
      </c>
      <c r="B132" s="44" t="s">
        <v>165</v>
      </c>
      <c r="C132" s="44" t="s">
        <v>191</v>
      </c>
      <c r="D132" s="36" t="str">
        <f>IFERROR(__xludf.DUMMYFUNCTION("filter('Imported Recommendations'!B:D,'Imported Recommendations'!A:A=A132)"),"And that level of what you're trying to do is to build a business case for why you want that at all. And now you're starting to get a little bit around of the computer science and into around of business and being able to tie those two things together in "&amp;"such a way that you can sell it to an organization that would have to spend resources, people, time, energy, money, building out that kind of a technical pipeline, right? 
 ... you have to somehow sell them on why you should spend your sources doing that "&amp;"versus building a new feature or adding a new product or any one of a number of other competing priorities that the business has.")</f>
        <v>And that level of what you're trying to do is to build a business case for why you want that at all. And now you're starting to get a little bit around of the computer science and into around of business and being able to tie those two things together in such a way that you can sell it to an organization that would have to spend resources, people, time, energy, money, building out that kind of a technical pipeline, right? 
 ... you have to somehow sell them on why you should spend your sources doing that versus building a new feature or adding a new product or any one of a number of other competing priorities that the business has.</v>
      </c>
      <c r="E132" s="65" t="str">
        <f>IFERROR(__xludf.DUMMYFUNCTION("""COMPUTED_VALUE"""),"Teach students to know how to sell DevOps benefits to their directors who are from the business area. For example, pipeline reduce developers work time and save money. You can also build a new feature or add a new product that the business has.")</f>
        <v>Teach students to know how to sell DevOps benefits to their directors who are from the business area. For example, pipeline reduce developers work time and save money. You can also build a new feature or add a new product that the business has.</v>
      </c>
      <c r="F132" s="65"/>
      <c r="G132" s="9" t="s">
        <v>289</v>
      </c>
      <c r="H132" s="9" t="s">
        <v>16</v>
      </c>
      <c r="I132" s="25"/>
      <c r="J132" s="33" t="s">
        <v>406</v>
      </c>
      <c r="K132" s="30" t="s">
        <v>16</v>
      </c>
      <c r="L132" s="31"/>
      <c r="M132" s="6" t="s">
        <v>163</v>
      </c>
      <c r="N132" s="6" t="s">
        <v>163</v>
      </c>
      <c r="O132" s="25"/>
      <c r="P132" s="6"/>
    </row>
    <row r="133">
      <c r="A133" s="61">
        <v>145.0</v>
      </c>
      <c r="B133" s="44" t="s">
        <v>162</v>
      </c>
      <c r="C133" s="44" t="s">
        <v>191</v>
      </c>
      <c r="D133" s="36" t="str">
        <f>IFERROR(__xludf.DUMMYFUNCTION("filter('Imported Recommendations'!B:D,'Imported Recommendations'!A:A=A133)"),"I don't think the basic skeleton of the class has really changed significantly, maybe a few places, but over the last two or three years, the, the basic structure, the scaffolding I think has held fairly true where we focus on some devops principles. We f"&amp;"ocus on concepts. We focus on goals.")</f>
        <v>I don't think the basic skeleton of the class has really changed significantly, maybe a few places, but over the last two or three years, the, the basic structure, the scaffolding I think has held fairly true where we focus on some devops principles. We focus on concepts. We focus on goals.</v>
      </c>
      <c r="E133" s="65" t="str">
        <f>IFERROR(__xludf.DUMMYFUNCTION("""COMPUTED_VALUE"""),"The basic skeleton of the class does not change significantly because we focus on concepts and we focus on goals.")</f>
        <v>The basic skeleton of the class does not change significantly because we focus on concepts and we focus on goals.</v>
      </c>
      <c r="F133" s="65"/>
      <c r="G133" s="9" t="s">
        <v>291</v>
      </c>
      <c r="H133" s="9" t="s">
        <v>24</v>
      </c>
      <c r="I133" s="9"/>
      <c r="J133" s="30" t="s">
        <v>482</v>
      </c>
      <c r="K133" s="30" t="s">
        <v>24</v>
      </c>
      <c r="L133" s="31"/>
      <c r="M133" s="6" t="s">
        <v>163</v>
      </c>
      <c r="N133" s="6" t="s">
        <v>163</v>
      </c>
      <c r="O133" s="25"/>
      <c r="P133" s="6"/>
    </row>
    <row r="134">
      <c r="A134" s="61">
        <v>146.0</v>
      </c>
      <c r="B134" s="44" t="s">
        <v>164</v>
      </c>
      <c r="C134" s="44" t="s">
        <v>191</v>
      </c>
      <c r="D134" s="36" t="str">
        <f>IFERROR(__xludf.DUMMYFUNCTION("filter('Imported Recommendations'!B:D,'Imported Recommendations'!A:A=A134)"),"So I try to give folks one or two small projects.
We will also build a sample, which is on github. I'll send you the link. If you want. We build a sample that is called a cookie factory. Um, it's, it's a system to handle a cookie factory where you can or"&amp;"der cookie pay for them, and you get a shopping cart with cookies, et cetera, right? So it's just a small sample.
We have built a little simulator that is quite simple, but that's easy to traverse the whole, essentially the main phases of DevOps.")</f>
        <v>So I try to give folks one or two small projects.
We will also build a sample, which is on github. I'll send you the link. If you want. We build a sample that is called a cookie factory. Um, it's, it's a system to handle a cookie factory where you can order cookie pay for them, and you get a shopping cart with cookies, et cetera, right? So it's just a small sample.
We have built a little simulator that is quite simple, but that's easy to traverse the whole, essentially the main phases of DevOps.</v>
      </c>
      <c r="E134" s="24" t="str">
        <f>IFERROR(__xludf.DUMMYFUNCTION("""COMPUTED_VALUE"""),"Specify what projects the students will work and provide one or two small projects.
Use small projects with students.
Use a simple application to walk through all DevOps concepts.")</f>
        <v>Specify what projects the students will work and provide one or two small projects.
Use small projects with students.
Use a simple application to walk through all DevOps concepts.</v>
      </c>
      <c r="F134" s="24" t="str">
        <f>IFERROR(__xludf.DUMMYFUNCTION("""COMPUTED_VALUE"""),"Research small projects for the students.")</f>
        <v>Research small projects for the students.</v>
      </c>
      <c r="G134" s="9" t="s">
        <v>407</v>
      </c>
      <c r="H134" s="9" t="s">
        <v>24</v>
      </c>
      <c r="I134" s="9"/>
      <c r="J134" s="30" t="s">
        <v>407</v>
      </c>
      <c r="K134" s="30" t="s">
        <v>24</v>
      </c>
      <c r="L134" s="31"/>
      <c r="M134" s="6" t="s">
        <v>163</v>
      </c>
      <c r="N134" s="6" t="s">
        <v>163</v>
      </c>
      <c r="O134" s="25"/>
      <c r="P134" s="6"/>
    </row>
    <row r="135">
      <c r="A135" s="61">
        <v>147.0</v>
      </c>
      <c r="B135" s="44" t="s">
        <v>165</v>
      </c>
      <c r="C135" s="44" t="s">
        <v>191</v>
      </c>
      <c r="D135" s="36" t="str">
        <f>IFERROR(__xludf.DUMMYFUNCTION("filter('Imported Recommendations'!B:D,'Imported Recommendations'!A:A=A135)"),"I will try to provide, uh, some kind of, of jump-starting as far as people learning at technology. So for example, here's commonly used commands. Here's why you use them. Here's how you use them.")</f>
        <v>I will try to provide, uh, some kind of, of jump-starting as far as people learning at technology. So for example, here's commonly used commands. Here's why you use them. Here's how you use them.</v>
      </c>
      <c r="E135" s="65" t="str">
        <f>IFERROR(__xludf.DUMMYFUNCTION("""COMPUTED_VALUE"""),"Provide jump-starting examples of commonly used commands of tools.")</f>
        <v>Provide jump-starting examples of commonly used commands of tools.</v>
      </c>
      <c r="F135" s="65"/>
      <c r="G135" s="9" t="s">
        <v>292</v>
      </c>
      <c r="H135" s="9" t="s">
        <v>24</v>
      </c>
      <c r="I135" s="9"/>
      <c r="J135" s="30" t="s">
        <v>408</v>
      </c>
      <c r="K135" s="30" t="s">
        <v>24</v>
      </c>
      <c r="L135" s="31"/>
      <c r="M135" s="6" t="s">
        <v>163</v>
      </c>
      <c r="N135" s="6" t="s">
        <v>163</v>
      </c>
      <c r="O135" s="25"/>
      <c r="P135" s="6"/>
    </row>
    <row r="136">
      <c r="A136" s="61">
        <v>148.0</v>
      </c>
      <c r="B136" s="44" t="s">
        <v>162</v>
      </c>
      <c r="C136" s="44" t="s">
        <v>191</v>
      </c>
      <c r="D136" s="36" t="str">
        <f>IFERROR(__xludf.DUMMYFUNCTION("filter('Imported Recommendations'!B:D,'Imported Recommendations'!A:A=A136)"),"So being a little bit more forgiving, a lot of the tools that we're using are brand new. For many people, getting them all to work together can be particularly challenging. And so making it a little less stressful, uh, can be helpful.")</f>
        <v>So being a little bit more forgiving, a lot of the tools that we're using are brand new. For many people, getting them all to work together can be particularly challenging. And so making it a little less stressful, uh, can be helpful.</v>
      </c>
      <c r="E136" s="65" t="str">
        <f>IFERROR(__xludf.DUMMYFUNCTION("""COMPUTED_VALUE"""),"Be a little bit more forgivable, understanding that for some people getting all the brand new technologies to work together can be really hard, so make it less stressful")</f>
        <v>Be a little bit more forgivable, understanding that for some people getting all the brand new technologies to work together can be really hard, so make it less stressful</v>
      </c>
      <c r="F136" s="65"/>
      <c r="G136" s="9" t="s">
        <v>293</v>
      </c>
      <c r="H136" s="9" t="s">
        <v>16</v>
      </c>
      <c r="I136" s="9"/>
      <c r="J136" s="30" t="s">
        <v>483</v>
      </c>
      <c r="K136" s="30" t="s">
        <v>16</v>
      </c>
      <c r="L136" s="31"/>
      <c r="M136" s="6" t="s">
        <v>163</v>
      </c>
      <c r="N136" s="6" t="s">
        <v>163</v>
      </c>
      <c r="O136" s="25"/>
      <c r="P136" s="6"/>
    </row>
    <row r="137">
      <c r="A137" s="61">
        <v>149.0</v>
      </c>
      <c r="B137" s="44" t="s">
        <v>164</v>
      </c>
      <c r="C137" s="44" t="s">
        <v>191</v>
      </c>
      <c r="D137" s="36" t="str">
        <f>IFERROR(__xludf.DUMMYFUNCTION("filter('Imported Recommendations'!B:D,'Imported Recommendations'!A:A=A137)"),"Our particular curriculum tends to allow out of, some degree of necessity and amount of interest based learning. You know, I care about software architecture. And so that's where I want to focus.")</f>
        <v>Our particular curriculum tends to allow out of, some degree of necessity and amount of interest based learning. You know, I care about software architecture. And so that's where I want to focus.</v>
      </c>
      <c r="E137" s="65" t="str">
        <f>IFERROR(__xludf.DUMMYFUNCTION("""COMPUTED_VALUE"""),"Our curriculum allows some degree of freedom according to the teacher's preferences.")</f>
        <v>Our curriculum allows some degree of freedom according to the teacher's preferences.</v>
      </c>
      <c r="F137" s="65"/>
      <c r="G137" s="9" t="s">
        <v>537</v>
      </c>
      <c r="H137" s="9" t="s">
        <v>10</v>
      </c>
      <c r="I137" s="9"/>
      <c r="J137" s="30" t="s">
        <v>409</v>
      </c>
      <c r="K137" s="30" t="s">
        <v>10</v>
      </c>
      <c r="L137" s="31"/>
      <c r="M137" s="6"/>
      <c r="N137" s="6"/>
      <c r="O137" s="25"/>
      <c r="P137" s="6"/>
    </row>
    <row r="138">
      <c r="A138" s="61">
        <v>150.0</v>
      </c>
      <c r="B138" s="44" t="s">
        <v>165</v>
      </c>
      <c r="C138" s="44" t="s">
        <v>191</v>
      </c>
      <c r="D138" s="36" t="str">
        <f>IFERROR(__xludf.DUMMYFUNCTION("filter('Imported Recommendations'!B:D,'Imported Recommendations'!A:A=A138)"),"We let the students build only one project, one code base, which is evaluated both on the standpoint of the architecture. ... but also from the angle of continuous integration, do they include build plan?")</f>
        <v>We let the students build only one project, one code base, which is evaluated both on the standpoint of the architecture. ... but also from the angle of continuous integration, do they include build plan?</v>
      </c>
      <c r="E138" s="65" t="str">
        <f>IFERROR(__xludf.DUMMYFUNCTION("""COMPUTED_VALUE"""),"Evaluate the single project of the students on the standpoint of the architecture and also from the angle of continuous integration.")</f>
        <v>Evaluate the single project of the students on the standpoint of the architecture and also from the angle of continuous integration.</v>
      </c>
      <c r="F138" s="65"/>
      <c r="G138" s="9" t="s">
        <v>294</v>
      </c>
      <c r="H138" s="9" t="s">
        <v>29</v>
      </c>
      <c r="I138" s="9"/>
      <c r="J138" s="30" t="s">
        <v>410</v>
      </c>
      <c r="K138" s="30" t="s">
        <v>29</v>
      </c>
      <c r="L138" s="31"/>
      <c r="M138" s="6"/>
      <c r="N138" s="6"/>
      <c r="O138" s="25"/>
      <c r="P138" s="6"/>
    </row>
    <row r="139">
      <c r="A139" s="61">
        <v>151.0</v>
      </c>
      <c r="B139" s="44" t="s">
        <v>162</v>
      </c>
      <c r="C139" s="44" t="s">
        <v>191</v>
      </c>
      <c r="D139" s="36" t="str">
        <f>IFERROR(__xludf.DUMMYFUNCTION("filter('Imported Recommendations'!B:D,'Imported Recommendations'!A:A=A139)"),"So we built a curriculum in just very innovative way, the two classes together, a single project, a single teaching team, but we evaluate on two angles.
The course about, uh, software architecture and DevOps, or we're talking about a different way of arc"&amp;"hitecting software, um, mainly distributed system, because it was easier for the DevOps parts who were triggered challenges was a distributed system.  ... And they had one, one lecture in the morning lecture slash lab and one lecture slash lab in the afte"&amp;"rnoon. And they were really like Friday was dedicated to DevOps slash uh, architecture.")</f>
        <v>So we built a curriculum in just very innovative way, the two classes together, a single project, a single teaching team, but we evaluate on two angles.
The course about, uh, software architecture and DevOps, or we're talking about a different way of architecting software, um, mainly distributed system, because it was easier for the DevOps parts who were triggered challenges was a distributed system.  ... And they had one, one lecture in the morning lecture slash lab and one lecture slash lab in the afternoon. And they were really like Friday was dedicated to DevOps slash uh, architecture.</v>
      </c>
      <c r="E139" s="65" t="str">
        <f>IFERROR(__xludf.DUMMYFUNCTION("""COMPUTED_VALUE"""),"Built a curriculum with DevOps and Software Architecture classes together, a single project, a single teaching team, but we evaluate on two angles.
The courses of software architecture and DevOps taught in the same day.")</f>
        <v>Built a curriculum with DevOps and Software Architecture classes together, a single project, a single teaching team, but we evaluate on two angles.
The courses of software architecture and DevOps taught in the same day.</v>
      </c>
      <c r="F139" s="65" t="str">
        <f>IFERROR(__xludf.DUMMYFUNCTION("""COMPUTED_VALUE"""),"The courses of software architecture and DevOps taught together.")</f>
        <v>The courses of software architecture and DevOps taught together.</v>
      </c>
      <c r="G139" s="9" t="s">
        <v>295</v>
      </c>
      <c r="H139" s="9" t="s">
        <v>10</v>
      </c>
      <c r="I139" s="9"/>
      <c r="J139" s="30" t="s">
        <v>484</v>
      </c>
      <c r="K139" s="30" t="s">
        <v>10</v>
      </c>
      <c r="L139" s="31"/>
      <c r="M139" s="6"/>
      <c r="N139" s="6"/>
      <c r="O139" s="25"/>
      <c r="P139" s="6"/>
    </row>
    <row r="140">
      <c r="A140" s="61">
        <v>152.0</v>
      </c>
      <c r="B140" s="44" t="s">
        <v>164</v>
      </c>
      <c r="C140" s="44" t="s">
        <v>191</v>
      </c>
      <c r="D140" s="36" t="str">
        <f>IFERROR(__xludf.DUMMYFUNCTION("filter('Imported Recommendations'!B:D,'Imported Recommendations'!A:A=A140)"),"And then another team uses in a 13 deploys to environment that the first team cannot get to because it's a production environment that the coder will not get access to it. So in real life, you have different teams of people that talk only through some cha"&amp;"nnels.")</f>
        <v>And then another team uses in a 13 deploys to environment that the first team cannot get to because it's a production environment that the coder will not get access to it. So in real life, you have different teams of people that talk only through some channels.</v>
      </c>
      <c r="E140" s="65" t="str">
        <f>IFERROR(__xludf.DUMMYFUNCTION("""COMPUTED_VALUE"""),"Show the operational constraints to students like coder will not get access to production environment.")</f>
        <v>Show the operational constraints to students like coder will not get access to production environment.</v>
      </c>
      <c r="F140" s="65"/>
      <c r="G140" s="9" t="s">
        <v>538</v>
      </c>
      <c r="H140" s="9" t="s">
        <v>73</v>
      </c>
      <c r="I140" s="9"/>
      <c r="J140" s="30" t="s">
        <v>411</v>
      </c>
      <c r="K140" s="30" t="s">
        <v>73</v>
      </c>
      <c r="L140" s="31"/>
      <c r="M140" s="6"/>
      <c r="N140" s="6"/>
      <c r="O140" s="25"/>
      <c r="P140" s="6"/>
    </row>
    <row r="141">
      <c r="A141" s="61">
        <v>153.0</v>
      </c>
      <c r="B141" s="44" t="s">
        <v>165</v>
      </c>
      <c r="C141" s="44" t="s">
        <v>191</v>
      </c>
      <c r="D141" s="36" t="str">
        <f>IFERROR(__xludf.DUMMYFUNCTION("filter('Imported Recommendations'!B:D,'Imported Recommendations'!A:A=A141)"),"And then as we go into more concept, like what is Jenkins and what is Artifactory and what is Docker, then we can go back on those things.")</f>
        <v>And then as we go into more concept, like what is Jenkins and what is Artifactory and what is Docker, then we can go back on those things.</v>
      </c>
      <c r="E141" s="65" t="str">
        <f>IFERROR(__xludf.DUMMYFUNCTION("""COMPUTED_VALUE"""),"Study the tools more when you go into the concepts. For example, deep Docker when you teach containers.")</f>
        <v>Study the tools more when you go into the concepts. For example, deep Docker when you teach containers.</v>
      </c>
      <c r="F141" s="65"/>
      <c r="G141" s="9" t="s">
        <v>296</v>
      </c>
      <c r="H141" s="9" t="s">
        <v>73</v>
      </c>
      <c r="I141" s="9"/>
      <c r="J141" s="30" t="s">
        <v>412</v>
      </c>
      <c r="K141" s="30" t="s">
        <v>73</v>
      </c>
      <c r="L141" s="31"/>
      <c r="M141" s="6" t="s">
        <v>163</v>
      </c>
      <c r="N141" s="6" t="s">
        <v>163</v>
      </c>
      <c r="O141" s="25"/>
      <c r="P141" s="6"/>
    </row>
    <row r="142">
      <c r="A142" s="61">
        <v>154.0</v>
      </c>
      <c r="B142" s="44" t="s">
        <v>162</v>
      </c>
      <c r="C142" s="44" t="s">
        <v>191</v>
      </c>
      <c r="D142" s="36" t="str">
        <f>IFERROR(__xludf.DUMMYFUNCTION("filter('Imported Recommendations'!B:D,'Imported Recommendations'!A:A=A142)"),"what helps is to build something that is portable and something that can be broken down into several pieces where one student runs one bit and then another students runs the rest. It's also good because it forces them to work as a group.")</f>
        <v>what helps is to build something that is portable and something that can be broken down into several pieces where one student runs one bit and then another students runs the rest. It's also good because it forces them to work as a group.</v>
      </c>
      <c r="E142" s="65" t="str">
        <f>IFERROR(__xludf.DUMMYFUNCTION("""COMPUTED_VALUE"""),"Build something that is portable and something that can be broken down into several pieces where one student runs one bit and then another students runs the rest.")</f>
        <v>Build something that is portable and something that can be broken down into several pieces where one student runs one bit and then another students runs the rest.</v>
      </c>
      <c r="F142" s="65"/>
      <c r="G142" s="9" t="s">
        <v>297</v>
      </c>
      <c r="H142" s="9" t="s">
        <v>12</v>
      </c>
      <c r="I142" s="25"/>
      <c r="J142" s="30" t="s">
        <v>485</v>
      </c>
      <c r="K142" s="30" t="s">
        <v>12</v>
      </c>
      <c r="L142" s="31"/>
      <c r="M142" s="6" t="s">
        <v>163</v>
      </c>
      <c r="N142" s="6" t="s">
        <v>163</v>
      </c>
      <c r="O142" s="25"/>
      <c r="P142" s="6"/>
    </row>
    <row r="143">
      <c r="A143" s="61">
        <v>155.0</v>
      </c>
      <c r="B143" s="44" t="s">
        <v>164</v>
      </c>
      <c r="C143" s="44" t="s">
        <v>191</v>
      </c>
      <c r="D143" s="36" t="str">
        <f>IFERROR(__xludf.DUMMYFUNCTION("filter('Imported Recommendations'!B:D,'Imported Recommendations'!A:A=A143)"),"In this year, if you do that, it's too early and it's going to be too hard for you as a teacher to, to know what's going on. So by forcing the technology stack and telling them.
I mean, they're free to do what they want from a functional standpoint in th"&amp;"e project.
But from a tools and technology, we force just on them to avoid too many variation between the groups.
We use a very specific language. This is to just make it easy. I mean, sometimes we give it a bit too flexible. So right now we use a Java "&amp;"and Javascript because we are targeting web application. But, uh, when we students are implementing, uh, new features, so we give them the flexibility. We say, okay, parents, if you want to implement in Python, you can do it as long as you can wrap it in,"&amp;" uh, integrated in the new code.
 We give some kind of rough summary of what the application is supposed to do.")</f>
        <v>In this year, if you do that, it's too early and it's going to be too hard for you as a teacher to, to know what's going on. So by forcing the technology stack and telling them.
I mean, they're free to do what they want from a functional standpoint in the project.
But from a tools and technology, we force just on them to avoid too many variation between the groups.
We use a very specific language. This is to just make it easy. I mean, sometimes we give it a bit too flexible. So right now we use a Java and Javascript because we are targeting web application. But, uh, when we students are implementing, uh, new features, so we give them the flexibility. We say, okay, parents, if you want to implement in Python, you can do it as long as you can wrap it in, uh, integrated in the new code.
 We give some kind of rough summary of what the application is supposed to do.</v>
      </c>
      <c r="E143" s="65" t="str">
        <f>IFERROR(__xludf.DUMMYFUNCTION("""COMPUTED_VALUE"""),"Force students to use technology stack used on course.
It is necessary to give freedom to student develop their functional solution.
We force tools and tecnology and alert them to avoid too many variation between the groups.
It is important to give fle"&amp;"xibility to students to develop their solution although some things are determined.
Give students a rough summary of what their application are supposed to do.")</f>
        <v>Force students to use technology stack used on course.
It is necessary to give freedom to student develop their functional solution.
We force tools and tecnology and alert them to avoid too many variation between the groups.
It is important to give flexibility to students to develop their solution although some things are determined.
Give students a rough summary of what their application are supposed to do.</v>
      </c>
      <c r="F143" s="65" t="str">
        <f>IFERROR(__xludf.DUMMYFUNCTION("""COMPUTED_VALUE"""),"Force students to use technology stack used on course.")</f>
        <v>Force students to use technology stack used on course.</v>
      </c>
      <c r="G143" s="25" t="s">
        <v>539</v>
      </c>
      <c r="H143" s="9" t="s">
        <v>18</v>
      </c>
      <c r="I143" s="9"/>
      <c r="J143" s="30" t="s">
        <v>413</v>
      </c>
      <c r="K143" s="30" t="s">
        <v>18</v>
      </c>
      <c r="L143" s="31"/>
      <c r="M143" s="6"/>
      <c r="N143" s="6"/>
      <c r="O143" s="25"/>
      <c r="P143" s="6"/>
    </row>
    <row r="144">
      <c r="A144" s="61">
        <v>156.0</v>
      </c>
      <c r="B144" s="44" t="s">
        <v>165</v>
      </c>
      <c r="C144" s="44" t="s">
        <v>191</v>
      </c>
      <c r="D144" s="36" t="str">
        <f>IFERROR(__xludf.DUMMYFUNCTION("filter('Imported Recommendations'!B:D,'Imported Recommendations'!A:A=A144)"),"Go gradually. Um, so tha t,that was part of my strategy. The other thing is I've built a few, what I called a, um, whiteboard free session. So I go something like every week we have half a day, one hour of, uh, formal teaching. And then two hours exercise"&amp;" and we do that for like three weeks in a row. [...] So I do like three classrooms, one free session inspired by what they fail on and I continue.
")</f>
        <v>Go gradually. Um, so tha t,that was part of my strategy. The other thing is I've built a few, what I called a, um, whiteboard free session. So I go something like every week we have half a day, one hour of, uh, formal teaching. And then two hours exercise and we do that for like three weeks in a row. [...] So I do like three classrooms, one free session inspired by what they fail on and I continue.
</v>
      </c>
      <c r="E144" s="65" t="str">
        <f>IFERROR(__xludf.DUMMYFUNCTION("""COMPUTED_VALUE"""),"Build whiteboard free sessions inspired by what students have failed and the two hours exercise.")</f>
        <v>Build whiteboard free sessions inspired by what students have failed and the two hours exercise.</v>
      </c>
      <c r="F144" s="65"/>
      <c r="G144" s="9" t="s">
        <v>298</v>
      </c>
      <c r="H144" s="9" t="s">
        <v>73</v>
      </c>
      <c r="I144" s="9"/>
      <c r="J144" s="30" t="s">
        <v>414</v>
      </c>
      <c r="K144" s="30" t="s">
        <v>73</v>
      </c>
      <c r="L144" s="31"/>
      <c r="M144" s="6"/>
      <c r="N144" s="6"/>
      <c r="O144" s="25"/>
      <c r="P144" s="6"/>
    </row>
    <row r="145">
      <c r="A145" s="61">
        <v>157.0</v>
      </c>
      <c r="B145" s="44" t="s">
        <v>162</v>
      </c>
      <c r="C145" s="44" t="s">
        <v>191</v>
      </c>
      <c r="D145" s="36" t="str">
        <f>IFERROR(__xludf.DUMMYFUNCTION("filter('Imported Recommendations'!B:D,'Imported Recommendations'!A:A=A145)"),"We've done live presentation, where they have something that 20 minutes to describe the architecture, to describe their build strategy, that test strategy and demonstrate it on the screen. Um, and that is evaluated by a jury of one representative from the"&amp;" software architecture class and one representative from the DevOps class.
Students have to choose some topic and say, okay, we want to do a presentation on this topic. And that topic can be anything related to DevOps.
Everyone who wanted to present a t"&amp;"ool or to do a demo or anything else they could give, uh, get some feedback from other students.")</f>
        <v>We've done live presentation, where they have something that 20 minutes to describe the architecture, to describe their build strategy, that test strategy and demonstrate it on the screen. Um, and that is evaluated by a jury of one representative from the software architecture class and one representative from the DevOps class.
Students have to choose some topic and say, okay, we want to do a presentation on this topic. And that topic can be anything related to DevOps.
Everyone who wanted to present a tool or to do a demo or anything else they could give, uh, get some feedback from other students.</v>
      </c>
      <c r="E145" s="65" t="str">
        <f>IFERROR(__xludf.DUMMYFUNCTION("""COMPUTED_VALUE"""),"The students have something that 20 minutes to describe the architecture of the project, to describe their build strategy, that test strategy and demonstrate it on the screen. That is evaluated by a jury of one representative from the software architectur"&amp;"e class and one representative from the DevOps class.
Make students prepare a presentation about topics related to DevOps.
Students can present a tool or do a demo to get some feedback from others during the classes.")</f>
        <v>The students have something that 20 minutes to describe the architecture of the project, to describe their build strategy, that test strategy and demonstrate it on the screen. That is evaluated by a jury of one representative from the software architecture class and one representative from the DevOps class.
Make students prepare a presentation about topics related to DevOps.
Students can present a tool or do a demo to get some feedback from others during the classes.</v>
      </c>
      <c r="F145" s="65" t="str">
        <f>IFERROR(__xludf.DUMMYFUNCTION("""COMPUTED_VALUE"""),"Make students prepare a presentation about topics related to DevOps.")</f>
        <v>Make students prepare a presentation about topics related to DevOps.</v>
      </c>
      <c r="G145" s="9" t="s">
        <v>299</v>
      </c>
      <c r="H145" s="9" t="s">
        <v>73</v>
      </c>
      <c r="I145" s="9"/>
      <c r="J145" s="30" t="s">
        <v>486</v>
      </c>
      <c r="K145" s="30" t="s">
        <v>73</v>
      </c>
      <c r="L145" s="31"/>
      <c r="M145" s="6"/>
      <c r="N145" s="6"/>
      <c r="O145" s="25"/>
      <c r="P145" s="6"/>
    </row>
    <row r="146">
      <c r="A146" s="61">
        <v>158.0</v>
      </c>
      <c r="B146" s="44" t="s">
        <v>164</v>
      </c>
      <c r="C146" s="44" t="s">
        <v>191</v>
      </c>
      <c r="D146" s="36" t="str">
        <f>IFERROR(__xludf.DUMMYFUNCTION("filter('Imported Recommendations'!B:D,'Imported Recommendations'!A:A=A146)")," we also do two evaluations, one in the middle and one at the end. So the one in the middle, we call it MVP evaluation. And we tell them, at this point, you should have reached an MVP, which is basically a walking skeleton for your code. We don't care if "&amp;"when you call the API, the only code of the API is return true, or which are 12, but we care that you have the components in place. You can build them independently and they can talk to each other. Right? So at this, we validate that your componentization"&amp;" and your architecture is good even before you start building algorithms and the functional code. Um, so we do that and that's, again, that's to catch early, um, architecture mistakes.
")</f>
        <v> we also do two evaluations, one in the middle and one at the end. So the one in the middle, we call it MVP evaluation. And we tell them, at this point, you should have reached an MVP, which is basically a walking skeleton for your code. We don't care if when you call the API, the only code of the API is return true, or which are 12, but we care that you have the components in place. You can build them independently and they can talk to each other. Right? So at this, we validate that your componentization and your architecture is good even before you start building algorithms and the functional code. Um, so we do that and that's, again, that's to catch early, um, architecture mistakes.
</v>
      </c>
      <c r="E146" s="24" t="str">
        <f>IFERROR(__xludf.DUMMYFUNCTION("""COMPUTED_VALUE"""),"Use MVP (Minimum viable product) evaluation to validate components of the project. Make an evaluation in the middle and the final course.")</f>
        <v>Use MVP (Minimum viable product) evaluation to validate components of the project. Make an evaluation in the middle and the final course.</v>
      </c>
      <c r="F146" s="65"/>
      <c r="G146" s="9" t="s">
        <v>540</v>
      </c>
      <c r="H146" s="9" t="s">
        <v>29</v>
      </c>
      <c r="I146" s="9"/>
      <c r="J146" s="30" t="s">
        <v>415</v>
      </c>
      <c r="K146" s="30" t="s">
        <v>29</v>
      </c>
      <c r="L146" s="31"/>
      <c r="M146" s="6"/>
      <c r="N146" s="6"/>
      <c r="O146" s="25"/>
      <c r="P146" s="6"/>
    </row>
    <row r="147">
      <c r="A147" s="61">
        <v>159.0</v>
      </c>
      <c r="B147" s="44" t="s">
        <v>165</v>
      </c>
      <c r="C147" s="44" t="s">
        <v>191</v>
      </c>
      <c r="D147" s="36" t="str">
        <f>IFERROR(__xludf.DUMMYFUNCTION("filter('Imported Recommendations'!B:D,'Imported Recommendations'!A:A=A147)"),"we also have a lot of evaluation during the exercise. When group after group, where we, we give them flags if week green, yellow, or red, based on where we think they are, uh, regarding the objectives.")</f>
        <v>we also have a lot of evaluation during the exercise. When group after group, where we, we give them flags if week green, yellow, or red, based on where we think they are, uh, regarding the objectives.</v>
      </c>
      <c r="E147" s="65" t="str">
        <f>IFERROR(__xludf.DUMMYFUNCTION("""COMPUTED_VALUE"""),"Do many evaluations of students project along with the discipline. Use green, yellow or red flags to evaluate the group.")</f>
        <v>Do many evaluations of students project along with the discipline. Use green, yellow or red flags to evaluate the group.</v>
      </c>
      <c r="F147" s="65"/>
      <c r="G147" s="9" t="s">
        <v>300</v>
      </c>
      <c r="H147" s="9" t="s">
        <v>29</v>
      </c>
      <c r="I147" s="9"/>
      <c r="J147" s="30" t="s">
        <v>416</v>
      </c>
      <c r="K147" s="30" t="s">
        <v>29</v>
      </c>
      <c r="L147" s="31"/>
      <c r="M147" s="6"/>
      <c r="N147" s="6"/>
      <c r="O147" s="25"/>
      <c r="P147" s="6"/>
    </row>
    <row r="148">
      <c r="A148" s="61">
        <v>160.0</v>
      </c>
      <c r="B148" s="44" t="s">
        <v>162</v>
      </c>
      <c r="C148" s="44" t="s">
        <v>191</v>
      </c>
      <c r="D148" s="36" t="str">
        <f>IFERROR(__xludf.DUMMYFUNCTION("filter('Imported Recommendations'!B:D,'Imported Recommendations'!A:A=A148)"),"we cannot make assumption on what they know. So we're trying to work without any assumption.
")</f>
        <v>we cannot make assumption on what they know. So we're trying to work without any assumption.
</v>
      </c>
      <c r="E148" s="65" t="str">
        <f>IFERROR(__xludf.DUMMYFUNCTION("""COMPUTED_VALUE"""),"Do not make assumption about the learning level of the students when you have students with different levels.")</f>
        <v>Do not make assumption about the learning level of the students when you have students with different levels.</v>
      </c>
      <c r="F148" s="65"/>
      <c r="G148" s="9" t="s">
        <v>301</v>
      </c>
      <c r="H148" s="9" t="s">
        <v>73</v>
      </c>
      <c r="I148" s="9"/>
      <c r="J148" s="30" t="s">
        <v>487</v>
      </c>
      <c r="K148" s="30" t="s">
        <v>73</v>
      </c>
      <c r="L148" s="31"/>
      <c r="M148" s="6" t="s">
        <v>163</v>
      </c>
      <c r="N148" s="6" t="s">
        <v>163</v>
      </c>
      <c r="O148" s="25"/>
      <c r="P148" s="6"/>
    </row>
    <row r="149">
      <c r="A149" s="61">
        <v>161.0</v>
      </c>
      <c r="B149" s="44" t="s">
        <v>164</v>
      </c>
      <c r="C149" s="44" t="s">
        <v>191</v>
      </c>
      <c r="D149" s="36" t="str">
        <f>IFERROR(__xludf.DUMMYFUNCTION("filter('Imported Recommendations'!B:D,'Imported Recommendations'!A:A=A149)"),"We show them Kubernetes.
Let's go for something that we have more control on, uh, using for tools like Jenkins and and a stuff like Docker or Kubernetes was kind of good in a way to, uh, support the deployment and the, uh, like the building plus deployme"&amp;"nt stuff.
I want to be able to deploy it with containers. So it can be, um, through Kubernetes, it can be through Docker.")</f>
        <v>We show them Kubernetes.
Let's go for something that we have more control on, uh, using for tools like Jenkins and and a stuff like Docker or Kubernetes was kind of good in a way to, uh, support the deployment and the, uh, like the building plus deployment stuff.
I want to be able to deploy it with containers. So it can be, um, through Kubernetes, it can be through Docker.</v>
      </c>
      <c r="E149" s="65" t="str">
        <f>IFERROR(__xludf.DUMMYFUNCTION("""COMPUTED_VALUE"""),"Kubernetes can be chosen as DevOps tool.
Use tools like Kubernetes to have more control on support the deployment.
Uses Kubernetes as container deployment tool adopted by the course.")</f>
        <v>Kubernetes can be chosen as DevOps tool.
Use tools like Kubernetes to have more control on support the deployment.
Uses Kubernetes as container deployment tool adopted by the course.</v>
      </c>
      <c r="F149" s="65" t="str">
        <f>IFERROR(__xludf.DUMMYFUNCTION("""COMPUTED_VALUE"""),"Kubernetes can be chosen as DevOps tool.")</f>
        <v>Kubernetes can be chosen as DevOps tool.</v>
      </c>
      <c r="G149" s="9" t="s">
        <v>541</v>
      </c>
      <c r="H149" s="9" t="s">
        <v>18</v>
      </c>
      <c r="I149" s="9"/>
      <c r="J149" s="30" t="s">
        <v>417</v>
      </c>
      <c r="K149" s="30" t="s">
        <v>18</v>
      </c>
      <c r="L149" s="31"/>
      <c r="M149" s="6"/>
      <c r="N149" s="6"/>
      <c r="O149" s="25"/>
      <c r="P149" s="6"/>
    </row>
    <row r="150">
      <c r="A150" s="61">
        <v>162.0</v>
      </c>
      <c r="B150" s="44" t="s">
        <v>165</v>
      </c>
      <c r="C150" s="44" t="s">
        <v>191</v>
      </c>
      <c r="D150" s="36" t="str">
        <f>IFERROR(__xludf.DUMMYFUNCTION("filter('Imported Recommendations'!B:D,'Imported Recommendations'!A:A=A150)"),"I covered it is a few lectures, like on, on DevOps and, um, which look at DevOps from a kind of generic perspective, like introducing the concept of DevOps and the challenges related to DevOps and, and, and so on. And then introducing them some of the bas"&amp;"ic tools, like for instance, so using things like continuous integration tools, like Jenkins SIM swollen. And, uh, so I tried to introduce, uh, between maybe spending about a couple of weeks doing that, like the course was about 12 weeks. And so in Zen Ap"&amp;"p there, I focus more on specialized issues. So we spent some time on performance and scalability testing and things like the good testing and so on.")</f>
        <v>I covered it is a few lectures, like on, on DevOps and, um, which look at DevOps from a kind of generic perspective, like introducing the concept of DevOps and the challenges related to DevOps and, and, and so on. And then introducing them some of the basic tools, like for instance, so using things like continuous integration tools, like Jenkins SIM swollen. And, uh, so I tried to introduce, uh, between maybe spending about a couple of weeks doing that, like the course was about 12 weeks. And so in Zen App there, I focus more on specialized issues. So we spent some time on performance and scalability testing and things like the good testing and so on.</v>
      </c>
      <c r="E150" s="65" t="str">
        <f>IFERROR(__xludf.DUMMYFUNCTION("""COMPUTED_VALUE"""),"Start with a generic perspective of DevOps, basic concepts, and after a few weeks start to focus on specialized issues.")</f>
        <v>Start with a generic perspective of DevOps, basic concepts, and after a few weeks start to focus on specialized issues.</v>
      </c>
      <c r="F150" s="65"/>
      <c r="G150" s="9" t="s">
        <v>302</v>
      </c>
      <c r="H150" s="9" t="s">
        <v>73</v>
      </c>
      <c r="I150" s="9"/>
      <c r="J150" s="30" t="s">
        <v>418</v>
      </c>
      <c r="K150" s="30" t="s">
        <v>73</v>
      </c>
      <c r="L150" s="31"/>
      <c r="M150" s="6" t="s">
        <v>163</v>
      </c>
      <c r="N150" s="6" t="s">
        <v>163</v>
      </c>
      <c r="O150" s="25"/>
      <c r="P150" s="6"/>
    </row>
    <row r="151">
      <c r="A151" s="61">
        <v>163.0</v>
      </c>
      <c r="B151" s="44" t="s">
        <v>162</v>
      </c>
      <c r="C151" s="44" t="s">
        <v>191</v>
      </c>
      <c r="D151" s="36" t="str">
        <f>IFERROR(__xludf.DUMMYFUNCTION("filter('Imported Recommendations'!B:D,'Imported Recommendations'!A:A=A151)"),"what I do is that after introducing a concept and so on, I started really looking at very specific issues ... so in the lab we students learn, uh, in our, to be able to, for instance, to create a pipeline currency, DevOps pipeline, and, and, um, very, uh,"&amp;" set up A B tests, create test cases and do automated test, uh, test automation.")</f>
        <v>what I do is that after introducing a concept and so on, I started really looking at very specific issues ... so in the lab we students learn, uh, in our, to be able to, for instance, to create a pipeline currency, DevOps pipeline, and, and, um, very, uh, set up A B tests, create test cases and do automated test, uh, test automation.</v>
      </c>
      <c r="E151" s="65" t="str">
        <f>IFERROR(__xludf.DUMMYFUNCTION("""COMPUTED_VALUE"""),"Introduce a concept and do labs with creating DevOps pipeline, setup A/B tests, and automated tests.")</f>
        <v>Introduce a concept and do labs with creating DevOps pipeline, setup A/B tests, and automated tests.</v>
      </c>
      <c r="F151" s="65"/>
      <c r="G151" s="9" t="s">
        <v>303</v>
      </c>
      <c r="H151" s="9" t="s">
        <v>73</v>
      </c>
      <c r="I151" s="25"/>
      <c r="J151" s="30" t="s">
        <v>488</v>
      </c>
      <c r="K151" s="31" t="s">
        <v>73</v>
      </c>
      <c r="L151" s="31"/>
      <c r="M151" s="6" t="s">
        <v>163</v>
      </c>
      <c r="N151" s="6" t="s">
        <v>163</v>
      </c>
      <c r="O151" s="25"/>
      <c r="P151" s="6"/>
    </row>
    <row r="152">
      <c r="A152" s="61">
        <v>164.0</v>
      </c>
      <c r="B152" s="44" t="s">
        <v>164</v>
      </c>
      <c r="C152" s="44" t="s">
        <v>191</v>
      </c>
      <c r="D152" s="36" t="str">
        <f>IFERROR(__xludf.DUMMYFUNCTION("filter('Imported Recommendations'!B:D,'Imported Recommendations'!A:A=A152)"),"The students have to do in the projects is to start by coming up with the requirements of the obvious application, and then start setting up their own environment and provide some additional functionalities that we want to implement.
 So they have set up"&amp;" their environment.
The second one is to, we give them an application. It's an actually an HVAC humidity, air conditioning and ventilation, um, and they don't develop the application, but they have to build the pipeline to support this existing applicati"&amp;"on.")</f>
        <v>The students have to do in the projects is to start by coming up with the requirements of the obvious application, and then start setting up their own environment and provide some additional functionalities that we want to implement.
 So they have set up their environment.
The second one is to, we give them an application. It's an actually an HVAC humidity, air conditioning and ventilation, um, and they don't develop the application, but they have to build the pipeline to support this existing application.</v>
      </c>
      <c r="E152" s="24" t="str">
        <f>IFERROR(__xludf.DUMMYFUNCTION("""COMPUTED_VALUE"""),"Students start setting up their own DevOps environment and provide additional feature using simple application in the project.
Let students setup their environment for themselves.
Give students an application that they have to build the pipeline to supp"&amp;"ort it.")</f>
        <v>Students start setting up their own DevOps environment and provide additional feature using simple application in the project.
Let students setup their environment for themselves.
Give students an application that they have to build the pipeline to support it.</v>
      </c>
      <c r="F152" s="65" t="str">
        <f>IFERROR(__xludf.DUMMYFUNCTION("""COMPUTED_VALUE"""),"Students setting up their own DevOps environment.")</f>
        <v>Students setting up their own DevOps environment.</v>
      </c>
      <c r="G152" s="9" t="s">
        <v>542</v>
      </c>
      <c r="H152" s="9" t="s">
        <v>12</v>
      </c>
      <c r="I152" s="9"/>
      <c r="J152" s="30" t="s">
        <v>419</v>
      </c>
      <c r="K152" s="30" t="s">
        <v>12</v>
      </c>
      <c r="L152" s="31"/>
      <c r="M152" s="6"/>
      <c r="N152" s="6"/>
      <c r="O152" s="25"/>
      <c r="P152" s="6"/>
    </row>
    <row r="153">
      <c r="A153" s="61">
        <v>165.0</v>
      </c>
      <c r="B153" s="44" t="s">
        <v>165</v>
      </c>
      <c r="C153" s="44" t="s">
        <v>191</v>
      </c>
      <c r="D153" s="36" t="str">
        <f>IFERROR(__xludf.DUMMYFUNCTION("filter('Imported Recommendations'!B:D,'Imported Recommendations'!A:A=A153)"),"Also making the project interesting is important because it, you can, it's very easy when you are teaching to just take a very small project, which is not very, uh, challenging in all with students.
")</f>
        <v>Also making the project interesting is important because it, you can, it's very easy when you are teaching to just take a very small project, which is not very, uh, challenging in all with students.
</v>
      </c>
      <c r="E153" s="65" t="str">
        <f>IFERROR(__xludf.DUMMYFUNCTION("""COMPUTED_VALUE"""),"The project of the class should not be very small and must be challenging.")</f>
        <v>The project of the class should not be very small and must be challenging.</v>
      </c>
      <c r="F153" s="65"/>
      <c r="G153" s="9" t="s">
        <v>304</v>
      </c>
      <c r="H153" s="9" t="s">
        <v>24</v>
      </c>
      <c r="I153" s="25"/>
      <c r="J153" s="30" t="s">
        <v>420</v>
      </c>
      <c r="K153" s="30" t="s">
        <v>24</v>
      </c>
      <c r="L153" s="31"/>
      <c r="M153" s="6" t="s">
        <v>163</v>
      </c>
      <c r="N153" s="6" t="s">
        <v>163</v>
      </c>
      <c r="O153" s="25"/>
      <c r="P153" s="6"/>
    </row>
    <row r="154">
      <c r="A154" s="61">
        <v>166.0</v>
      </c>
      <c r="B154" s="44" t="s">
        <v>162</v>
      </c>
      <c r="C154" s="44" t="s">
        <v>191</v>
      </c>
      <c r="D154" s="36" t="str">
        <f>IFERROR(__xludf.DUMMYFUNCTION("filter('Imported Recommendations'!B:D,'Imported Recommendations'!A:A=A154)"),"for exam can be to use an open source application that we can use")</f>
        <v>for exam can be to use an open source application that we can use</v>
      </c>
      <c r="E154" s="65" t="str">
        <f>IFERROR(__xludf.DUMMYFUNCTION("""COMPUTED_VALUE"""),"For exam can be to use an open source application that we can use.")</f>
        <v>For exam can be to use an open source application that we can use.</v>
      </c>
      <c r="F154" s="65"/>
      <c r="G154" s="9" t="s">
        <v>305</v>
      </c>
      <c r="H154" s="9" t="s">
        <v>29</v>
      </c>
      <c r="I154" s="9"/>
      <c r="J154" s="30" t="s">
        <v>489</v>
      </c>
      <c r="K154" s="30" t="s">
        <v>29</v>
      </c>
      <c r="L154" s="31"/>
      <c r="M154" s="6"/>
      <c r="N154" s="6"/>
      <c r="O154" s="25"/>
      <c r="P154" s="6"/>
    </row>
    <row r="155">
      <c r="A155" s="61">
        <v>167.0</v>
      </c>
      <c r="B155" s="44" t="s">
        <v>164</v>
      </c>
      <c r="C155" s="44" t="s">
        <v>191</v>
      </c>
      <c r="D155" s="36" t="str">
        <f>IFERROR(__xludf.DUMMYFUNCTION("filter('Imported Recommendations'!B:D,'Imported Recommendations'!A:A=A155)"),"we use also SonarQube to help us on the automation")</f>
        <v>we use also SonarQube to help us on the automation</v>
      </c>
      <c r="E155" s="65" t="str">
        <f>IFERROR(__xludf.DUMMYFUNCTION("""COMPUTED_VALUE"""),"Use SonarQube to help on the automation.")</f>
        <v>Use SonarQube to help on the automation.</v>
      </c>
      <c r="F155" s="65"/>
      <c r="G155" s="9" t="s">
        <v>543</v>
      </c>
      <c r="H155" s="9" t="s">
        <v>18</v>
      </c>
      <c r="I155" s="9"/>
      <c r="J155" s="30" t="s">
        <v>421</v>
      </c>
      <c r="K155" s="30" t="s">
        <v>18</v>
      </c>
      <c r="L155" s="31"/>
      <c r="M155" s="6" t="s">
        <v>163</v>
      </c>
      <c r="N155" s="6" t="s">
        <v>163</v>
      </c>
      <c r="O155" s="25"/>
      <c r="P155" s="6"/>
    </row>
    <row r="156">
      <c r="A156" s="61">
        <v>168.0</v>
      </c>
      <c r="B156" s="44" t="s">
        <v>165</v>
      </c>
      <c r="C156" s="44" t="s">
        <v>191</v>
      </c>
      <c r="D156" s="36" t="str">
        <f>IFERROR(__xludf.DUMMYFUNCTION("filter('Imported Recommendations'!B:D,'Imported Recommendations'!A:A=A156)"),"for performance testing we use JMeter")</f>
        <v>for performance testing we use JMeter</v>
      </c>
      <c r="E156" s="65" t="str">
        <f>IFERROR(__xludf.DUMMYFUNCTION("""COMPUTED_VALUE"""),"Use JMeter for performance testing.")</f>
        <v>Use JMeter for performance testing.</v>
      </c>
      <c r="F156" s="65"/>
      <c r="G156" s="9" t="s">
        <v>306</v>
      </c>
      <c r="H156" s="9" t="s">
        <v>18</v>
      </c>
      <c r="I156" s="9"/>
      <c r="J156" s="30" t="s">
        <v>422</v>
      </c>
      <c r="K156" s="30" t="s">
        <v>18</v>
      </c>
      <c r="L156" s="31"/>
      <c r="M156" s="6"/>
      <c r="N156" s="6"/>
      <c r="O156" s="25"/>
      <c r="P156" s="6"/>
    </row>
    <row r="157">
      <c r="A157" s="61">
        <v>169.0</v>
      </c>
      <c r="B157" s="44" t="s">
        <v>162</v>
      </c>
      <c r="C157" s="44" t="s">
        <v>191</v>
      </c>
      <c r="D157" s="36" t="str">
        <f>IFERROR(__xludf.DUMMYFUNCTION("filter('Imported Recommendations'!B:D,'Imported Recommendations'!A:A=A157)"),"we also security platform like, uh, Zap")</f>
        <v>we also security platform like, uh, Zap</v>
      </c>
      <c r="E157" s="65" t="str">
        <f>IFERROR(__xludf.DUMMYFUNCTION("""COMPUTED_VALUE"""),"Use OWASP Zap as security platform.")</f>
        <v>Use OWASP Zap as security platform.</v>
      </c>
      <c r="F157" s="65"/>
      <c r="G157" s="9" t="s">
        <v>307</v>
      </c>
      <c r="H157" s="9" t="s">
        <v>18</v>
      </c>
      <c r="I157" s="9"/>
      <c r="J157" s="30" t="s">
        <v>490</v>
      </c>
      <c r="K157" s="30" t="s">
        <v>18</v>
      </c>
      <c r="L157" s="31"/>
      <c r="M157" s="6"/>
      <c r="N157" s="6"/>
      <c r="O157" s="25"/>
      <c r="P157" s="6"/>
    </row>
    <row r="158">
      <c r="A158" s="61">
        <v>170.0</v>
      </c>
      <c r="B158" s="44" t="s">
        <v>164</v>
      </c>
      <c r="C158" s="44" t="s">
        <v>191</v>
      </c>
      <c r="D158" s="36" t="str">
        <f>IFERROR(__xludf.DUMMYFUNCTION("filter('Imported Recommendations'!B:D,'Imported Recommendations'!A:A=A158)"),"So in terms of the tools, I feel better. I think one of the good aspect in DevOps is that there are a lot of tools [...] DevOps tools are available and where a lot of them are free and some of them are conscious of those. So a lot of them are free. And, a"&amp;"nd then, so, so far, I think it has been good.")</f>
        <v>So in terms of the tools, I feel better. I think one of the good aspect in DevOps is that there are a lot of tools [...] DevOps tools are available and where a lot of them are free and some of them are conscious of those. So a lot of them are free. And, and then, so, so far, I think it has been good.</v>
      </c>
      <c r="E158" s="65" t="str">
        <f>IFERROR(__xludf.DUMMYFUNCTION("""COMPUTED_VALUE"""),"There are many free DevOps tools available.")</f>
        <v>There are many free DevOps tools available.</v>
      </c>
      <c r="F158" s="65"/>
      <c r="G158" s="9" t="s">
        <v>544</v>
      </c>
      <c r="H158" s="9" t="s">
        <v>18</v>
      </c>
      <c r="I158" s="9"/>
      <c r="J158" s="30" t="s">
        <v>423</v>
      </c>
      <c r="K158" s="30" t="s">
        <v>18</v>
      </c>
      <c r="L158" s="31"/>
      <c r="M158" s="6"/>
      <c r="N158" s="6"/>
      <c r="O158" s="25"/>
      <c r="P158" s="6"/>
    </row>
    <row r="159">
      <c r="A159" s="61">
        <v>171.0</v>
      </c>
      <c r="B159" s="44" t="s">
        <v>165</v>
      </c>
      <c r="C159" s="44" t="s">
        <v>191</v>
      </c>
      <c r="D159" s="36" t="str">
        <f>IFERROR(__xludf.DUMMYFUNCTION("filter('Imported Recommendations'!B:D,'Imported Recommendations'!A:A=A159)"),"Quite often, what we do is have someone in our team to implement the application.")</f>
        <v>Quite often, what we do is have someone in our team to implement the application.</v>
      </c>
      <c r="E159" s="65" t="str">
        <f>IFERROR(__xludf.DUMMYFUNCTION("""COMPUTED_VALUE"""),"Someone from teacher staff implements the sample application.")</f>
        <v>Someone from teacher staff implements the sample application.</v>
      </c>
      <c r="F159" s="65"/>
      <c r="G159" s="9" t="s">
        <v>308</v>
      </c>
      <c r="H159" s="9" t="s">
        <v>24</v>
      </c>
      <c r="I159" s="25"/>
      <c r="J159" s="30" t="s">
        <v>424</v>
      </c>
      <c r="K159" s="30" t="s">
        <v>24</v>
      </c>
      <c r="L159" s="31"/>
      <c r="M159" s="6"/>
      <c r="N159" s="6"/>
      <c r="O159" s="25"/>
      <c r="P159" s="6"/>
    </row>
    <row r="160">
      <c r="A160" s="61">
        <v>172.0</v>
      </c>
      <c r="B160" s="44" t="s">
        <v>162</v>
      </c>
      <c r="C160" s="44" t="s">
        <v>191</v>
      </c>
      <c r="D160" s="36" t="str">
        <f>IFERROR(__xludf.DUMMYFUNCTION("filter('Imported Recommendations'!B:D,'Imported Recommendations'!A:A=A160)"),"So in the course I split, but so about 80% of presentation is just a regular, uh, concepts and so on and about 20% is about concrete applications.
 And so if we can find a way to be able to, to compress the experience or expertise in the practical experi"&amp;"ence and expertise in the context of lectures and so on.")</f>
        <v>So in the course I split, but so about 80% of presentation is just a regular, uh, concepts and so on and about 20% is about concrete applications.
 And so if we can find a way to be able to, to compress the experience or expertise in the practical experience and expertise in the context of lectures and so on.</v>
      </c>
      <c r="E160" s="65" t="str">
        <f>IFERROR(__xludf.DUMMYFUNCTION("""COMPUTED_VALUE"""),"Divide the course into 80% of concepts and 20% of applications.
Conciliate the experience in labs and the context of lectures.")</f>
        <v>Divide the course into 80% of concepts and 20% of applications.
Conciliate the experience in labs and the context of lectures.</v>
      </c>
      <c r="F160" s="65" t="str">
        <f>IFERROR(__xludf.DUMMYFUNCTION("""COMPUTED_VALUE"""),"Divide the course into 80% of concepts and 20% of applications.")</f>
        <v>Divide the course into 80% of concepts and 20% of applications.</v>
      </c>
      <c r="G160" s="9" t="s">
        <v>309</v>
      </c>
      <c r="H160" s="9" t="s">
        <v>10</v>
      </c>
      <c r="I160" s="9"/>
      <c r="J160" s="30" t="s">
        <v>491</v>
      </c>
      <c r="K160" s="30" t="s">
        <v>10</v>
      </c>
      <c r="L160" s="31"/>
      <c r="M160" s="6" t="s">
        <v>163</v>
      </c>
      <c r="N160" s="6" t="s">
        <v>163</v>
      </c>
      <c r="O160" s="25"/>
      <c r="P160" s="6"/>
    </row>
    <row r="161">
      <c r="A161" s="61">
        <v>173.0</v>
      </c>
      <c r="B161" s="44" t="s">
        <v>164</v>
      </c>
      <c r="C161" s="44" t="s">
        <v>191</v>
      </c>
      <c r="D161" s="36" t="str">
        <f>IFERROR(__xludf.DUMMYFUNCTION("filter('Imported Recommendations'!B:D,'Imported Recommendations'!A:A=A161)"),"We presented as a lab project [...] So the students start initially by defining the requirements and then after they start a secondary pipeline, and then they do at least a couple of weeks iterations cycle and develop cycle. And then after they go to do p"&amp;"erformance testing to do a security testing and all those kinds of things, and for each of these deliverables, we submit something, every report. And, and, uh, so that's very easy to map because it's a very practical.")</f>
        <v>We presented as a lab project [...] So the students start initially by defining the requirements and then after they start a secondary pipeline, and then they do at least a couple of weeks iterations cycle and develop cycle. And then after they go to do performance testing to do a security testing and all those kinds of things, and for each of these deliverables, we submit something, every report. And, and, uh, so that's very easy to map because it's a very practical.</v>
      </c>
      <c r="E161" s="65" t="str">
        <f>IFERROR(__xludf.DUMMYFUNCTION("""COMPUTED_VALUE"""),"We presented as a lab project with five deliverables. The students start by defining the requirements and then after they start a secondary pipeline, and then they do at least a couple of weeks iterations cycle and develop cycle. And then after they go to"&amp;" do performance testing to do a security testing, and for each of these deliverables, we submit something, every report.")</f>
        <v>We presented as a lab project with five deliverables. The students start by defining the requirements and then after they start a secondary pipeline, and then they do at least a couple of weeks iterations cycle and develop cycle. And then after they go to do performance testing to do a security testing, and for each of these deliverables, we submit something, every report.</v>
      </c>
      <c r="F161" s="65"/>
      <c r="G161" s="25" t="s">
        <v>545</v>
      </c>
      <c r="H161" s="9" t="s">
        <v>73</v>
      </c>
      <c r="I161" s="9"/>
      <c r="J161" s="30" t="s">
        <v>425</v>
      </c>
      <c r="K161" s="30" t="s">
        <v>73</v>
      </c>
      <c r="L161" s="31"/>
      <c r="M161" s="6" t="s">
        <v>163</v>
      </c>
      <c r="N161" s="6" t="s">
        <v>163</v>
      </c>
      <c r="O161" s="25"/>
      <c r="P161" s="6"/>
    </row>
    <row r="162">
      <c r="A162" s="61">
        <v>175.0</v>
      </c>
      <c r="B162" s="44" t="s">
        <v>162</v>
      </c>
      <c r="C162" s="44" t="s">
        <v>191</v>
      </c>
      <c r="D162" s="36" t="str">
        <f>IFERROR(__xludf.DUMMYFUNCTION("filter('Imported Recommendations'!B:D,'Imported Recommendations'!A:A=A162)"),"I had a different assistant for the labs who was the next student. So the first time, and the labs were quite well received.
If you have lab assistants that are, you know, good, it's pretty easy to manage.")</f>
        <v>I had a different assistant for the labs who was the next student. So the first time, and the labs were quite well received.
If you have lab assistants that are, you know, good, it's pretty easy to manage.</v>
      </c>
      <c r="E162" s="65" t="str">
        <f>IFERROR(__xludf.DUMMYFUNCTION("""COMPUTED_VALUE"""),"Qualified teacher assistant is important to setup the labs.
It is good to have teacher assistants with labs.")</f>
        <v>Qualified teacher assistant is important to setup the labs.
It is good to have teacher assistants with labs.</v>
      </c>
      <c r="F162" s="65" t="str">
        <f>IFERROR(__xludf.DUMMYFUNCTION("""COMPUTED_VALUE"""),"Teacher assistants are helpful with labs.")</f>
        <v>Teacher assistants are helpful with labs.</v>
      </c>
      <c r="G162" s="9" t="s">
        <v>310</v>
      </c>
      <c r="H162" s="9" t="s">
        <v>73</v>
      </c>
      <c r="I162" s="9"/>
      <c r="J162" s="30" t="s">
        <v>492</v>
      </c>
      <c r="K162" s="30" t="s">
        <v>73</v>
      </c>
      <c r="L162" s="31"/>
      <c r="M162" s="6"/>
      <c r="N162" s="6"/>
      <c r="O162" s="25"/>
      <c r="P162" s="6"/>
    </row>
    <row r="163">
      <c r="A163" s="61">
        <v>176.0</v>
      </c>
      <c r="B163" s="44" t="s">
        <v>164</v>
      </c>
      <c r="C163" s="44" t="s">
        <v>191</v>
      </c>
      <c r="D163" s="36" t="str">
        <f>IFERROR(__xludf.DUMMYFUNCTION("filter('Imported Recommendations'!B:D,'Imported Recommendations'!A:A=A163)"),"the unicorn [project book] who was just, just published last year is more about the Dev stuff, but it really brings it into the mindset of, of, okay, what are the issues concretely that we face.")</f>
        <v>the unicorn [project book] who was just, just published last year is more about the Dev stuff, but it really brings it into the mindset of, of, okay, what are the issues concretely that we face.</v>
      </c>
      <c r="E163" s="65" t="str">
        <f>IFERROR(__xludf.DUMMYFUNCTION("""COMPUTED_VALUE"""),"The Unicorn project book is a novel which covers the Dev side issues of DevOps.")</f>
        <v>The Unicorn project book is a novel which covers the Dev side issues of DevOps.</v>
      </c>
      <c r="F163" s="65"/>
      <c r="G163" s="9" t="s">
        <v>546</v>
      </c>
      <c r="H163" s="9" t="s">
        <v>73</v>
      </c>
      <c r="I163" s="9"/>
      <c r="J163" s="30" t="s">
        <v>426</v>
      </c>
      <c r="K163" s="30" t="s">
        <v>73</v>
      </c>
      <c r="L163" s="31"/>
      <c r="M163" s="6"/>
      <c r="N163" s="6"/>
      <c r="O163" s="25"/>
      <c r="P163" s="6"/>
    </row>
    <row r="164">
      <c r="A164" s="61">
        <v>177.0</v>
      </c>
      <c r="B164" s="44" t="s">
        <v>165</v>
      </c>
      <c r="C164" s="44" t="s">
        <v>191</v>
      </c>
      <c r="D164" s="36" t="str">
        <f>IFERROR(__xludf.DUMMYFUNCTION("filter('Imported Recommendations'!B:D,'Imported Recommendations'!A:A=A164)"),"The Phoenix project ...  it's written also by essentially Jean Kim ... , it's written as a novel ... you get into the, the life of people that are facing issues that's are essentially DevOps issues ... he Phoenix project is more about the Ops side of thin"&amp;"gs.")</f>
        <v>The Phoenix project ...  it's written also by essentially Jean Kim ... , it's written as a novel ... you get into the, the life of people that are facing issues that's are essentially DevOps issues ... he Phoenix project is more about the Ops side of things.</v>
      </c>
      <c r="E164" s="65" t="str">
        <f>IFERROR(__xludf.DUMMYFUNCTION("""COMPUTED_VALUE"""),"The Phoenix book by Jean Kim is a novel that covers the Ops side of DevOps.")</f>
        <v>The Phoenix book by Jean Kim is a novel that covers the Ops side of DevOps.</v>
      </c>
      <c r="F164" s="65"/>
      <c r="G164" s="9" t="s">
        <v>311</v>
      </c>
      <c r="H164" s="25" t="s">
        <v>73</v>
      </c>
      <c r="I164" s="9"/>
      <c r="J164" s="30" t="s">
        <v>427</v>
      </c>
      <c r="K164" s="33" t="s">
        <v>24</v>
      </c>
      <c r="L164" s="31"/>
      <c r="M164" s="6" t="s">
        <v>163</v>
      </c>
      <c r="N164" s="6"/>
      <c r="O164" s="25"/>
      <c r="P164" s="68" t="s">
        <v>180</v>
      </c>
    </row>
    <row r="165">
      <c r="A165" s="61">
        <v>178.0</v>
      </c>
      <c r="B165" s="44" t="s">
        <v>162</v>
      </c>
      <c r="C165" s="44" t="s">
        <v>191</v>
      </c>
      <c r="D165" s="36" t="str">
        <f>IFERROR(__xludf.DUMMYFUNCTION("filter('Imported Recommendations'!B:D,'Imported Recommendations'!A:A=A165)"),"I need very solid, uh, research. It's a sorry, a lab assistance. The people responsible for the labs of course, assistants that that can actually deal with the students. So I'm lucky to have students and have good industrial experience, uh, to do that.")</f>
        <v>I need very solid, uh, research. It's a sorry, a lab assistance. The people responsible for the labs of course, assistants that that can actually deal with the students. So I'm lucky to have students and have good industrial experience, uh, to do that.</v>
      </c>
      <c r="E165" s="65" t="str">
        <f>IFERROR(__xludf.DUMMYFUNCTION("""COMPUTED_VALUE"""),"The teacher assistants need to be very qualified.")</f>
        <v>The teacher assistants need to be very qualified.</v>
      </c>
      <c r="F165" s="65"/>
      <c r="G165" s="9" t="s">
        <v>312</v>
      </c>
      <c r="H165" s="9" t="s">
        <v>73</v>
      </c>
      <c r="I165" s="9" t="s">
        <v>547</v>
      </c>
      <c r="J165" s="30" t="s">
        <v>312</v>
      </c>
      <c r="K165" s="30" t="s">
        <v>73</v>
      </c>
      <c r="L165" s="31"/>
      <c r="M165" s="6" t="s">
        <v>163</v>
      </c>
      <c r="N165" s="6" t="s">
        <v>163</v>
      </c>
      <c r="O165" s="25"/>
      <c r="P165" s="6"/>
    </row>
    <row r="166">
      <c r="A166" s="61">
        <v>179.0</v>
      </c>
      <c r="B166" s="44" t="s">
        <v>164</v>
      </c>
      <c r="C166" s="44" t="s">
        <v>191</v>
      </c>
      <c r="D166" s="36" t="str">
        <f>IFERROR(__xludf.DUMMYFUNCTION("filter('Imported Recommendations'!B:D,'Imported Recommendations'!A:A=A166)"),"So I chose, um, tuleap, which is an open source that was missing in mainly DevOps in France.")</f>
        <v>So I chose, um, tuleap, which is an open source that was missing in mainly DevOps in France.</v>
      </c>
      <c r="E166" s="65" t="str">
        <f>IFERROR(__xludf.DUMMYFUNCTION("""COMPUTED_VALUE"""),"Use Tuleap for lifecycle management.")</f>
        <v>Use Tuleap for lifecycle management.</v>
      </c>
      <c r="F166" s="65"/>
      <c r="G166" s="9" t="s">
        <v>548</v>
      </c>
      <c r="H166" s="9" t="s">
        <v>18</v>
      </c>
      <c r="I166" s="9"/>
      <c r="J166" s="30" t="s">
        <v>428</v>
      </c>
      <c r="K166" s="30" t="s">
        <v>18</v>
      </c>
      <c r="L166" s="31"/>
      <c r="M166" s="6" t="s">
        <v>163</v>
      </c>
      <c r="N166" s="6" t="s">
        <v>163</v>
      </c>
      <c r="O166" s="25"/>
      <c r="P166" s="6"/>
    </row>
    <row r="167">
      <c r="A167" s="61">
        <v>180.0</v>
      </c>
      <c r="B167" s="44" t="s">
        <v>165</v>
      </c>
      <c r="C167" s="44" t="s">
        <v>191</v>
      </c>
      <c r="D167" s="36" t="str">
        <f>IFERROR(__xludf.DUMMYFUNCTION("filter('Imported Recommendations'!B:D,'Imported Recommendations'!A:A=A167)"),"We try to make it minimal")</f>
        <v>We try to make it minimal</v>
      </c>
      <c r="E167" s="65" t="str">
        <f>IFERROR(__xludf.DUMMYFUNCTION("""COMPUTED_VALUE"""),"Try to make the environment setup minimal.")</f>
        <v>Try to make the environment setup minimal.</v>
      </c>
      <c r="F167" s="65"/>
      <c r="G167" s="9" t="s">
        <v>313</v>
      </c>
      <c r="H167" s="9" t="s">
        <v>12</v>
      </c>
      <c r="I167" s="9"/>
      <c r="J167" s="30" t="s">
        <v>313</v>
      </c>
      <c r="K167" s="30" t="s">
        <v>12</v>
      </c>
      <c r="L167" s="31"/>
      <c r="M167" s="6"/>
      <c r="N167" s="6"/>
      <c r="O167" s="25"/>
      <c r="P167" s="6"/>
    </row>
    <row r="168">
      <c r="A168" s="61">
        <v>181.0</v>
      </c>
      <c r="B168" s="44" t="s">
        <v>162</v>
      </c>
      <c r="C168" s="44" t="s">
        <v>191</v>
      </c>
      <c r="D168" s="36" t="str">
        <f>IFERROR(__xludf.DUMMYFUNCTION("filter('Imported Recommendations'!B:D,'Imported Recommendations'!A:A=A168)"),"initially we were relying the, uh, admin, uh, personnel in our department, not admin, sorry, the, the engineering, uh, the, yeah, the, the infrastructure, the people that are responsible for the labs and so on. And now, since all of the students have thei"&amp;"r laptop, we try to make it as industrial as possible in lightweight as possible. So we don't need any internal support. [...] You just need this use to create their, uh, GitHub accounts. And, uh, you have to register to be able to get some AWS, uh, credi"&amp;"ts so that you can share with the students, but it's quite, it's quite easy.")</f>
        <v>initially we were relying the, uh, admin, uh, personnel in our department, not admin, sorry, the, the engineering, uh, the, yeah, the, the infrastructure, the people that are responsible for the labs and so on. And now, since all of the students have their laptop, we try to make it as industrial as possible in lightweight as possible. So we don't need any internal support. [...] You just need this use to create their, uh, GitHub accounts. And, uh, you have to register to be able to get some AWS, uh, credits so that you can share with the students, but it's quite, it's quite easy.</v>
      </c>
      <c r="E168" s="65" t="str">
        <f>IFERROR(__xludf.DUMMYFUNCTION("""COMPUTED_VALUE"""),"You do not need to worry about university infrastruture when the students have Github and AWS accounts and you make the environment as industrial as lightweight as possible in all of the students laptops.")</f>
        <v>You do not need to worry about university infrastruture when the students have Github and AWS accounts and you make the environment as industrial as lightweight as possible in all of the students laptops.</v>
      </c>
      <c r="F168" s="65"/>
      <c r="G168" s="9" t="s">
        <v>314</v>
      </c>
      <c r="H168" s="9" t="s">
        <v>12</v>
      </c>
      <c r="I168" s="9"/>
      <c r="J168" s="30" t="s">
        <v>493</v>
      </c>
      <c r="K168" s="30" t="s">
        <v>12</v>
      </c>
      <c r="L168" s="31"/>
      <c r="M168" s="6"/>
      <c r="N168" s="6"/>
      <c r="O168" s="25"/>
      <c r="P168" s="6"/>
    </row>
    <row r="169">
      <c r="A169" s="61">
        <v>183.0</v>
      </c>
      <c r="B169" s="44" t="s">
        <v>165</v>
      </c>
      <c r="C169" s="44" t="s">
        <v>191</v>
      </c>
      <c r="D169" s="36" t="str">
        <f>IFERROR(__xludf.DUMMYFUNCTION("filter('Imported Recommendations'!B:D,'Imported Recommendations'!A:A=A169)"),"First define the objectives of your course and making sure you stick to it.
But with respect to the technologies, I think that knowledge is, will change [...] I think like one of the, uh, not too good to give it giving advices or, but I can share my expe"&amp;"rience and my thoughts. Um, I think that that's important to remember one thing as important as what is the objectives of your course.
"" I think if we lay the rooms, uh, maybe it's more clearly and more specifically, I think students, we know better wha"&amp;"t they will get from what they do. [...]
I think we will have, uh, we will, um, uh, rewrite some of the rules to make sure that, uh, students know how many points they get for what they do, uh, beforehand we should do it because, uh, it will not be perfec"&amp;"t because students can choose many different things. """)</f>
        <v>First define the objectives of your course and making sure you stick to it.
But with respect to the technologies, I think that knowledge is, will change [...] I think like one of the, uh, not too good to give it giving advices or, but I can share my experience and my thoughts. Um, I think that that's important to remember one thing as important as what is the objectives of your course.
" I think if we lay the rooms, uh, maybe it's more clearly and more specifically, I think students, we know better what they will get from what they do. [...]
I think we will have, uh, we will, um, uh, rewrite some of the rules to make sure that, uh, students know how many points they get for what they do, uh, beforehand we should do it because, uh, it will not be perfect because students can choose many different things. "</v>
      </c>
      <c r="E169" s="65" t="str">
        <f>IFERROR(__xludf.DUMMYFUNCTION("""COMPUTED_VALUE"""),"Define clearly the objectives of your course and make sure you stick to it.
Constantly remember the students about the objective of the course.
Make sure the students know the rules of the course. For example how many points they get for what they do.")</f>
        <v>Define clearly the objectives of your course and make sure you stick to it.
Constantly remember the students about the objective of the course.
Make sure the students know the rules of the course. For example how many points they get for what they do.</v>
      </c>
      <c r="F169" s="69" t="str">
        <f>IFERROR(__xludf.DUMMYFUNCTION("""COMPUTED_VALUE"""),"Explain the course objectives to the students.")</f>
        <v>Explain the course objectives to the students.</v>
      </c>
      <c r="G169" s="9" t="s">
        <v>315</v>
      </c>
      <c r="H169" s="9" t="s">
        <v>73</v>
      </c>
      <c r="I169" s="9"/>
      <c r="J169" s="30" t="s">
        <v>429</v>
      </c>
      <c r="K169" s="30" t="s">
        <v>73</v>
      </c>
      <c r="L169" s="31"/>
      <c r="M169" s="6" t="s">
        <v>163</v>
      </c>
      <c r="N169" s="6" t="s">
        <v>163</v>
      </c>
      <c r="O169" s="25"/>
      <c r="P169" s="6"/>
    </row>
    <row r="170">
      <c r="A170" s="61">
        <v>184.0</v>
      </c>
      <c r="B170" s="44" t="s">
        <v>162</v>
      </c>
      <c r="C170" s="44" t="s">
        <v>191</v>
      </c>
      <c r="D170" s="36" t="str">
        <f>IFERROR(__xludf.DUMMYFUNCTION("filter('Imported Recommendations'!B:D,'Imported Recommendations'!A:A=A170)"),"I give them two case studies, uh, so to see if they can analyze a given situation.
Like theoretical exam point of view, we use the case studies. ... you have three hours explain what you do in this situation. ...  we were really grading half of the descr"&amp;"iption and half of the justification.
He grade scale was half description, half justification, and that's helped a lot, but it's always, um, qualitative in this way.")</f>
        <v>I give them two case studies, uh, so to see if they can analyze a given situation.
Like theoretical exam point of view, we use the case studies. ... you have three hours explain what you do in this situation. ...  we were really grading half of the description and half of the justification.
He grade scale was half description, half justification, and that's helped a lot, but it's always, um, qualitative in this way.</v>
      </c>
      <c r="E170" s="65" t="str">
        <f>IFERROR(__xludf.DUMMYFUNCTION("""COMPUTED_VALUE"""),"Give case studies to see if the students can analyze a given situation in the exams.
We use the case studies in theoretical exam. Students have three hours to explain what they do in this situation. We were really grading half of the description and half"&amp;" of the justification.
It is helpful to use the description and the justification of case studies on qualitative grade scale.")</f>
        <v>Give case studies to see if the students can analyze a given situation in the exams.
We use the case studies in theoretical exam. Students have three hours to explain what they do in this situation. We were really grading half of the description and half of the justification.
It is helpful to use the description and the justification of case studies on qualitative grade scale.</v>
      </c>
      <c r="F170" s="65" t="str">
        <f>IFERROR(__xludf.DUMMYFUNCTION("""COMPUTED_VALUE"""),"Use case studies in the exams.")</f>
        <v>Use case studies in the exams.</v>
      </c>
      <c r="G170" s="9" t="s">
        <v>316</v>
      </c>
      <c r="H170" s="9" t="s">
        <v>29</v>
      </c>
      <c r="I170" s="9"/>
      <c r="J170" s="30" t="s">
        <v>494</v>
      </c>
      <c r="K170" s="30" t="s">
        <v>29</v>
      </c>
      <c r="L170" s="31"/>
      <c r="M170" s="6"/>
      <c r="N170" s="6"/>
      <c r="O170" s="25"/>
      <c r="P170" s="6"/>
    </row>
    <row r="171">
      <c r="A171" s="61">
        <v>185.0</v>
      </c>
      <c r="B171" s="44" t="s">
        <v>164</v>
      </c>
      <c r="C171" s="44" t="s">
        <v>191</v>
      </c>
      <c r="D171" s="36" t="str">
        <f>IFERROR(__xludf.DUMMYFUNCTION("filter('Imported Recommendations'!B:D,'Imported Recommendations'!A:A=A171)"),"we use one of the topics in DevOps that becomes quite important is value stream mapping. So to be able to capture your process is pretty simple in terms of modeling as a flow of activities, value stream mapping is a technique that has been used for quite "&amp;"a long time and in production.")</f>
        <v>we use one of the topics in DevOps that becomes quite important is value stream mapping. So to be able to capture your process is pretty simple in terms of modeling as a flow of activities, value stream mapping is a technique that has been used for quite a long time and in production.</v>
      </c>
      <c r="E171" s="65" t="str">
        <f>IFERROR(__xludf.DUMMYFUNCTION("""COMPUTED_VALUE"""),"Be able to capture your DevOps process in terms of modeling as a flow of activities using value stream mapping technique.")</f>
        <v>Be able to capture your DevOps process in terms of modeling as a flow of activities using value stream mapping technique.</v>
      </c>
      <c r="F171" s="65"/>
      <c r="G171" s="9" t="s">
        <v>549</v>
      </c>
      <c r="H171" s="9" t="s">
        <v>16</v>
      </c>
      <c r="I171" s="9"/>
      <c r="J171" s="30" t="s">
        <v>430</v>
      </c>
      <c r="K171" s="30" t="s">
        <v>16</v>
      </c>
      <c r="L171" s="31"/>
      <c r="M171" s="6" t="s">
        <v>163</v>
      </c>
      <c r="N171" s="6" t="s">
        <v>163</v>
      </c>
      <c r="O171" s="25"/>
      <c r="P171" s="6"/>
    </row>
    <row r="172">
      <c r="A172" s="61">
        <v>186.0</v>
      </c>
      <c r="B172" s="44" t="s">
        <v>165</v>
      </c>
      <c r="C172" s="44" t="s">
        <v>191</v>
      </c>
      <c r="D172" s="36" t="str">
        <f>IFERROR(__xludf.DUMMYFUNCTION("filter('Imported Recommendations'!B:D,'Imported Recommendations'!A:A=A172)"),"it's not an analysis course, but I tried to bring it back regularly and say, okay, if you want to improve a process, whether you do so, it's one of the, one of the section in the book. And so it's okay. [...] you go from there to identify the, the points "&amp;"that could be improved, right. And then how do you want to improve it, then the techniques that are described in the book?")</f>
        <v>it's not an analysis course, but I tried to bring it back regularly and say, okay, if you want to improve a process, whether you do so, it's one of the, one of the section in the book. And so it's okay. [...] you go from there to identify the, the points that could be improved, right. And then how do you want to improve it, then the techniques that are described in the book?</v>
      </c>
      <c r="E172" s="65" t="str">
        <f>IFERROR(__xludf.DUMMYFUNCTION("""COMPUTED_VALUE"""),"constantly try to figure out how to improve the quality of the course")</f>
        <v>constantly try to figure out how to improve the quality of the course</v>
      </c>
      <c r="F172" s="65"/>
      <c r="G172" s="9" t="s">
        <v>317</v>
      </c>
      <c r="H172" s="25" t="s">
        <v>73</v>
      </c>
      <c r="I172" s="9"/>
      <c r="J172" s="33" t="s">
        <v>431</v>
      </c>
      <c r="K172" s="33" t="s">
        <v>10</v>
      </c>
      <c r="L172" s="31"/>
      <c r="M172" s="6" t="s">
        <v>163</v>
      </c>
      <c r="N172" s="6"/>
      <c r="O172" s="25"/>
      <c r="P172" s="68" t="s">
        <v>180</v>
      </c>
    </row>
    <row r="173">
      <c r="A173" s="61">
        <v>187.0</v>
      </c>
      <c r="B173" s="44" t="s">
        <v>162</v>
      </c>
      <c r="C173" s="44" t="s">
        <v>191</v>
      </c>
      <c r="D173" s="36" t="str">
        <f>IFERROR(__xludf.DUMMYFUNCTION("filter('Imported Recommendations'!B:D,'Imported Recommendations'!A:A=A173)"),"I'm thinking of bringing a couple of, um, industrial speakers as well to share their experience.
We can have people, uh, there, there are, uh, there are everywhere that we can invite and, uh, let the students know what is going on in practice, not just s"&amp;"ome, uh, theoretical, uh, problem.
The lectures were not, uh, were not presented by the teachers. They were presented by the people who are, who were from the industry and invited to the, uh, to the course to present something for students.
I think the "&amp;"course we've built in France was successful because we've done it with a software architect from IBM or the guy who was building, um, like as part of his industrial practice, he was building huge, uh, systems.
You need to have people interacting with the"&amp;" students that are practitioners and that really, uh, well know their in a way.
So we thought we were doing right, but after having discussed with industrial partners and practitioners, like not just discussed, you know, conference or attending a meetup,"&amp;" like really discussing for hours.
To carefully select the, um, I, I have a lot of industrial, uh, practitioners, guest lectures. Uh, we, we, we had the one prof that wasn't industrial.
The bigger mistake I've made was to, uh, use a coach. Uh, and we in"&amp;"vited him and the guy was, uh, setting himself running himself as a DevOps coach, but the guy just had written books and, uh, had no idea what he was talking about.")</f>
        <v>I'm thinking of bringing a couple of, um, industrial speakers as well to share their experience.
We can have people, uh, there, there are, uh, there are everywhere that we can invite and, uh, let the students know what is going on in practice, not just some, uh, theoretical, uh, problem.
The lectures were not, uh, were not presented by the teachers. They were presented by the people who are, who were from the industry and invited to the, uh, to the course to present something for students.
I think the course we've built in France was successful because we've done it with a software architect from IBM or the guy who was building, um, like as part of his industrial practice, he was building huge, uh, systems.
You need to have people interacting with the students that are practitioners and that really, uh, well know their in a way.
So we thought we were doing right, but after having discussed with industrial partners and practitioners, like not just discussed, you know, conference or attending a meetup, like really discussing for hours.
To carefully select the, um, I, I have a lot of industrial, uh, practitioners, guest lectures. Uh, we, we, we had the one prof that wasn't industrial.
The bigger mistake I've made was to, uh, use a coach. Uh, and we invited him and the guy was, uh, setting himself running himself as a DevOps coach, but the guy just had written books and, uh, had no idea what he was talking about.</v>
      </c>
      <c r="E173" s="65" t="str">
        <f>IFERROR(__xludf.DUMMYFUNCTION("""COMPUTED_VALUE"""),"Try to bring industrial speakers to share their experience.
Invite people to show students what's going on in practice, not only in theoretical problems.
The lectures could be presented by people who were from the industry.
It is important to have indu"&amp;"strial partnership to share skills to contribute to the course.
You need to have DevOps practitioners interacting with the students.
Discuss the course with industrial partners and practitioners.
You should be careful about selecting guest lectures. Pr"&amp;"efer industrial practitioners.
Do not invite a DevOps coach to do DevOps lectures.")</f>
        <v>Try to bring industrial speakers to share their experience.
Invite people to show students what's going on in practice, not only in theoretical problems.
The lectures could be presented by people who were from the industry.
It is important to have industrial partnership to share skills to contribute to the course.
You need to have DevOps practitioners interacting with the students.
Discuss the course with industrial partners and practitioners.
You should be careful about selecting guest lectures. Prefer industrial practitioners.
Do not invite a DevOps coach to do DevOps lectures.</v>
      </c>
      <c r="F173" s="65" t="str">
        <f>IFERROR(__xludf.DUMMYFUNCTION("""COMPUTED_VALUE"""),"Select industrial speakers carefully to share their experience with the students.")</f>
        <v>Select industrial speakers carefully to share their experience with the students.</v>
      </c>
      <c r="G173" s="9" t="s">
        <v>318</v>
      </c>
      <c r="H173" s="9" t="s">
        <v>24</v>
      </c>
      <c r="I173" s="9"/>
      <c r="J173" s="30" t="s">
        <v>495</v>
      </c>
      <c r="K173" s="30" t="s">
        <v>24</v>
      </c>
      <c r="L173" s="31"/>
      <c r="M173" s="6"/>
      <c r="N173" s="6"/>
      <c r="O173" s="25"/>
      <c r="P173" s="6"/>
    </row>
    <row r="174">
      <c r="A174" s="61">
        <v>188.0</v>
      </c>
      <c r="B174" s="44" t="s">
        <v>164</v>
      </c>
      <c r="C174" s="44" t="s">
        <v>191</v>
      </c>
      <c r="D174" s="36" t="str">
        <f>IFERROR(__xludf.DUMMYFUNCTION("filter('Imported Recommendations'!B:D,'Imported Recommendations'!A:A=A174)"),"So that, I think it's one of our job to, to, to communicate with the student that it's not about the buzzword, this is something extremely serious.")</f>
        <v>So that, I think it's one of our job to, to, to communicate with the student that it's not about the buzzword, this is something extremely serious.</v>
      </c>
      <c r="E174" s="65" t="str">
        <f>IFERROR(__xludf.DUMMYFUNCTION("""COMPUTED_VALUE"""),"It's important to communicate with students that DevOps is not buzzword, it is extremely serious.")</f>
        <v>It's important to communicate with students that DevOps is not buzzword, it is extremely serious.</v>
      </c>
      <c r="F174" s="65"/>
      <c r="G174" s="64" t="s">
        <v>550</v>
      </c>
      <c r="H174" s="9" t="s">
        <v>16</v>
      </c>
      <c r="I174" s="9"/>
      <c r="J174" s="33" t="s">
        <v>432</v>
      </c>
      <c r="K174" s="30" t="s">
        <v>16</v>
      </c>
      <c r="L174" s="31"/>
      <c r="M174" s="6" t="s">
        <v>163</v>
      </c>
      <c r="N174" s="6" t="s">
        <v>163</v>
      </c>
      <c r="O174" s="25"/>
      <c r="P174" s="6"/>
    </row>
    <row r="175">
      <c r="A175" s="61">
        <v>189.0</v>
      </c>
      <c r="B175" s="44" t="s">
        <v>165</v>
      </c>
      <c r="C175" s="44" t="s">
        <v>191</v>
      </c>
      <c r="D175" s="36" t="str">
        <f>IFERROR(__xludf.DUMMYFUNCTION("filter('Imported Recommendations'!B:D,'Imported Recommendations'!A:A=A175)"),"Then do, um, do some research about it, write an essay or, uh, or if there is, um, there is a tool available, uh, on GitHub it's, if it's open source, they can contribute to that, uh, to that tool and maybe fix some issues and report it to the teachers.
"&amp;"Many of them did was to engage in the, uh, in the development process of the, uh, of the large projects that other people are working on. And, uh, they could choose a project, I think with more than a hundred stars. ...  And they had to make sure that the"&amp;"y pass all the, uh, all the steps and they had to do some contributions, but to there, to those for repositories. And, uh, and they had to also engage in a conversation with other people from other teams, uh, in the process that, uh, they were, uh, making"&amp;" those contributions.
They could contribute to some open source projects that are large projects and they are being used. So it's something that I'm looking for. Something we had some stats, uh, on github.")</f>
        <v>Then do, um, do some research about it, write an essay or, uh, or if there is, um, there is a tool available, uh, on GitHub it's, if it's open source, they can contribute to that, uh, to that tool and maybe fix some issues and report it to the teachers.
Many of them did was to engage in the, uh, in the development process of the, uh, of the large projects that other people are working on. And, uh, they could choose a project, I think with more than a hundred stars. ...  And they had to make sure that they pass all the, uh, all the steps and they had to do some contributions, but to there, to those for repositories. And, uh, and they had to also engage in a conversation with other people from other teams, uh, in the process that, uh, they were, uh, making those contributions.
They could contribute to some open source projects that are large projects and they are being used. So it's something that I'm looking for. Something we had some stats, uh, on github.</v>
      </c>
      <c r="E175" s="65" t="str">
        <f>IFERROR(__xludf.DUMMYFUNCTION("""COMPUTED_VALUE"""),"Do some research about DevOps topic, write an essay, and if the tool is open source, contribute to that tool and fix some issues and report it to the teachers.
The students should contribute and engage in the development process of the large projects wit"&amp;"h more than a hundred stars on Github.
Students could contribute to some open source projects that are large and being used and had more than one hundred stars.")</f>
        <v>Do some research about DevOps topic, write an essay, and if the tool is open source, contribute to that tool and fix some issues and report it to the teachers.
The students should contribute and engage in the development process of the large projects with more than a hundred stars on Github.
Students could contribute to some open source projects that are large and being used and had more than one hundred stars.</v>
      </c>
      <c r="F175" s="65" t="str">
        <f>IFERROR(__xludf.DUMMYFUNCTION("""COMPUTED_VALUE"""),"Do some research about DevOps topic, write an essay, and if the tool is open source, contribute to that tool and fix some issues and report it to the teachers. The open source project should have more than a hundred stars on Github.")</f>
        <v>Do some research about DevOps topic, write an essay, and if the tool is open source, contribute to that tool and fix some issues and report it to the teachers. The open source project should have more than a hundred stars on Github.</v>
      </c>
      <c r="G175" s="9" t="s">
        <v>319</v>
      </c>
      <c r="H175" s="9" t="s">
        <v>24</v>
      </c>
      <c r="I175" s="9"/>
      <c r="J175" s="30" t="s">
        <v>433</v>
      </c>
      <c r="K175" s="30" t="s">
        <v>24</v>
      </c>
      <c r="L175" s="31"/>
      <c r="M175" s="6" t="s">
        <v>163</v>
      </c>
      <c r="N175" s="6" t="s">
        <v>163</v>
      </c>
      <c r="O175" s="25"/>
      <c r="P175" s="6"/>
    </row>
    <row r="176">
      <c r="A176" s="61">
        <v>190.0</v>
      </c>
      <c r="B176" s="44" t="s">
        <v>162</v>
      </c>
      <c r="C176" s="44" t="s">
        <v>191</v>
      </c>
      <c r="D176" s="36" t="str">
        <f>IFERROR(__xludf.DUMMYFUNCTION("filter('Imported Recommendations'!B:D,'Imported Recommendations'!A:A=A176)"),"So, uh, we didn't have some predefined, uh, projects, and as we can, yes, this was a bigger problem for us.")</f>
        <v>So, uh, we didn't have some predefined, uh, projects, and as we can, yes, this was a bigger problem for us.</v>
      </c>
      <c r="E176" s="24" t="str">
        <f>IFERROR(__xludf.DUMMYFUNCTION("""COMPUTED_VALUE"""),"Predefined project is important for the organization of the course.")</f>
        <v>Predefined project is important for the organization of the course.</v>
      </c>
      <c r="F176" s="65"/>
      <c r="G176" s="9" t="s">
        <v>320</v>
      </c>
      <c r="H176" s="9" t="s">
        <v>24</v>
      </c>
      <c r="I176" s="9"/>
      <c r="J176" s="30" t="s">
        <v>496</v>
      </c>
      <c r="K176" s="30" t="s">
        <v>24</v>
      </c>
      <c r="L176" s="31"/>
      <c r="M176" s="6" t="s">
        <v>163</v>
      </c>
      <c r="N176" s="6" t="s">
        <v>163</v>
      </c>
      <c r="O176" s="25"/>
      <c r="P176" s="6"/>
    </row>
    <row r="177">
      <c r="A177" s="61">
        <v>191.0</v>
      </c>
      <c r="B177" s="44" t="s">
        <v>164</v>
      </c>
      <c r="C177" s="44" t="s">
        <v>191</v>
      </c>
      <c r="D177" s="36" t="str">
        <f>IFERROR(__xludf.DUMMYFUNCTION("filter('Imported Recommendations'!B:D,'Imported Recommendations'!A:A=A177)"),"In fact, some of them, we asked them to, um, to, if they wanted to do a tutorial on a tool, we ask them to upload that tutorial on, uh, Katacoda.
So we asked the students, uh, to, uh, use another tool if they want to present something that doesn't work o"&amp;"n katacoda. So, uh, the way that we solved it was to change the requirements and to change the, uh, change the environment and the tools that they had to use.
So that's the course automation and executable tutorial was, uh, chatter, katacoda, um, website"&amp;". They use the katacoda that website to, uh, to write a tutorial on a tool for them DevOps.")</f>
        <v>In fact, some of them, we asked them to, um, to, if they wanted to do a tutorial on a tool, we ask them to upload that tutorial on, uh, Katacoda.
So we asked the students, uh, to, uh, use another tool if they want to present something that doesn't work on katacoda. So, uh, the way that we solved it was to change the requirements and to change the, uh, change the environment and the tools that they had to use.
So that's the course automation and executable tutorial was, uh, chatter, katacoda, um, website. They use the katacoda that website to, uh, to write a tutorial on a tool for them DevOps.</v>
      </c>
      <c r="E177" s="65" t="str">
        <f>IFERROR(__xludf.DUMMYFUNCTION("""COMPUTED_VALUE"""),"Use the Katacoda website to students create tutorials about tools.
Change the requirements and the tools to solve the issues in environment setup on Katacoda.
The students write a tutorial about a DevOps tool on katacoda to describe the course automatio"&amp;"n.")</f>
        <v>Use the Katacoda website to students create tutorials about tools.
Change the requirements and the tools to solve the issues in environment setup on Katacoda.
The students write a tutorial about a DevOps tool on katacoda to describe the course automation.</v>
      </c>
      <c r="F177" s="65" t="str">
        <f>IFERROR(__xludf.DUMMYFUNCTION("""COMPUTED_VALUE"""),"Use the Katacoda website to students create tutorials about tools. Change the requirements and the tools to solve the issues on Katacoda.")</f>
        <v>Use the Katacoda website to students create tutorials about tools. Change the requirements and the tools to solve the issues on Katacoda.</v>
      </c>
      <c r="G177" s="9" t="s">
        <v>551</v>
      </c>
      <c r="H177" s="9" t="s">
        <v>18</v>
      </c>
      <c r="I177" s="9"/>
      <c r="J177" s="30" t="s">
        <v>434</v>
      </c>
      <c r="K177" s="30" t="s">
        <v>18</v>
      </c>
      <c r="L177" s="31"/>
      <c r="M177" s="6"/>
      <c r="N177" s="6"/>
      <c r="O177" s="25"/>
      <c r="P177" s="6"/>
    </row>
    <row r="178">
      <c r="A178" s="61">
        <v>192.0</v>
      </c>
      <c r="B178" s="44" t="s">
        <v>165</v>
      </c>
      <c r="C178" s="44" t="s">
        <v>191</v>
      </c>
      <c r="D178" s="36" t="str">
        <f>IFERROR(__xludf.DUMMYFUNCTION("filter('Imported Recommendations'!B:D,'Imported Recommendations'!A:A=A178)"),"And they had to also engage in a conversation with other people from other teams, uh, in the process that, uh, they were, uh, making those contributions.
Other task that we ask them to do something for our own course, and, uh, then, uh, engage in a conve"&amp;"rsation with TAs and other students to make sure everything's more work well.
")</f>
        <v>And they had to also engage in a conversation with other people from other teams, uh, in the process that, uh, they were, uh, making those contributions.
Other task that we ask them to do something for our own course, and, uh, then, uh, engage in a conversation with TAs and other students to make sure everything's more work well.
</v>
      </c>
      <c r="E178" s="65" t="str">
        <f>IFERROR(__xludf.DUMMYFUNCTION("""COMPUTED_VALUE"""),"Make students engage with people from other teams in the classes.
Engage in a conversation with teacher assistants and other students to make sure everything's more work well.")</f>
        <v>Make students engage with people from other teams in the classes.
Engage in a conversation with teacher assistants and other students to make sure everything's more work well.</v>
      </c>
      <c r="F178" s="65" t="str">
        <f>IFERROR(__xludf.DUMMYFUNCTION("""COMPUTED_VALUE"""),"Make students engage with people from other teams in the classes.")</f>
        <v>Make students engage with people from other teams in the classes.</v>
      </c>
      <c r="G178" s="9" t="s">
        <v>321</v>
      </c>
      <c r="H178" s="25" t="s">
        <v>16</v>
      </c>
      <c r="I178" s="25"/>
      <c r="J178" s="30" t="s">
        <v>435</v>
      </c>
      <c r="K178" s="33" t="s">
        <v>73</v>
      </c>
      <c r="L178" s="31"/>
      <c r="M178" s="6" t="s">
        <v>163</v>
      </c>
      <c r="N178" s="6"/>
      <c r="O178" s="25"/>
      <c r="P178" s="68" t="s">
        <v>180</v>
      </c>
    </row>
    <row r="179">
      <c r="A179" s="61">
        <v>193.0</v>
      </c>
      <c r="B179" s="44" t="s">
        <v>162</v>
      </c>
      <c r="C179" s="44" t="s">
        <v>191</v>
      </c>
      <c r="D179" s="36" t="str">
        <f>IFERROR(__xludf.DUMMYFUNCTION("filter('Imported Recommendations'!B:D,'Imported Recommendations'!A:A=A179)"),"if it was up to me, I would put some time to laying the background. And I'm talking about basics of DevOps and basics of some tools that are mainly used by everyone.")</f>
        <v>if it was up to me, I would put some time to laying the background. And I'm talking about basics of DevOps and basics of some tools that are mainly used by everyone.</v>
      </c>
      <c r="E179" s="65" t="str">
        <f>IFERROR(__xludf.DUMMYFUNCTION("""COMPUTED_VALUE"""),"Teacher assistants help students with basics of DevOps concepts and tools.")</f>
        <v>Teacher assistants help students with basics of DevOps concepts and tools.</v>
      </c>
      <c r="F179" s="65"/>
      <c r="G179" s="9" t="s">
        <v>322</v>
      </c>
      <c r="H179" s="9" t="s">
        <v>73</v>
      </c>
      <c r="I179" s="9"/>
      <c r="J179" s="30" t="s">
        <v>497</v>
      </c>
      <c r="K179" s="30" t="s">
        <v>73</v>
      </c>
      <c r="L179" s="31"/>
      <c r="M179" s="6"/>
      <c r="N179" s="6"/>
      <c r="O179" s="25"/>
      <c r="P179" s="6"/>
    </row>
    <row r="180">
      <c r="A180" s="61">
        <v>194.0</v>
      </c>
      <c r="B180" s="44" t="s">
        <v>164</v>
      </c>
      <c r="C180" s="44" t="s">
        <v>191</v>
      </c>
      <c r="D180" s="36" t="str">
        <f>IFERROR(__xludf.DUMMYFUNCTION("filter('Imported Recommendations'!B:D,'Imported Recommendations'!A:A=A180)"),"I think the time that we had was actually enough, it was, I think about two months ... Students had, uh, four hours in each week and they had to work on the projects, um, as well.  ...  they had some information, some background about software engineering"&amp;".")</f>
        <v>I think the time that we had was actually enough, it was, I think about two months ... Students had, uh, four hours in each week and they had to work on the projects, um, as well.  ...  they had some information, some background about software engineering.</v>
      </c>
      <c r="E180" s="65" t="str">
        <f>IFERROR(__xludf.DUMMYFUNCTION("""COMPUTED_VALUE"""),"Two months with four hours in each week is enough to students with some background about software engineering.")</f>
        <v>Two months with four hours in each week is enough to students with some background about software engineering.</v>
      </c>
      <c r="F180" s="65"/>
      <c r="G180" s="9" t="s">
        <v>552</v>
      </c>
      <c r="H180" s="9" t="s">
        <v>10</v>
      </c>
      <c r="I180" s="9"/>
      <c r="J180" s="43" t="s">
        <v>436</v>
      </c>
      <c r="K180" s="30" t="s">
        <v>10</v>
      </c>
      <c r="L180" s="31"/>
      <c r="M180" s="6"/>
      <c r="N180" s="6"/>
      <c r="O180" s="25"/>
      <c r="P180" s="6"/>
    </row>
    <row r="181">
      <c r="A181" s="61">
        <v>195.0</v>
      </c>
      <c r="B181" s="44" t="s">
        <v>165</v>
      </c>
      <c r="C181" s="44" t="s">
        <v>191</v>
      </c>
      <c r="D181" s="36" t="str">
        <f>IFERROR(__xludf.DUMMYFUNCTION("filter('Imported Recommendations'!B:D,'Imported Recommendations'!A:A=A181)"),"So I had to find one that was dying and, uh, hopefully the colleague who was handling his dying course forgot to answer to an email.")</f>
        <v>So I had to find one that was dying and, uh, hopefully the colleague who was handling his dying course forgot to answer to an email.</v>
      </c>
      <c r="E181" s="65" t="str">
        <f>IFERROR(__xludf.DUMMYFUNCTION("""COMPUTED_VALUE"""),"Look for a dying course to include a DevOps one in the curriculum.")</f>
        <v>Look for a dying course to include a DevOps one in the curriculum.</v>
      </c>
      <c r="F181" s="65"/>
      <c r="G181" s="9" t="s">
        <v>323</v>
      </c>
      <c r="H181" s="9" t="s">
        <v>10</v>
      </c>
      <c r="I181" s="9"/>
      <c r="J181" s="30" t="s">
        <v>437</v>
      </c>
      <c r="K181" s="30" t="s">
        <v>10</v>
      </c>
      <c r="L181" s="31"/>
      <c r="M181" s="6"/>
      <c r="N181" s="6"/>
      <c r="O181" s="25"/>
      <c r="P181" s="6"/>
    </row>
    <row r="182">
      <c r="A182" s="61">
        <v>196.0</v>
      </c>
      <c r="B182" s="44" t="s">
        <v>162</v>
      </c>
      <c r="C182" s="44" t="s">
        <v>191</v>
      </c>
      <c r="D182" s="36" t="str">
        <f>IFERROR(__xludf.DUMMYFUNCTION("filter('Imported Recommendations'!B:D,'Imported Recommendations'!A:A=A182)"),"So it's constantly discussing and constantly sharing in an open way, uh, what's happening, how it's teach, uh, how it's story telling and how, how things are going.")</f>
        <v>So it's constantly discussing and constantly sharing in an open way, uh, what's happening, how it's teach, uh, how it's story telling and how, how things are going.</v>
      </c>
      <c r="E182" s="65" t="str">
        <f>IFERROR(__xludf.DUMMYFUNCTION("""COMPUTED_VALUE"""),"Constantly discuss and share the DevOps teaching in an open way.")</f>
        <v>Constantly discuss and share the DevOps teaching in an open way.</v>
      </c>
      <c r="F182" s="65"/>
      <c r="G182" s="9" t="s">
        <v>324</v>
      </c>
      <c r="H182" s="9" t="s">
        <v>16</v>
      </c>
      <c r="I182" s="25"/>
      <c r="J182" s="30" t="s">
        <v>498</v>
      </c>
      <c r="K182" s="30" t="s">
        <v>16</v>
      </c>
      <c r="L182" s="31"/>
      <c r="M182" s="6" t="s">
        <v>163</v>
      </c>
      <c r="N182" s="6" t="s">
        <v>163</v>
      </c>
      <c r="O182" s="25"/>
      <c r="P182" s="6"/>
    </row>
    <row r="183">
      <c r="A183" s="61">
        <v>197.0</v>
      </c>
      <c r="B183" s="44" t="s">
        <v>164</v>
      </c>
      <c r="C183" s="44" t="s">
        <v>191</v>
      </c>
      <c r="D183" s="36" t="str">
        <f>IFERROR(__xludf.DUMMYFUNCTION("filter('Imported Recommendations'!B:D,'Imported Recommendations'!A:A=A183)"),"So this guy was really half time IBM and half time in the faculty of engineering.")</f>
        <v>So this guy was really half time IBM and half time in the faculty of engineering.</v>
      </c>
      <c r="E183" s="65" t="str">
        <f>IFERROR(__xludf.DUMMYFUNCTION("""COMPUTED_VALUE"""),"Teachers could be half time industrial and half time faculty.")</f>
        <v>Teachers could be half time industrial and half time faculty.</v>
      </c>
      <c r="F183" s="65"/>
      <c r="G183" s="9" t="s">
        <v>553</v>
      </c>
      <c r="H183" s="9" t="s">
        <v>24</v>
      </c>
      <c r="I183" s="9"/>
      <c r="J183" s="30" t="s">
        <v>438</v>
      </c>
      <c r="K183" s="30" t="s">
        <v>24</v>
      </c>
      <c r="L183" s="31"/>
      <c r="M183" s="6" t="s">
        <v>163</v>
      </c>
      <c r="N183" s="6" t="s">
        <v>163</v>
      </c>
      <c r="O183" s="25"/>
      <c r="P183" s="6"/>
    </row>
    <row r="184">
      <c r="A184" s="61">
        <v>198.0</v>
      </c>
      <c r="B184" s="44" t="s">
        <v>165</v>
      </c>
      <c r="C184" s="44" t="s">
        <v>191</v>
      </c>
      <c r="D184" s="36" t="str">
        <f>IFERROR(__xludf.DUMMYFUNCTION("filter('Imported Recommendations'!B:D,'Imported Recommendations'!A:A=A184)"),"we use the bluemix, uh, platform from, uh, IBM, that was really, everything was integrated and those kinds of things that was really good in a way,")</f>
        <v>we use the bluemix, uh, platform from, uh, IBM, that was really, everything was integrated and those kinds of things that was really good in a way,</v>
      </c>
      <c r="E184" s="65" t="str">
        <f>IFERROR(__xludf.DUMMYFUNCTION("""COMPUTED_VALUE"""),"DevOps tools are well integrated in Bluemix platform from IBM.")</f>
        <v>DevOps tools are well integrated in Bluemix platform from IBM.</v>
      </c>
      <c r="F184" s="65"/>
      <c r="G184" s="9" t="s">
        <v>326</v>
      </c>
      <c r="H184" s="9" t="s">
        <v>18</v>
      </c>
      <c r="I184" s="9"/>
      <c r="J184" s="30" t="s">
        <v>440</v>
      </c>
      <c r="K184" s="30" t="s">
        <v>18</v>
      </c>
      <c r="L184" s="31"/>
      <c r="M184" s="6"/>
      <c r="N184" s="6"/>
      <c r="O184" s="25"/>
      <c r="P184" s="6"/>
    </row>
    <row r="185">
      <c r="A185" s="61">
        <v>199.0</v>
      </c>
      <c r="B185" s="44" t="s">
        <v>162</v>
      </c>
      <c r="C185" s="44" t="s">
        <v>191</v>
      </c>
      <c r="D185" s="36" t="str">
        <f>IFERROR(__xludf.DUMMYFUNCTION("filter('Imported Recommendations'!B:D,'Imported Recommendations'!A:A=A185)"),"And it was selected by 80% of the cohort, which usually an elective course is like 20%. So is it like we had a lot of students inside these insights because they all wanted to learn about devops.")</f>
        <v>And it was selected by 80% of the cohort, which usually an elective course is like 20%. So is it like we had a lot of students inside these insights because they all wanted to learn about devops.</v>
      </c>
      <c r="E185" s="65" t="str">
        <f>IFERROR(__xludf.DUMMYFUNCTION("""COMPUTED_VALUE"""),"DevOps course as elective course have students that wanted to learn about DevOps.")</f>
        <v>DevOps course as elective course have students that wanted to learn about DevOps.</v>
      </c>
      <c r="F185" s="65"/>
      <c r="G185" s="9" t="s">
        <v>327</v>
      </c>
      <c r="H185" s="9" t="s">
        <v>10</v>
      </c>
      <c r="I185" s="9"/>
      <c r="J185" s="30" t="s">
        <v>499</v>
      </c>
      <c r="K185" s="30" t="s">
        <v>10</v>
      </c>
      <c r="L185" s="31"/>
      <c r="M185" s="6"/>
      <c r="N185" s="6"/>
      <c r="O185" s="25"/>
      <c r="P185" s="6"/>
    </row>
    <row r="186">
      <c r="A186" s="61">
        <v>200.0</v>
      </c>
      <c r="B186" s="44" t="s">
        <v>164</v>
      </c>
      <c r="C186" s="44" t="s">
        <v>191</v>
      </c>
      <c r="D186" s="36" t="str">
        <f>IFERROR(__xludf.DUMMYFUNCTION("filter('Imported Recommendations'!B:D,'Imported Recommendations'!A:A=A186)"),"what we've done was first to, um, continuously evaluate the teams are they were working on the project.")</f>
        <v>what we've done was first to, um, continuously evaluate the teams are they were working on the project.</v>
      </c>
      <c r="E186" s="65" t="str">
        <f>IFERROR(__xludf.DUMMYFUNCTION("""COMPUTED_VALUE"""),"Make a continuous evaluation of the projects of the students.")</f>
        <v>Make a continuous evaluation of the projects of the students.</v>
      </c>
      <c r="F186" s="65"/>
      <c r="G186" s="63" t="s">
        <v>554</v>
      </c>
      <c r="H186" s="54" t="s">
        <v>29</v>
      </c>
      <c r="I186" s="9"/>
      <c r="J186" s="30" t="s">
        <v>441</v>
      </c>
      <c r="K186" s="30" t="s">
        <v>29</v>
      </c>
      <c r="L186" s="31"/>
      <c r="M186" s="6"/>
      <c r="N186" s="6"/>
      <c r="O186" s="25"/>
      <c r="P186" s="6"/>
    </row>
  </sheetData>
  <drawing r:id="rId1"/>
</worksheet>
</file>