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3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cc2/Documents/Silver Wire Experiment/Field Study/"/>
    </mc:Choice>
  </mc:AlternateContent>
  <xr:revisionPtr revIDLastSave="0" documentId="13_ncr:1_{E944C9C7-19CC-3C4A-9835-EBAE37DC64F9}" xr6:coauthVersionLast="36" xr6:coauthVersionMax="36" xr10:uidLastSave="{00000000-0000-0000-0000-000000000000}"/>
  <bookViews>
    <workbookView minimized="1" xWindow="0" yWindow="460" windowWidth="15260" windowHeight="17540" firstSheet="1" activeTab="4" xr2:uid="{9215DF8A-E8E6-1843-8906-93500E5D387B}"/>
  </bookViews>
  <sheets>
    <sheet name="Raw Disinfection Data" sheetId="1" r:id="rId1"/>
    <sheet name="Raw Disinfection Data with dilu" sheetId="5" r:id="rId2"/>
    <sheet name="Simplified" sheetId="2" r:id="rId3"/>
    <sheet name="Simplified with dilution" sheetId="4" r:id="rId4"/>
    <sheet name="WHO Table" sheetId="6" r:id="rId5"/>
    <sheet name="Silver" sheetId="3" r:id="rId6"/>
  </sheets>
  <externalReferences>
    <externalReference r:id="rId7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6" l="1"/>
  <c r="D6" i="6"/>
  <c r="F7" i="6"/>
  <c r="F6" i="6"/>
  <c r="F5" i="6"/>
  <c r="F4" i="6"/>
  <c r="F3" i="6"/>
  <c r="Q101" i="4"/>
  <c r="Q106" i="4" s="1"/>
  <c r="Q105" i="4"/>
  <c r="S104" i="4"/>
  <c r="Q104" i="4"/>
  <c r="Q103" i="4"/>
  <c r="Q102" i="4"/>
  <c r="D5" i="6"/>
  <c r="D4" i="6"/>
  <c r="D3" i="6"/>
  <c r="D101" i="4"/>
  <c r="D106" i="4" s="1"/>
  <c r="D105" i="4"/>
  <c r="F104" i="4"/>
  <c r="D104" i="4"/>
  <c r="D103" i="4"/>
  <c r="D102" i="4"/>
  <c r="E7" i="6"/>
  <c r="E6" i="6"/>
  <c r="E5" i="6"/>
  <c r="E4" i="6"/>
  <c r="E3" i="6"/>
  <c r="Q51" i="4"/>
  <c r="S50" i="4"/>
  <c r="Q50" i="4"/>
  <c r="Q49" i="4"/>
  <c r="Q48" i="4"/>
  <c r="Q47" i="4"/>
  <c r="Q52" i="4" s="1"/>
  <c r="C7" i="6"/>
  <c r="C6" i="6"/>
  <c r="C5" i="6"/>
  <c r="C4" i="6"/>
  <c r="C3" i="6"/>
  <c r="F50" i="4"/>
  <c r="D47" i="4"/>
  <c r="D52" i="4" s="1"/>
  <c r="D51" i="4"/>
  <c r="D50" i="4"/>
  <c r="D49" i="4"/>
  <c r="D48" i="4"/>
  <c r="Y66" i="4" l="1"/>
  <c r="Y65" i="4"/>
  <c r="X90" i="4"/>
  <c r="Z90" i="4" s="1"/>
  <c r="X91" i="4"/>
  <c r="X92" i="4"/>
  <c r="X89" i="4"/>
  <c r="X86" i="4"/>
  <c r="X84" i="4"/>
  <c r="X80" i="4"/>
  <c r="Z80" i="4" s="1"/>
  <c r="X81" i="4"/>
  <c r="Z81" i="4" s="1"/>
  <c r="X82" i="4"/>
  <c r="Z82" i="4" s="1"/>
  <c r="X79" i="4"/>
  <c r="X76" i="4"/>
  <c r="X77" i="4"/>
  <c r="X75" i="4"/>
  <c r="X68" i="4"/>
  <c r="X69" i="4"/>
  <c r="X71" i="4"/>
  <c r="X67" i="4"/>
  <c r="Z67" i="4" s="1"/>
  <c r="X58" i="4"/>
  <c r="X59" i="4"/>
  <c r="X57" i="4"/>
  <c r="X60" i="4"/>
  <c r="X61" i="4"/>
  <c r="X63" i="4"/>
  <c r="X64" i="4"/>
  <c r="X65" i="4"/>
  <c r="X66" i="4"/>
  <c r="X73" i="4"/>
  <c r="Z73" i="4" s="1"/>
  <c r="X74" i="4"/>
  <c r="X78" i="4"/>
  <c r="X83" i="4"/>
  <c r="X85" i="4"/>
  <c r="Z85" i="4" s="1"/>
  <c r="X87" i="4"/>
  <c r="X88" i="4"/>
  <c r="Z88" i="4" s="1"/>
  <c r="Z89" i="4"/>
  <c r="X93" i="4"/>
  <c r="Z93" i="4" s="1"/>
  <c r="X94" i="4"/>
  <c r="X95" i="4"/>
  <c r="X96" i="4"/>
  <c r="S94" i="4"/>
  <c r="S95" i="4"/>
  <c r="S96" i="4"/>
  <c r="S93" i="4"/>
  <c r="S92" i="4"/>
  <c r="S89" i="4"/>
  <c r="S87" i="4"/>
  <c r="S86" i="4"/>
  <c r="S85" i="4"/>
  <c r="T85" i="4" s="1"/>
  <c r="S84" i="4"/>
  <c r="S83" i="4"/>
  <c r="S82" i="4"/>
  <c r="S81" i="4"/>
  <c r="S74" i="4"/>
  <c r="S71" i="4"/>
  <c r="S68" i="4"/>
  <c r="S67" i="4"/>
  <c r="S64" i="4"/>
  <c r="S88" i="4"/>
  <c r="S90" i="4"/>
  <c r="S91" i="4"/>
  <c r="S59" i="4"/>
  <c r="S60" i="4"/>
  <c r="S63" i="4"/>
  <c r="S65" i="4"/>
  <c r="S66" i="4"/>
  <c r="S69" i="4"/>
  <c r="S73" i="4"/>
  <c r="S75" i="4"/>
  <c r="S76" i="4"/>
  <c r="S77" i="4"/>
  <c r="S78" i="4"/>
  <c r="S79" i="4"/>
  <c r="S80" i="4"/>
  <c r="S57" i="4"/>
  <c r="R59" i="4"/>
  <c r="R60" i="4"/>
  <c r="R61" i="4"/>
  <c r="R63" i="4"/>
  <c r="R64" i="4"/>
  <c r="R65" i="4"/>
  <c r="R66" i="4"/>
  <c r="R67" i="4"/>
  <c r="R68" i="4"/>
  <c r="R69" i="4"/>
  <c r="R71" i="4"/>
  <c r="R73" i="4"/>
  <c r="R74" i="4"/>
  <c r="T74" i="4" s="1"/>
  <c r="R75" i="4"/>
  <c r="R76" i="4"/>
  <c r="R77" i="4"/>
  <c r="R78" i="4"/>
  <c r="R79" i="4"/>
  <c r="R80" i="4"/>
  <c r="R81" i="4"/>
  <c r="T81" i="4" s="1"/>
  <c r="R82" i="4"/>
  <c r="T82" i="4" s="1"/>
  <c r="R83" i="4"/>
  <c r="R85" i="4"/>
  <c r="R86" i="4"/>
  <c r="R87" i="4"/>
  <c r="R88" i="4"/>
  <c r="R89" i="4"/>
  <c r="T89" i="4" s="1"/>
  <c r="R90" i="4"/>
  <c r="R91" i="4"/>
  <c r="R92" i="4"/>
  <c r="R93" i="4"/>
  <c r="R94" i="4"/>
  <c r="R95" i="4"/>
  <c r="T95" i="4" s="1"/>
  <c r="R96" i="4"/>
  <c r="T96" i="4" s="1"/>
  <c r="R57" i="4"/>
  <c r="L85" i="4"/>
  <c r="L86" i="4"/>
  <c r="L87" i="4"/>
  <c r="L88" i="4"/>
  <c r="L89" i="4"/>
  <c r="L90" i="4"/>
  <c r="L91" i="4"/>
  <c r="L92" i="4"/>
  <c r="L93" i="4"/>
  <c r="L94" i="4"/>
  <c r="L95" i="4"/>
  <c r="L73" i="4"/>
  <c r="L74" i="4"/>
  <c r="L75" i="4"/>
  <c r="L76" i="4"/>
  <c r="L77" i="4"/>
  <c r="L78" i="4"/>
  <c r="L79" i="4"/>
  <c r="M79" i="4" s="1"/>
  <c r="L80" i="4"/>
  <c r="L81" i="4"/>
  <c r="L82" i="4"/>
  <c r="L83" i="4"/>
  <c r="L84" i="4"/>
  <c r="L72" i="4"/>
  <c r="L68" i="4"/>
  <c r="M68" i="4" s="1"/>
  <c r="L69" i="4"/>
  <c r="L70" i="4"/>
  <c r="L67" i="4"/>
  <c r="L61" i="4"/>
  <c r="L62" i="4"/>
  <c r="L63" i="4"/>
  <c r="L64" i="4"/>
  <c r="L65" i="4"/>
  <c r="L60" i="4"/>
  <c r="M60" i="4" s="1"/>
  <c r="L57" i="4"/>
  <c r="L66" i="4"/>
  <c r="L71" i="4"/>
  <c r="M76" i="4"/>
  <c r="L96" i="4"/>
  <c r="M96" i="4" s="1"/>
  <c r="L58" i="4"/>
  <c r="L59" i="4"/>
  <c r="K90" i="4"/>
  <c r="M90" i="4" s="1"/>
  <c r="K89" i="4"/>
  <c r="K86" i="4"/>
  <c r="M86" i="4" s="1"/>
  <c r="K85" i="4"/>
  <c r="K82" i="4"/>
  <c r="M82" i="4" s="1"/>
  <c r="K80" i="4"/>
  <c r="K81" i="4"/>
  <c r="K79" i="4"/>
  <c r="K75" i="4"/>
  <c r="M75" i="4" s="1"/>
  <c r="K76" i="4"/>
  <c r="K74" i="4"/>
  <c r="M74" i="4" s="1"/>
  <c r="K72" i="4"/>
  <c r="K71" i="4"/>
  <c r="K70" i="4"/>
  <c r="K68" i="4"/>
  <c r="K63" i="4"/>
  <c r="K60" i="4"/>
  <c r="K59" i="4"/>
  <c r="K61" i="4"/>
  <c r="M61" i="4" s="1"/>
  <c r="K64" i="4"/>
  <c r="K65" i="4"/>
  <c r="K66" i="4"/>
  <c r="K67" i="4"/>
  <c r="M67" i="4" s="1"/>
  <c r="K69" i="4"/>
  <c r="M69" i="4" s="1"/>
  <c r="K73" i="4"/>
  <c r="K77" i="4"/>
  <c r="M77" i="4" s="1"/>
  <c r="K78" i="4"/>
  <c r="M78" i="4" s="1"/>
  <c r="K83" i="4"/>
  <c r="M83" i="4" s="1"/>
  <c r="K84" i="4"/>
  <c r="K87" i="4"/>
  <c r="M87" i="4" s="1"/>
  <c r="K88" i="4"/>
  <c r="K91" i="4"/>
  <c r="K92" i="4"/>
  <c r="K93" i="4"/>
  <c r="M93" i="4" s="1"/>
  <c r="K94" i="4"/>
  <c r="M94" i="4" s="1"/>
  <c r="K95" i="4"/>
  <c r="K58" i="4"/>
  <c r="K57" i="4"/>
  <c r="Y35" i="4"/>
  <c r="Y36" i="4"/>
  <c r="Y37" i="4"/>
  <c r="Y38" i="4"/>
  <c r="Y39" i="4"/>
  <c r="Y40" i="4"/>
  <c r="Y41" i="4"/>
  <c r="Y34" i="4"/>
  <c r="Y22" i="4"/>
  <c r="Y23" i="4"/>
  <c r="Y24" i="4"/>
  <c r="Y25" i="4"/>
  <c r="Y26" i="4"/>
  <c r="Z26" i="4" s="1"/>
  <c r="Y27" i="4"/>
  <c r="Y28" i="4"/>
  <c r="Y29" i="4"/>
  <c r="Y30" i="4"/>
  <c r="Y31" i="4"/>
  <c r="Y32" i="4"/>
  <c r="Y21" i="4"/>
  <c r="Y12" i="4"/>
  <c r="Y13" i="4"/>
  <c r="Y14" i="4"/>
  <c r="Y15" i="4"/>
  <c r="Y16" i="4"/>
  <c r="Y17" i="4"/>
  <c r="Y18" i="4"/>
  <c r="Y19" i="4"/>
  <c r="Y10" i="4"/>
  <c r="Y11" i="4"/>
  <c r="Y9" i="4"/>
  <c r="Y33" i="4"/>
  <c r="Y42" i="4"/>
  <c r="Y6" i="4"/>
  <c r="Y7" i="4"/>
  <c r="Z19" i="4"/>
  <c r="Y20" i="4"/>
  <c r="X37" i="4"/>
  <c r="X35" i="4"/>
  <c r="X32" i="4"/>
  <c r="X33" i="4"/>
  <c r="X31" i="4"/>
  <c r="X25" i="4"/>
  <c r="Z25" i="4" s="1"/>
  <c r="X26" i="4"/>
  <c r="X27" i="4"/>
  <c r="X24" i="4"/>
  <c r="X20" i="4"/>
  <c r="X21" i="4"/>
  <c r="Z21" i="4" s="1"/>
  <c r="X22" i="4"/>
  <c r="X19" i="4"/>
  <c r="X15" i="4"/>
  <c r="X16" i="4"/>
  <c r="X17" i="4"/>
  <c r="X14" i="4"/>
  <c r="X9" i="4"/>
  <c r="X10" i="4"/>
  <c r="X11" i="4"/>
  <c r="Z11" i="4" s="1"/>
  <c r="X12" i="4"/>
  <c r="X13" i="4"/>
  <c r="X18" i="4"/>
  <c r="X23" i="4"/>
  <c r="X28" i="4"/>
  <c r="X29" i="4"/>
  <c r="X30" i="4"/>
  <c r="X34" i="4"/>
  <c r="X36" i="4"/>
  <c r="X38" i="4"/>
  <c r="X39" i="4"/>
  <c r="X40" i="4"/>
  <c r="X41" i="4"/>
  <c r="X42" i="4"/>
  <c r="X7" i="4"/>
  <c r="X3" i="4"/>
  <c r="R22" i="4"/>
  <c r="R25" i="4"/>
  <c r="T25" i="4" s="1"/>
  <c r="S41" i="4"/>
  <c r="S39" i="4"/>
  <c r="S35" i="4"/>
  <c r="S32" i="4"/>
  <c r="S31" i="4"/>
  <c r="S29" i="4"/>
  <c r="S28" i="4"/>
  <c r="S27" i="4"/>
  <c r="S25" i="4"/>
  <c r="S24" i="4"/>
  <c r="S18" i="4"/>
  <c r="S19" i="4"/>
  <c r="S17" i="4"/>
  <c r="S16" i="4"/>
  <c r="S20" i="4"/>
  <c r="S21" i="4"/>
  <c r="S22" i="4"/>
  <c r="S23" i="4"/>
  <c r="S26" i="4"/>
  <c r="S30" i="4"/>
  <c r="S33" i="4"/>
  <c r="S34" i="4"/>
  <c r="S36" i="4"/>
  <c r="S37" i="4"/>
  <c r="S38" i="4"/>
  <c r="S40" i="4"/>
  <c r="S42" i="4"/>
  <c r="S15" i="4"/>
  <c r="S13" i="4"/>
  <c r="S14" i="4"/>
  <c r="R12" i="4"/>
  <c r="S12" i="4"/>
  <c r="R13" i="4"/>
  <c r="S11" i="4"/>
  <c r="S10" i="4"/>
  <c r="S9" i="4"/>
  <c r="R7" i="4"/>
  <c r="R6" i="4"/>
  <c r="S6" i="4"/>
  <c r="S7" i="4"/>
  <c r="S5" i="4"/>
  <c r="S3" i="4"/>
  <c r="F95" i="4"/>
  <c r="F92" i="4"/>
  <c r="F90" i="4"/>
  <c r="F86" i="4"/>
  <c r="G86" i="4" s="1"/>
  <c r="F85" i="4"/>
  <c r="F83" i="4"/>
  <c r="F79" i="4"/>
  <c r="F74" i="4"/>
  <c r="F73" i="4"/>
  <c r="F68" i="4"/>
  <c r="F67" i="4"/>
  <c r="F61" i="4"/>
  <c r="E86" i="4"/>
  <c r="E85" i="4"/>
  <c r="E80" i="4"/>
  <c r="E79" i="4"/>
  <c r="E75" i="4"/>
  <c r="F58" i="4"/>
  <c r="F59" i="4"/>
  <c r="F60" i="4"/>
  <c r="G60" i="4" s="1"/>
  <c r="H60" i="4" s="1"/>
  <c r="F63" i="4"/>
  <c r="F64" i="4"/>
  <c r="F65" i="4"/>
  <c r="F66" i="4"/>
  <c r="F69" i="4"/>
  <c r="F70" i="4"/>
  <c r="F71" i="4"/>
  <c r="F72" i="4"/>
  <c r="F75" i="4"/>
  <c r="F76" i="4"/>
  <c r="F77" i="4"/>
  <c r="F78" i="4"/>
  <c r="F80" i="4"/>
  <c r="F81" i="4"/>
  <c r="F82" i="4"/>
  <c r="F84" i="4"/>
  <c r="G84" i="4" s="1"/>
  <c r="F87" i="4"/>
  <c r="F88" i="4"/>
  <c r="F89" i="4"/>
  <c r="F91" i="4"/>
  <c r="F93" i="4"/>
  <c r="F94" i="4"/>
  <c r="F96" i="4"/>
  <c r="F57" i="4"/>
  <c r="AE14" i="4" s="1"/>
  <c r="AL37" i="4" s="1"/>
  <c r="E58" i="4"/>
  <c r="E59" i="4"/>
  <c r="E60" i="4"/>
  <c r="E61" i="4"/>
  <c r="E63" i="4"/>
  <c r="E64" i="4"/>
  <c r="E65" i="4"/>
  <c r="E66" i="4"/>
  <c r="E67" i="4"/>
  <c r="E68" i="4"/>
  <c r="E69" i="4"/>
  <c r="E70" i="4"/>
  <c r="E71" i="4"/>
  <c r="E72" i="4"/>
  <c r="E73" i="4"/>
  <c r="E74" i="4"/>
  <c r="G74" i="4" s="1"/>
  <c r="E76" i="4"/>
  <c r="E77" i="4"/>
  <c r="E78" i="4"/>
  <c r="E81" i="4"/>
  <c r="E82" i="4"/>
  <c r="E83" i="4"/>
  <c r="E84" i="4"/>
  <c r="E87" i="4"/>
  <c r="E88" i="4"/>
  <c r="E89" i="4"/>
  <c r="E90" i="4"/>
  <c r="E91" i="4"/>
  <c r="E92" i="4"/>
  <c r="E93" i="4"/>
  <c r="E94" i="4"/>
  <c r="E95" i="4"/>
  <c r="G95" i="4" s="1"/>
  <c r="E96" i="4"/>
  <c r="E57" i="4"/>
  <c r="R14" i="4"/>
  <c r="R15" i="4"/>
  <c r="R16" i="4"/>
  <c r="R17" i="4"/>
  <c r="R18" i="4"/>
  <c r="R19" i="4"/>
  <c r="T19" i="4" s="1"/>
  <c r="R20" i="4"/>
  <c r="R21" i="4"/>
  <c r="R23" i="4"/>
  <c r="R24" i="4"/>
  <c r="R26" i="4"/>
  <c r="R27" i="4"/>
  <c r="T27" i="4" s="1"/>
  <c r="R28" i="4"/>
  <c r="R29" i="4"/>
  <c r="R30" i="4"/>
  <c r="R31" i="4"/>
  <c r="R32" i="4"/>
  <c r="R33" i="4"/>
  <c r="R34" i="4"/>
  <c r="R35" i="4"/>
  <c r="T35" i="4" s="1"/>
  <c r="R36" i="4"/>
  <c r="R37" i="4"/>
  <c r="R38" i="4"/>
  <c r="R39" i="4"/>
  <c r="T39" i="4" s="1"/>
  <c r="R40" i="4"/>
  <c r="R41" i="4"/>
  <c r="R42" i="4"/>
  <c r="R5" i="4"/>
  <c r="R9" i="4"/>
  <c r="R10" i="4"/>
  <c r="R11" i="4"/>
  <c r="R3" i="4"/>
  <c r="K7" i="4"/>
  <c r="K8" i="4"/>
  <c r="K6" i="4"/>
  <c r="L33" i="4"/>
  <c r="L34" i="4"/>
  <c r="AG9" i="4" s="1"/>
  <c r="AN44" i="4" s="1"/>
  <c r="M36" i="4"/>
  <c r="L37" i="4"/>
  <c r="L42" i="4"/>
  <c r="L4" i="4"/>
  <c r="L5" i="4"/>
  <c r="L14" i="4"/>
  <c r="K38" i="4"/>
  <c r="K39" i="4"/>
  <c r="M39" i="4" s="1"/>
  <c r="K40" i="4"/>
  <c r="K41" i="4"/>
  <c r="K4" i="4"/>
  <c r="K5" i="4"/>
  <c r="K9" i="4"/>
  <c r="K10" i="4"/>
  <c r="K11" i="4"/>
  <c r="M11" i="4" s="1"/>
  <c r="K13" i="4"/>
  <c r="M13" i="4" s="1"/>
  <c r="K14" i="4"/>
  <c r="K15" i="4"/>
  <c r="K16" i="4"/>
  <c r="K17" i="4"/>
  <c r="K19" i="4"/>
  <c r="K20" i="4"/>
  <c r="K21" i="4"/>
  <c r="M25" i="4"/>
  <c r="K27" i="4"/>
  <c r="K29" i="4"/>
  <c r="K30" i="4"/>
  <c r="K33" i="4"/>
  <c r="K34" i="4"/>
  <c r="K35" i="4"/>
  <c r="K37" i="4"/>
  <c r="K3" i="4"/>
  <c r="AF9" i="4" s="1"/>
  <c r="AH44" i="4" s="1"/>
  <c r="G39" i="4"/>
  <c r="G8" i="4"/>
  <c r="G16" i="4"/>
  <c r="G24" i="4"/>
  <c r="F40" i="4"/>
  <c r="F39" i="4"/>
  <c r="F36" i="4"/>
  <c r="F37" i="4"/>
  <c r="F35" i="4"/>
  <c r="F24" i="4"/>
  <c r="F25" i="4"/>
  <c r="F26" i="4"/>
  <c r="F27" i="4"/>
  <c r="F28" i="4"/>
  <c r="F29" i="4"/>
  <c r="F30" i="4"/>
  <c r="F31" i="4"/>
  <c r="F32" i="4"/>
  <c r="F33" i="4"/>
  <c r="F23" i="4"/>
  <c r="F20" i="4"/>
  <c r="F19" i="4"/>
  <c r="F17" i="4"/>
  <c r="F13" i="4"/>
  <c r="F11" i="4"/>
  <c r="F7" i="4"/>
  <c r="F8" i="4"/>
  <c r="F6" i="4"/>
  <c r="F38" i="4"/>
  <c r="F41" i="4"/>
  <c r="F42" i="4"/>
  <c r="F4" i="4"/>
  <c r="F5" i="4"/>
  <c r="F9" i="4"/>
  <c r="F10" i="4"/>
  <c r="F12" i="4"/>
  <c r="F14" i="4"/>
  <c r="F15" i="4"/>
  <c r="F16" i="4"/>
  <c r="F18" i="4"/>
  <c r="F21" i="4"/>
  <c r="F22" i="4"/>
  <c r="F34" i="4"/>
  <c r="F3" i="4"/>
  <c r="AE7" i="4" s="1"/>
  <c r="E26" i="4"/>
  <c r="G26" i="4" s="1"/>
  <c r="E27" i="4"/>
  <c r="G27" i="4" s="1"/>
  <c r="E28" i="4"/>
  <c r="G28" i="4" s="1"/>
  <c r="E29" i="4"/>
  <c r="G29" i="4" s="1"/>
  <c r="E30" i="4"/>
  <c r="G30" i="4" s="1"/>
  <c r="E31" i="4"/>
  <c r="G31" i="4" s="1"/>
  <c r="E32" i="4"/>
  <c r="G32" i="4" s="1"/>
  <c r="E33" i="4"/>
  <c r="G33" i="4" s="1"/>
  <c r="E34" i="4"/>
  <c r="G34" i="4" s="1"/>
  <c r="E35" i="4"/>
  <c r="G35" i="4" s="1"/>
  <c r="E36" i="4"/>
  <c r="G36" i="4" s="1"/>
  <c r="E37" i="4"/>
  <c r="G37" i="4" s="1"/>
  <c r="E38" i="4"/>
  <c r="G38" i="4" s="1"/>
  <c r="E39" i="4"/>
  <c r="E40" i="4"/>
  <c r="G40" i="4" s="1"/>
  <c r="E41" i="4"/>
  <c r="G41" i="4" s="1"/>
  <c r="E42" i="4"/>
  <c r="G42" i="4" s="1"/>
  <c r="E4" i="4"/>
  <c r="G4" i="4" s="1"/>
  <c r="E5" i="4"/>
  <c r="G5" i="4" s="1"/>
  <c r="E6" i="4"/>
  <c r="G6" i="4" s="1"/>
  <c r="E7" i="4"/>
  <c r="G7" i="4" s="1"/>
  <c r="E8" i="4"/>
  <c r="E9" i="4"/>
  <c r="G9" i="4" s="1"/>
  <c r="E10" i="4"/>
  <c r="G10" i="4" s="1"/>
  <c r="E11" i="4"/>
  <c r="G11" i="4" s="1"/>
  <c r="E12" i="4"/>
  <c r="G12" i="4" s="1"/>
  <c r="E13" i="4"/>
  <c r="G13" i="4" s="1"/>
  <c r="E14" i="4"/>
  <c r="G14" i="4" s="1"/>
  <c r="E15" i="4"/>
  <c r="G15" i="4" s="1"/>
  <c r="E16" i="4"/>
  <c r="E17" i="4"/>
  <c r="G17" i="4" s="1"/>
  <c r="E18" i="4"/>
  <c r="G18" i="4" s="1"/>
  <c r="E19" i="4"/>
  <c r="G19" i="4" s="1"/>
  <c r="E20" i="4"/>
  <c r="G20" i="4" s="1"/>
  <c r="E21" i="4"/>
  <c r="G21" i="4" s="1"/>
  <c r="E22" i="4"/>
  <c r="G22" i="4" s="1"/>
  <c r="E23" i="4"/>
  <c r="G23" i="4" s="1"/>
  <c r="E24" i="4"/>
  <c r="E25" i="4"/>
  <c r="G25" i="4" s="1"/>
  <c r="E3" i="4"/>
  <c r="AD7" i="4" s="1"/>
  <c r="G260" i="5"/>
  <c r="B262" i="5"/>
  <c r="B260" i="5"/>
  <c r="B263" i="5"/>
  <c r="B261" i="5"/>
  <c r="F260" i="5"/>
  <c r="C260" i="5"/>
  <c r="B255" i="5"/>
  <c r="B254" i="5"/>
  <c r="B253" i="5"/>
  <c r="G236" i="5"/>
  <c r="D243" i="5"/>
  <c r="F236" i="5"/>
  <c r="B247" i="5"/>
  <c r="B246" i="5"/>
  <c r="B245" i="5"/>
  <c r="B243" i="5"/>
  <c r="B242" i="5"/>
  <c r="C240" i="5"/>
  <c r="B240" i="5"/>
  <c r="B238" i="5"/>
  <c r="D238" i="5" s="1"/>
  <c r="B237" i="5"/>
  <c r="C236" i="5"/>
  <c r="B236" i="5"/>
  <c r="B235" i="5"/>
  <c r="B234" i="5"/>
  <c r="D218" i="5"/>
  <c r="B229" i="5"/>
  <c r="B228" i="5"/>
  <c r="C227" i="5"/>
  <c r="B227" i="5"/>
  <c r="B226" i="5"/>
  <c r="B224" i="5"/>
  <c r="C223" i="5"/>
  <c r="B223" i="5"/>
  <c r="C222" i="5"/>
  <c r="C221" i="5"/>
  <c r="B221" i="5"/>
  <c r="B219" i="5"/>
  <c r="C218" i="5"/>
  <c r="B217" i="5"/>
  <c r="B216" i="5"/>
  <c r="E212" i="5"/>
  <c r="B212" i="5"/>
  <c r="D212" i="5" s="1"/>
  <c r="B211" i="5"/>
  <c r="E205" i="5"/>
  <c r="G205" i="5" s="1"/>
  <c r="C206" i="5"/>
  <c r="B206" i="5"/>
  <c r="C205" i="5"/>
  <c r="D205" i="5" s="1"/>
  <c r="C204" i="5"/>
  <c r="C203" i="5"/>
  <c r="B203" i="5"/>
  <c r="B199" i="5"/>
  <c r="B198" i="5"/>
  <c r="C196" i="5"/>
  <c r="C195" i="5"/>
  <c r="B194" i="5"/>
  <c r="D194" i="5" s="1"/>
  <c r="C193" i="5"/>
  <c r="B193" i="5"/>
  <c r="B192" i="5"/>
  <c r="C188" i="5"/>
  <c r="B188" i="5"/>
  <c r="C187" i="5"/>
  <c r="G178" i="5"/>
  <c r="E177" i="5"/>
  <c r="G177" i="5" s="1"/>
  <c r="B183" i="5"/>
  <c r="B182" i="5"/>
  <c r="B180" i="5"/>
  <c r="B178" i="5"/>
  <c r="D178" i="5" s="1"/>
  <c r="C176" i="5"/>
  <c r="B176" i="5"/>
  <c r="C175" i="5"/>
  <c r="B175" i="5"/>
  <c r="D175" i="5" s="1"/>
  <c r="G170" i="5"/>
  <c r="G156" i="5"/>
  <c r="E161" i="5"/>
  <c r="C171" i="5"/>
  <c r="B171" i="5"/>
  <c r="B170" i="5"/>
  <c r="B169" i="5"/>
  <c r="B167" i="5"/>
  <c r="D167" i="5" s="1"/>
  <c r="C165" i="5"/>
  <c r="B165" i="5"/>
  <c r="B164" i="5"/>
  <c r="B163" i="5"/>
  <c r="D163" i="5" s="1"/>
  <c r="C162" i="5"/>
  <c r="B162" i="5"/>
  <c r="B161" i="5"/>
  <c r="C158" i="5"/>
  <c r="C157" i="5"/>
  <c r="B157" i="5"/>
  <c r="C152" i="5"/>
  <c r="B152" i="5"/>
  <c r="C151" i="5"/>
  <c r="B151" i="5"/>
  <c r="B150" i="5"/>
  <c r="D150" i="5" s="1"/>
  <c r="D143" i="5"/>
  <c r="F140" i="5"/>
  <c r="G140" i="5" s="1"/>
  <c r="B146" i="5"/>
  <c r="B145" i="5"/>
  <c r="C144" i="5"/>
  <c r="B144" i="5"/>
  <c r="C142" i="5"/>
  <c r="B141" i="5"/>
  <c r="C140" i="5"/>
  <c r="D140" i="5" s="1"/>
  <c r="B140" i="5"/>
  <c r="B139" i="5"/>
  <c r="C138" i="5"/>
  <c r="B136" i="5"/>
  <c r="C135" i="5"/>
  <c r="B134" i="5"/>
  <c r="B133" i="5"/>
  <c r="D127" i="5"/>
  <c r="B129" i="5"/>
  <c r="B126" i="5"/>
  <c r="C125" i="5"/>
  <c r="B125" i="5"/>
  <c r="D125" i="5" s="1"/>
  <c r="B122" i="5"/>
  <c r="D122" i="5" s="1"/>
  <c r="C120" i="5"/>
  <c r="B119" i="5"/>
  <c r="D119" i="5" s="1"/>
  <c r="G112" i="5"/>
  <c r="D113" i="5"/>
  <c r="D105" i="5"/>
  <c r="F106" i="5"/>
  <c r="B114" i="5"/>
  <c r="D114" i="5" s="1"/>
  <c r="B113" i="5"/>
  <c r="B111" i="5"/>
  <c r="D111" i="5" s="1"/>
  <c r="B110" i="5"/>
  <c r="D110" i="5" s="1"/>
  <c r="C109" i="5"/>
  <c r="B109" i="5"/>
  <c r="D109" i="5" s="1"/>
  <c r="C108" i="5"/>
  <c r="B108" i="5"/>
  <c r="B107" i="5"/>
  <c r="D107" i="5" s="1"/>
  <c r="C106" i="5"/>
  <c r="B106" i="5"/>
  <c r="B105" i="5"/>
  <c r="C104" i="5"/>
  <c r="B104" i="5"/>
  <c r="D104" i="5" s="1"/>
  <c r="G98" i="5"/>
  <c r="G94" i="5"/>
  <c r="D80" i="5"/>
  <c r="D76" i="5"/>
  <c r="D74" i="5"/>
  <c r="D73" i="5"/>
  <c r="E96" i="5"/>
  <c r="G96" i="5" s="1"/>
  <c r="C99" i="5"/>
  <c r="C97" i="5"/>
  <c r="B97" i="5"/>
  <c r="C95" i="5"/>
  <c r="B94" i="5"/>
  <c r="B93" i="5"/>
  <c r="D93" i="5" s="1"/>
  <c r="B92" i="5"/>
  <c r="D92" i="5" s="1"/>
  <c r="B91" i="5"/>
  <c r="D91" i="5" s="1"/>
  <c r="B90" i="5"/>
  <c r="F82" i="5"/>
  <c r="G82" i="5" s="1"/>
  <c r="F75" i="5"/>
  <c r="F74" i="5"/>
  <c r="G74" i="5" s="1"/>
  <c r="B85" i="5"/>
  <c r="D85" i="5" s="1"/>
  <c r="B84" i="5"/>
  <c r="B83" i="5"/>
  <c r="C82" i="5"/>
  <c r="B82" i="5"/>
  <c r="C80" i="5"/>
  <c r="B80" i="5"/>
  <c r="B74" i="5"/>
  <c r="B73" i="5"/>
  <c r="G60" i="5"/>
  <c r="G59" i="5"/>
  <c r="E66" i="5"/>
  <c r="G66" i="5" s="1"/>
  <c r="E64" i="5"/>
  <c r="G64" i="5" s="1"/>
  <c r="E61" i="5"/>
  <c r="G61" i="5" s="1"/>
  <c r="B66" i="5"/>
  <c r="D66" i="5" s="1"/>
  <c r="B65" i="5"/>
  <c r="D65" i="5" s="1"/>
  <c r="B64" i="5"/>
  <c r="D64" i="5" s="1"/>
  <c r="B62" i="5"/>
  <c r="D62" i="5" s="1"/>
  <c r="B61" i="5"/>
  <c r="D61" i="5" s="1"/>
  <c r="B59" i="5"/>
  <c r="D59" i="5" s="1"/>
  <c r="B60" i="5"/>
  <c r="D60" i="5" s="1"/>
  <c r="B63" i="5"/>
  <c r="D63" i="5" s="1"/>
  <c r="G62" i="5"/>
  <c r="G63" i="5"/>
  <c r="G65" i="5"/>
  <c r="G263" i="5"/>
  <c r="D263" i="5"/>
  <c r="G262" i="5"/>
  <c r="D262" i="5"/>
  <c r="G261" i="5"/>
  <c r="D261" i="5"/>
  <c r="D260" i="5"/>
  <c r="G259" i="5"/>
  <c r="B259" i="5"/>
  <c r="D259" i="5" s="1"/>
  <c r="G255" i="5"/>
  <c r="C255" i="5"/>
  <c r="D255" i="5" s="1"/>
  <c r="G254" i="5"/>
  <c r="D254" i="5"/>
  <c r="G253" i="5"/>
  <c r="D253" i="5"/>
  <c r="G252" i="5"/>
  <c r="D252" i="5"/>
  <c r="G251" i="5"/>
  <c r="D251" i="5"/>
  <c r="G247" i="5"/>
  <c r="D247" i="5"/>
  <c r="G246" i="5"/>
  <c r="D246" i="5"/>
  <c r="G245" i="5"/>
  <c r="D245" i="5"/>
  <c r="G244" i="5"/>
  <c r="D244" i="5"/>
  <c r="G243" i="5"/>
  <c r="G242" i="5"/>
  <c r="D242" i="5"/>
  <c r="G241" i="5"/>
  <c r="B241" i="5"/>
  <c r="D241" i="5" s="1"/>
  <c r="G240" i="5"/>
  <c r="D240" i="5"/>
  <c r="G239" i="5"/>
  <c r="D239" i="5"/>
  <c r="G238" i="5"/>
  <c r="G237" i="5"/>
  <c r="D237" i="5"/>
  <c r="G235" i="5"/>
  <c r="D235" i="5"/>
  <c r="G234" i="5"/>
  <c r="D234" i="5"/>
  <c r="G230" i="5"/>
  <c r="D230" i="5"/>
  <c r="G229" i="5"/>
  <c r="D229" i="5"/>
  <c r="G228" i="5"/>
  <c r="D228" i="5"/>
  <c r="G227" i="5"/>
  <c r="D227" i="5"/>
  <c r="G226" i="5"/>
  <c r="D226" i="5"/>
  <c r="G225" i="5"/>
  <c r="B225" i="5"/>
  <c r="D225" i="5" s="1"/>
  <c r="G224" i="5"/>
  <c r="D224" i="5"/>
  <c r="G223" i="5"/>
  <c r="D223" i="5"/>
  <c r="G222" i="5"/>
  <c r="B222" i="5"/>
  <c r="D222" i="5" s="1"/>
  <c r="G221" i="5"/>
  <c r="D221" i="5"/>
  <c r="G220" i="5"/>
  <c r="D220" i="5"/>
  <c r="D219" i="5"/>
  <c r="G218" i="5"/>
  <c r="G217" i="5"/>
  <c r="D217" i="5"/>
  <c r="G216" i="5"/>
  <c r="D216" i="5"/>
  <c r="G212" i="5"/>
  <c r="G211" i="5"/>
  <c r="D211" i="5"/>
  <c r="G207" i="5"/>
  <c r="D207" i="5"/>
  <c r="G206" i="5"/>
  <c r="D206" i="5"/>
  <c r="G204" i="5"/>
  <c r="B204" i="5"/>
  <c r="D204" i="5" s="1"/>
  <c r="G203" i="5"/>
  <c r="D203" i="5"/>
  <c r="G199" i="5"/>
  <c r="D199" i="5"/>
  <c r="G198" i="5"/>
  <c r="C198" i="5"/>
  <c r="D198" i="5" s="1"/>
  <c r="G197" i="5"/>
  <c r="C197" i="5"/>
  <c r="D197" i="5" s="1"/>
  <c r="G196" i="5"/>
  <c r="D196" i="5"/>
  <c r="G195" i="5"/>
  <c r="B195" i="5"/>
  <c r="D195" i="5" s="1"/>
  <c r="G194" i="5"/>
  <c r="G193" i="5"/>
  <c r="D193" i="5"/>
  <c r="G192" i="5"/>
  <c r="D192" i="5"/>
  <c r="G191" i="5"/>
  <c r="B191" i="5"/>
  <c r="D191" i="5" s="1"/>
  <c r="G190" i="5"/>
  <c r="D190" i="5"/>
  <c r="G189" i="5"/>
  <c r="D189" i="5"/>
  <c r="G188" i="5"/>
  <c r="D188" i="5"/>
  <c r="G187" i="5"/>
  <c r="B187" i="5"/>
  <c r="D187" i="5" s="1"/>
  <c r="G183" i="5"/>
  <c r="D183" i="5"/>
  <c r="D182" i="5"/>
  <c r="G181" i="5"/>
  <c r="B181" i="5"/>
  <c r="D181" i="5" s="1"/>
  <c r="G180" i="5"/>
  <c r="D180" i="5"/>
  <c r="G179" i="5"/>
  <c r="B179" i="5"/>
  <c r="D179" i="5" s="1"/>
  <c r="B177" i="5"/>
  <c r="D177" i="5" s="1"/>
  <c r="G176" i="5"/>
  <c r="D176" i="5"/>
  <c r="G175" i="5"/>
  <c r="G171" i="5"/>
  <c r="D171" i="5"/>
  <c r="D170" i="5"/>
  <c r="G169" i="5"/>
  <c r="D169" i="5"/>
  <c r="G168" i="5"/>
  <c r="D168" i="5"/>
  <c r="G167" i="5"/>
  <c r="G166" i="5"/>
  <c r="D166" i="5"/>
  <c r="G165" i="5"/>
  <c r="D165" i="5"/>
  <c r="G164" i="5"/>
  <c r="C164" i="5"/>
  <c r="D164" i="5" s="1"/>
  <c r="G163" i="5"/>
  <c r="G162" i="5"/>
  <c r="D162" i="5"/>
  <c r="G161" i="5"/>
  <c r="D161" i="5"/>
  <c r="G160" i="5"/>
  <c r="D160" i="5"/>
  <c r="G159" i="5"/>
  <c r="D159" i="5"/>
  <c r="G158" i="5"/>
  <c r="B158" i="5"/>
  <c r="D158" i="5" s="1"/>
  <c r="G157" i="5"/>
  <c r="D157" i="5"/>
  <c r="B156" i="5"/>
  <c r="D156" i="5" s="1"/>
  <c r="G152" i="5"/>
  <c r="D152" i="5"/>
  <c r="G151" i="5"/>
  <c r="D151" i="5"/>
  <c r="G150" i="5"/>
  <c r="G146" i="5"/>
  <c r="D146" i="5"/>
  <c r="G145" i="5"/>
  <c r="F145" i="5"/>
  <c r="C145" i="5"/>
  <c r="D145" i="5" s="1"/>
  <c r="G144" i="5"/>
  <c r="D144" i="5"/>
  <c r="G143" i="5"/>
  <c r="G142" i="5"/>
  <c r="B142" i="5"/>
  <c r="G141" i="5"/>
  <c r="D141" i="5"/>
  <c r="G139" i="5"/>
  <c r="C139" i="5"/>
  <c r="D139" i="5" s="1"/>
  <c r="G138" i="5"/>
  <c r="B138" i="5"/>
  <c r="D138" i="5" s="1"/>
  <c r="G137" i="5"/>
  <c r="D137" i="5"/>
  <c r="G136" i="5"/>
  <c r="D136" i="5"/>
  <c r="G135" i="5"/>
  <c r="D135" i="5"/>
  <c r="G134" i="5"/>
  <c r="D134" i="5"/>
  <c r="G133" i="5"/>
  <c r="D133" i="5"/>
  <c r="G129" i="5"/>
  <c r="D129" i="5"/>
  <c r="G128" i="5"/>
  <c r="C128" i="5"/>
  <c r="B128" i="5"/>
  <c r="D128" i="5" s="1"/>
  <c r="G127" i="5"/>
  <c r="G126" i="5"/>
  <c r="C126" i="5"/>
  <c r="D126" i="5" s="1"/>
  <c r="G125" i="5"/>
  <c r="G124" i="5"/>
  <c r="D124" i="5"/>
  <c r="G123" i="5"/>
  <c r="D123" i="5"/>
  <c r="G122" i="5"/>
  <c r="G121" i="5"/>
  <c r="D121" i="5"/>
  <c r="G120" i="5"/>
  <c r="B120" i="5"/>
  <c r="D120" i="5" s="1"/>
  <c r="G119" i="5"/>
  <c r="G114" i="5"/>
  <c r="G113" i="5"/>
  <c r="D112" i="5"/>
  <c r="C112" i="5"/>
  <c r="B112" i="5"/>
  <c r="G111" i="5"/>
  <c r="G110" i="5"/>
  <c r="G109" i="5"/>
  <c r="G108" i="5"/>
  <c r="G107" i="5"/>
  <c r="G106" i="5"/>
  <c r="D106" i="5"/>
  <c r="G105" i="5"/>
  <c r="G104" i="5"/>
  <c r="G99" i="5"/>
  <c r="B99" i="5"/>
  <c r="D99" i="5" s="1"/>
  <c r="B98" i="5"/>
  <c r="D98" i="5" s="1"/>
  <c r="G97" i="5"/>
  <c r="B96" i="5"/>
  <c r="D96" i="5" s="1"/>
  <c r="G95" i="5"/>
  <c r="B95" i="5"/>
  <c r="D95" i="5" s="1"/>
  <c r="D94" i="5"/>
  <c r="G93" i="5"/>
  <c r="G92" i="5"/>
  <c r="G91" i="5"/>
  <c r="G90" i="5"/>
  <c r="D90" i="5"/>
  <c r="G89" i="5"/>
  <c r="D89" i="5"/>
  <c r="G85" i="5"/>
  <c r="G84" i="5"/>
  <c r="D84" i="5"/>
  <c r="G83" i="5"/>
  <c r="D83" i="5"/>
  <c r="G81" i="5"/>
  <c r="D81" i="5"/>
  <c r="G80" i="5"/>
  <c r="B79" i="5"/>
  <c r="G78" i="5"/>
  <c r="B78" i="5"/>
  <c r="D78" i="5" s="1"/>
  <c r="G77" i="5"/>
  <c r="B77" i="5"/>
  <c r="D77" i="5" s="1"/>
  <c r="G76" i="5"/>
  <c r="E75" i="5"/>
  <c r="G75" i="5" s="1"/>
  <c r="B75" i="5"/>
  <c r="D75" i="5" s="1"/>
  <c r="G73" i="5"/>
  <c r="Z96" i="4"/>
  <c r="Z95" i="4"/>
  <c r="M95" i="4"/>
  <c r="Z94" i="4"/>
  <c r="T94" i="4"/>
  <c r="G94" i="4"/>
  <c r="H94" i="4" s="1"/>
  <c r="T93" i="4"/>
  <c r="Z92" i="4"/>
  <c r="T92" i="4"/>
  <c r="G92" i="4"/>
  <c r="Z91" i="4"/>
  <c r="M91" i="4"/>
  <c r="G91" i="4"/>
  <c r="T90" i="4"/>
  <c r="G90" i="4"/>
  <c r="M89" i="4"/>
  <c r="M88" i="4"/>
  <c r="Z87" i="4"/>
  <c r="Z86" i="4"/>
  <c r="T86" i="4"/>
  <c r="G85" i="4"/>
  <c r="Z83" i="4"/>
  <c r="T83" i="4"/>
  <c r="G83" i="4"/>
  <c r="G82" i="4"/>
  <c r="M81" i="4"/>
  <c r="Z79" i="4"/>
  <c r="G79" i="4"/>
  <c r="Z78" i="4"/>
  <c r="T78" i="4"/>
  <c r="U78" i="4" s="1"/>
  <c r="Y77" i="4"/>
  <c r="Z77" i="4" s="1"/>
  <c r="G77" i="4"/>
  <c r="Z76" i="4"/>
  <c r="Z75" i="4"/>
  <c r="Z74" i="4"/>
  <c r="M73" i="4"/>
  <c r="M72" i="4"/>
  <c r="Z71" i="4"/>
  <c r="T71" i="4"/>
  <c r="M70" i="4"/>
  <c r="Z69" i="4"/>
  <c r="Z68" i="4"/>
  <c r="Z64" i="4"/>
  <c r="M64" i="4"/>
  <c r="Z63" i="4"/>
  <c r="T63" i="4"/>
  <c r="U63" i="4" s="1"/>
  <c r="M63" i="4"/>
  <c r="Z61" i="4"/>
  <c r="Z60" i="4"/>
  <c r="Y59" i="4"/>
  <c r="M59" i="4"/>
  <c r="Y57" i="4"/>
  <c r="Z57" i="4" s="1"/>
  <c r="M57" i="4"/>
  <c r="M42" i="4"/>
  <c r="Z41" i="4"/>
  <c r="T41" i="4"/>
  <c r="M41" i="4"/>
  <c r="Z40" i="4"/>
  <c r="T40" i="4"/>
  <c r="M40" i="4"/>
  <c r="Z38" i="4"/>
  <c r="M38" i="4"/>
  <c r="Z37" i="4"/>
  <c r="M37" i="4"/>
  <c r="Z36" i="4"/>
  <c r="Z35" i="4"/>
  <c r="Z33" i="4"/>
  <c r="M33" i="4"/>
  <c r="Z32" i="4"/>
  <c r="T32" i="4"/>
  <c r="M32" i="4"/>
  <c r="T31" i="4"/>
  <c r="M31" i="4"/>
  <c r="Z30" i="4"/>
  <c r="M30" i="4"/>
  <c r="M29" i="4"/>
  <c r="Z28" i="4"/>
  <c r="M28" i="4"/>
  <c r="Z27" i="4"/>
  <c r="Z24" i="4"/>
  <c r="T24" i="4"/>
  <c r="M24" i="4"/>
  <c r="M23" i="4"/>
  <c r="Z22" i="4"/>
  <c r="M22" i="4"/>
  <c r="M21" i="4"/>
  <c r="M20" i="4"/>
  <c r="Z18" i="4"/>
  <c r="Z17" i="4"/>
  <c r="M17" i="4"/>
  <c r="Z16" i="4"/>
  <c r="M16" i="4"/>
  <c r="M15" i="4"/>
  <c r="Z14" i="4"/>
  <c r="M12" i="4"/>
  <c r="AU10" i="4"/>
  <c r="Z10" i="4"/>
  <c r="Z9" i="4"/>
  <c r="T9" i="4"/>
  <c r="U9" i="4" s="1"/>
  <c r="M9" i="4"/>
  <c r="U8" i="4"/>
  <c r="M8" i="4"/>
  <c r="M7" i="4"/>
  <c r="X6" i="4"/>
  <c r="M6" i="4"/>
  <c r="Y5" i="4"/>
  <c r="X5" i="4"/>
  <c r="U4" i="4"/>
  <c r="Y3" i="4"/>
  <c r="G3" i="4" l="1"/>
  <c r="H34" i="4"/>
  <c r="M85" i="4"/>
  <c r="M92" i="4"/>
  <c r="Z31" i="4"/>
  <c r="M71" i="4"/>
  <c r="M84" i="4"/>
  <c r="T79" i="4"/>
  <c r="T87" i="4"/>
  <c r="Z29" i="4"/>
  <c r="Z34" i="4"/>
  <c r="AE28" i="4"/>
  <c r="AE21" i="4"/>
  <c r="G57" i="4"/>
  <c r="M65" i="4"/>
  <c r="T20" i="4"/>
  <c r="Z39" i="4"/>
  <c r="Z20" i="4"/>
  <c r="Z13" i="4"/>
  <c r="G89" i="4"/>
  <c r="T73" i="4"/>
  <c r="AG12" i="4"/>
  <c r="AJ45" i="4" s="1"/>
  <c r="M80" i="4"/>
  <c r="Z23" i="4"/>
  <c r="Z15" i="4"/>
  <c r="T29" i="4"/>
  <c r="T21" i="4"/>
  <c r="U21" i="4" s="1"/>
  <c r="T28" i="4"/>
  <c r="G73" i="4"/>
  <c r="G65" i="4"/>
  <c r="H65" i="4" s="1"/>
  <c r="M35" i="4"/>
  <c r="M19" i="4"/>
  <c r="M26" i="4"/>
  <c r="M18" i="4"/>
  <c r="M10" i="4"/>
  <c r="M27" i="4"/>
  <c r="Z5" i="4"/>
  <c r="G87" i="4"/>
  <c r="H87" i="4" s="1"/>
  <c r="Z42" i="4"/>
  <c r="T11" i="4"/>
  <c r="U11" i="4" s="1"/>
  <c r="AF28" i="4"/>
  <c r="AF47" i="4" s="1"/>
  <c r="T67" i="4"/>
  <c r="H10" i="4"/>
  <c r="T23" i="4"/>
  <c r="U23" i="4" s="1"/>
  <c r="M34" i="4"/>
  <c r="T37" i="4"/>
  <c r="U37" i="4" s="1"/>
  <c r="T66" i="4"/>
  <c r="U66" i="4" s="1"/>
  <c r="G69" i="4"/>
  <c r="H69" i="4" s="1"/>
  <c r="T33" i="4"/>
  <c r="U33" i="4" s="1"/>
  <c r="Z65" i="4"/>
  <c r="AG29" i="4"/>
  <c r="AM47" i="4" s="1"/>
  <c r="G76" i="4"/>
  <c r="H76" i="4" s="1"/>
  <c r="G63" i="4"/>
  <c r="H63" i="4" s="1"/>
  <c r="Z12" i="4"/>
  <c r="T7" i="4"/>
  <c r="U7" i="4" s="1"/>
  <c r="M58" i="4"/>
  <c r="G78" i="4"/>
  <c r="H78" i="4" s="1"/>
  <c r="G70" i="4"/>
  <c r="H70" i="4" s="1"/>
  <c r="T12" i="4"/>
  <c r="U12" i="4" s="1"/>
  <c r="T13" i="4"/>
  <c r="T14" i="4"/>
  <c r="AD16" i="4"/>
  <c r="AH37" i="4" s="1"/>
  <c r="AF15" i="4"/>
  <c r="AG45" i="4" s="1"/>
  <c r="AF27" i="4"/>
  <c r="AE47" i="4" s="1"/>
  <c r="AE62" i="4" s="1"/>
  <c r="AD28" i="4"/>
  <c r="AF39" i="4" s="1"/>
  <c r="T60" i="4"/>
  <c r="U60" i="4" s="1"/>
  <c r="G64" i="4"/>
  <c r="H64" i="4" s="1"/>
  <c r="AE16" i="4"/>
  <c r="AN37" i="4" s="1"/>
  <c r="T88" i="4"/>
  <c r="T91" i="4"/>
  <c r="U91" i="4" s="1"/>
  <c r="T5" i="4"/>
  <c r="U5" i="4" s="1"/>
  <c r="T10" i="4"/>
  <c r="AE30" i="4"/>
  <c r="AN39" i="4" s="1"/>
  <c r="AG14" i="4"/>
  <c r="AL45" i="4" s="1"/>
  <c r="G72" i="4"/>
  <c r="H72" i="4" s="1"/>
  <c r="T15" i="4"/>
  <c r="U15" i="4" s="1"/>
  <c r="AD13" i="4"/>
  <c r="AE37" i="4" s="1"/>
  <c r="AE52" i="4" s="1"/>
  <c r="AD29" i="4"/>
  <c r="AG39" i="4" s="1"/>
  <c r="AE29" i="4"/>
  <c r="AM39" i="4" s="1"/>
  <c r="G80" i="4"/>
  <c r="AF26" i="4"/>
  <c r="AD47" i="4" s="1"/>
  <c r="T36" i="4"/>
  <c r="U36" i="4" s="1"/>
  <c r="G58" i="4"/>
  <c r="H58" i="4" s="1"/>
  <c r="G61" i="4"/>
  <c r="T64" i="4"/>
  <c r="G68" i="4"/>
  <c r="G75" i="4"/>
  <c r="H75" i="4" s="1"/>
  <c r="T80" i="4"/>
  <c r="U80" i="4" s="1"/>
  <c r="G88" i="4"/>
  <c r="H88" i="4" s="1"/>
  <c r="AE27" i="4"/>
  <c r="AK39" i="4" s="1"/>
  <c r="AK54" i="4" s="1"/>
  <c r="T65" i="4"/>
  <c r="U65" i="4" s="1"/>
  <c r="Z7" i="4"/>
  <c r="AF13" i="4"/>
  <c r="AE45" i="4" s="1"/>
  <c r="AE60" i="4" s="1"/>
  <c r="AF16" i="4"/>
  <c r="AH45" i="4" s="1"/>
  <c r="AG26" i="4"/>
  <c r="AJ47" i="4" s="1"/>
  <c r="AG27" i="4"/>
  <c r="AK47" i="4" s="1"/>
  <c r="AG28" i="4"/>
  <c r="AL47" i="4" s="1"/>
  <c r="AF29" i="4"/>
  <c r="AG47" i="4" s="1"/>
  <c r="T61" i="4"/>
  <c r="AE26" i="4"/>
  <c r="AJ39" i="4" s="1"/>
  <c r="AL39" i="4"/>
  <c r="AG15" i="4"/>
  <c r="AM45" i="4" s="1"/>
  <c r="T17" i="4"/>
  <c r="G59" i="4"/>
  <c r="Z6" i="4"/>
  <c r="AG13" i="4"/>
  <c r="AK45" i="4" s="1"/>
  <c r="AK60" i="4" s="1"/>
  <c r="AD14" i="4"/>
  <c r="AF37" i="4" s="1"/>
  <c r="AG16" i="4"/>
  <c r="AN45" i="4" s="1"/>
  <c r="T22" i="4"/>
  <c r="AF30" i="4"/>
  <c r="AH47" i="4" s="1"/>
  <c r="T38" i="4"/>
  <c r="U38" i="4" s="1"/>
  <c r="T59" i="4"/>
  <c r="U59" i="4" s="1"/>
  <c r="Z66" i="4"/>
  <c r="G71" i="4"/>
  <c r="H71" i="4" s="1"/>
  <c r="T77" i="4"/>
  <c r="U77" i="4" s="1"/>
  <c r="G93" i="4"/>
  <c r="H93" i="4" s="1"/>
  <c r="AF20" i="4"/>
  <c r="AE46" i="4" s="1"/>
  <c r="AE61" i="4" s="1"/>
  <c r="AD12" i="4"/>
  <c r="AD37" i="4" s="1"/>
  <c r="AF14" i="4"/>
  <c r="AF45" i="4" s="1"/>
  <c r="T16" i="4"/>
  <c r="U16" i="4" s="1"/>
  <c r="AG30" i="4"/>
  <c r="AN47" i="4" s="1"/>
  <c r="G66" i="4"/>
  <c r="H66" i="4" s="1"/>
  <c r="G67" i="4"/>
  <c r="T69" i="4"/>
  <c r="U69" i="4" s="1"/>
  <c r="AE13" i="4"/>
  <c r="AK37" i="4" s="1"/>
  <c r="T57" i="4"/>
  <c r="U57" i="4" s="1"/>
  <c r="AF7" i="4"/>
  <c r="AF44" i="4" s="1"/>
  <c r="AL21" i="4" s="1"/>
  <c r="AE12" i="4"/>
  <c r="AJ37" i="4" s="1"/>
  <c r="AD15" i="4"/>
  <c r="AG37" i="4" s="1"/>
  <c r="T18" i="4"/>
  <c r="T6" i="4"/>
  <c r="U6" i="4" s="1"/>
  <c r="AE19" i="4"/>
  <c r="AJ38" i="4" s="1"/>
  <c r="H9" i="4"/>
  <c r="AF12" i="4"/>
  <c r="AD45" i="4" s="1"/>
  <c r="AE15" i="4"/>
  <c r="AM37" i="4" s="1"/>
  <c r="AD27" i="4"/>
  <c r="AE39" i="4" s="1"/>
  <c r="T30" i="4"/>
  <c r="U30" i="4" s="1"/>
  <c r="T34" i="4"/>
  <c r="U34" i="4" s="1"/>
  <c r="T42" i="4"/>
  <c r="U42" i="4" s="1"/>
  <c r="M66" i="4"/>
  <c r="M98" i="4" s="1"/>
  <c r="T68" i="4"/>
  <c r="T75" i="4"/>
  <c r="U75" i="4" s="1"/>
  <c r="T76" i="4"/>
  <c r="U76" i="4" s="1"/>
  <c r="G81" i="4"/>
  <c r="G96" i="4"/>
  <c r="H96" i="4" s="1"/>
  <c r="M14" i="4"/>
  <c r="H16" i="4"/>
  <c r="H18" i="4"/>
  <c r="AD6" i="4"/>
  <c r="AE36" i="4" s="1"/>
  <c r="AE51" i="4" s="1"/>
  <c r="H21" i="4"/>
  <c r="AE9" i="4"/>
  <c r="AN36" i="4" s="1"/>
  <c r="AD8" i="4"/>
  <c r="AG36" i="4" s="1"/>
  <c r="H42" i="4"/>
  <c r="H41" i="4"/>
  <c r="H15" i="4"/>
  <c r="H22" i="4"/>
  <c r="AE6" i="4"/>
  <c r="AK36" i="4" s="1"/>
  <c r="AK51" i="4" s="1"/>
  <c r="H12" i="4"/>
  <c r="D236" i="5"/>
  <c r="D97" i="5"/>
  <c r="D142" i="5"/>
  <c r="D82" i="5"/>
  <c r="D108" i="5"/>
  <c r="AG23" i="4"/>
  <c r="AN46" i="4" s="1"/>
  <c r="AG22" i="4"/>
  <c r="AM46" i="4" s="1"/>
  <c r="AF6" i="4"/>
  <c r="AE44" i="4" s="1"/>
  <c r="H4" i="4"/>
  <c r="M5" i="4"/>
  <c r="AG6" i="4"/>
  <c r="AK44" i="4" s="1"/>
  <c r="AE8" i="4"/>
  <c r="AM36" i="4" s="1"/>
  <c r="Z3" i="4"/>
  <c r="AE5" i="4"/>
  <c r="AJ36" i="4" s="1"/>
  <c r="AF36" i="4"/>
  <c r="AF8" i="4"/>
  <c r="AG44" i="4" s="1"/>
  <c r="AD5" i="4"/>
  <c r="AD36" i="4" s="1"/>
  <c r="M3" i="4"/>
  <c r="AD20" i="4"/>
  <c r="AE38" i="4" s="1"/>
  <c r="AD19" i="4"/>
  <c r="AD38" i="4" s="1"/>
  <c r="AD23" i="4"/>
  <c r="AH38" i="4" s="1"/>
  <c r="AD22" i="4"/>
  <c r="AG38" i="4" s="1"/>
  <c r="AF5" i="4"/>
  <c r="AD44" i="4" s="1"/>
  <c r="AL36" i="4"/>
  <c r="AG8" i="4"/>
  <c r="AM44" i="4" s="1"/>
  <c r="AF19" i="4"/>
  <c r="AD46" i="4" s="1"/>
  <c r="AD9" i="4"/>
  <c r="AH36" i="4" s="1"/>
  <c r="AG19" i="4"/>
  <c r="AJ46" i="4" s="1"/>
  <c r="AD21" i="4"/>
  <c r="AF38" i="4" s="1"/>
  <c r="AE20" i="4"/>
  <c r="AK38" i="4" s="1"/>
  <c r="AE23" i="4"/>
  <c r="AN38" i="4" s="1"/>
  <c r="AE22" i="4"/>
  <c r="AM38" i="4" s="1"/>
  <c r="AL38" i="4"/>
  <c r="AG5" i="4"/>
  <c r="AJ44" i="4" s="1"/>
  <c r="AG7" i="4"/>
  <c r="AL44" i="4" s="1"/>
  <c r="AG21" i="4"/>
  <c r="AL46" i="4" s="1"/>
  <c r="T26" i="4"/>
  <c r="U26" i="4" s="1"/>
  <c r="T3" i="4"/>
  <c r="M4" i="4"/>
  <c r="AF23" i="4"/>
  <c r="AH46" i="4" s="1"/>
  <c r="AF22" i="4"/>
  <c r="AG46" i="4" s="1"/>
  <c r="AF21" i="4"/>
  <c r="AF46" i="4" s="1"/>
  <c r="AG20" i="4"/>
  <c r="AK46" i="4" s="1"/>
  <c r="M97" i="4"/>
  <c r="AD30" i="4"/>
  <c r="AH39" i="4" s="1"/>
  <c r="Z59" i="4"/>
  <c r="AD26" i="4"/>
  <c r="AD39" i="4" s="1"/>
  <c r="AJ59" i="4" l="1"/>
  <c r="H44" i="4"/>
  <c r="G97" i="4"/>
  <c r="Z98" i="4"/>
  <c r="U22" i="4"/>
  <c r="T43" i="4"/>
  <c r="AG62" i="4"/>
  <c r="AD62" i="4"/>
  <c r="AF54" i="4"/>
  <c r="AF62" i="4"/>
  <c r="AJ54" i="4"/>
  <c r="AL62" i="4"/>
  <c r="AH54" i="4"/>
  <c r="AH62" i="4"/>
  <c r="AN60" i="4"/>
  <c r="AM54" i="4"/>
  <c r="AN62" i="4"/>
  <c r="AM62" i="4"/>
  <c r="AH61" i="4"/>
  <c r="H98" i="4"/>
  <c r="AH52" i="4"/>
  <c r="AM52" i="4"/>
  <c r="AF52" i="4"/>
  <c r="AL52" i="4"/>
  <c r="AL59" i="4"/>
  <c r="AG60" i="4"/>
  <c r="AG52" i="4"/>
  <c r="AD52" i="4"/>
  <c r="AG54" i="4"/>
  <c r="AE54" i="4"/>
  <c r="AN54" i="4"/>
  <c r="AD54" i="4"/>
  <c r="AJ60" i="4"/>
  <c r="AL60" i="4"/>
  <c r="AH60" i="4"/>
  <c r="AD60" i="4"/>
  <c r="G98" i="4"/>
  <c r="AJ62" i="4"/>
  <c r="T97" i="4"/>
  <c r="AK62" i="4"/>
  <c r="AM60" i="4"/>
  <c r="H97" i="4"/>
  <c r="AL53" i="4"/>
  <c r="AG59" i="4"/>
  <c r="AF59" i="4"/>
  <c r="AN51" i="4"/>
  <c r="AK52" i="4"/>
  <c r="AL54" i="4"/>
  <c r="AJ52" i="4"/>
  <c r="T98" i="4"/>
  <c r="AF60" i="4"/>
  <c r="AN52" i="4"/>
  <c r="AD61" i="4"/>
  <c r="Z97" i="4"/>
  <c r="AF51" i="4"/>
  <c r="AD51" i="4"/>
  <c r="H43" i="4"/>
  <c r="AH51" i="4"/>
  <c r="AL51" i="4"/>
  <c r="G43" i="4"/>
  <c r="AM51" i="4"/>
  <c r="AJ51" i="4"/>
  <c r="G44" i="4"/>
  <c r="AF53" i="4"/>
  <c r="M44" i="4"/>
  <c r="M43" i="4"/>
  <c r="AM59" i="4"/>
  <c r="AK59" i="4"/>
  <c r="AM61" i="4"/>
  <c r="AE53" i="4"/>
  <c r="AD53" i="4"/>
  <c r="T44" i="4"/>
  <c r="U3" i="4"/>
  <c r="Z44" i="4"/>
  <c r="Z43" i="4"/>
  <c r="AN61" i="4"/>
  <c r="AN59" i="4"/>
  <c r="AK61" i="4"/>
  <c r="AJ61" i="4"/>
  <c r="AL61" i="4"/>
  <c r="AM53" i="4"/>
  <c r="AG51" i="4"/>
  <c r="AF61" i="4"/>
  <c r="AN53" i="4"/>
  <c r="AG53" i="4"/>
  <c r="AE59" i="4"/>
  <c r="AD59" i="4"/>
  <c r="AG61" i="4"/>
  <c r="AK53" i="4"/>
  <c r="AJ53" i="4"/>
  <c r="AH53" i="4"/>
  <c r="U98" i="4"/>
  <c r="U97" i="4"/>
  <c r="AH59" i="4"/>
  <c r="U44" i="4" l="1"/>
  <c r="U43" i="4"/>
  <c r="C62" i="3" l="1"/>
  <c r="S44" i="2"/>
  <c r="C61" i="3"/>
  <c r="C24" i="3" l="1"/>
  <c r="Q71" i="2"/>
  <c r="AF4" i="2"/>
  <c r="AF8" i="2"/>
  <c r="D25" i="3"/>
  <c r="E25" i="3"/>
  <c r="F25" i="3"/>
  <c r="C25" i="3"/>
  <c r="F24" i="3"/>
  <c r="D24" i="3"/>
  <c r="E24" i="3"/>
  <c r="W42" i="2"/>
  <c r="BF10" i="2"/>
  <c r="AI89" i="2" l="1"/>
  <c r="AK89" i="2" s="1"/>
  <c r="AC89" i="2"/>
  <c r="AE89" i="2" s="1"/>
  <c r="AI88" i="2"/>
  <c r="AK88" i="2" s="1"/>
  <c r="AC88" i="2"/>
  <c r="AE88" i="2" s="1"/>
  <c r="AI87" i="2"/>
  <c r="AK87" i="2" s="1"/>
  <c r="AC87" i="2"/>
  <c r="AE87" i="2" s="1"/>
  <c r="AI86" i="2"/>
  <c r="AK86" i="2" s="1"/>
  <c r="AC86" i="2"/>
  <c r="AE86" i="2" s="1"/>
  <c r="AK85" i="2"/>
  <c r="AC85" i="2"/>
  <c r="AE85" i="2" s="1"/>
  <c r="AK84" i="2"/>
  <c r="AD84" i="2"/>
  <c r="AC84" i="2"/>
  <c r="AK83" i="2"/>
  <c r="AC83" i="2"/>
  <c r="AE83" i="2" s="1"/>
  <c r="AK82" i="2"/>
  <c r="AC82" i="2"/>
  <c r="AE82" i="2" s="1"/>
  <c r="AI81" i="2"/>
  <c r="AK81" i="2" s="1"/>
  <c r="AD81" i="2"/>
  <c r="AC81" i="2"/>
  <c r="AI80" i="2"/>
  <c r="AK80" i="2" s="1"/>
  <c r="AC80" i="2"/>
  <c r="AE80" i="2" s="1"/>
  <c r="AK79" i="2"/>
  <c r="AC79" i="2"/>
  <c r="AE79" i="2" s="1"/>
  <c r="AI78" i="2"/>
  <c r="AK78" i="2" s="1"/>
  <c r="AC78" i="2"/>
  <c r="AE78" i="2" s="1"/>
  <c r="AI76" i="2"/>
  <c r="AK76" i="2" s="1"/>
  <c r="AC76" i="2"/>
  <c r="AE76" i="2" s="1"/>
  <c r="AK75" i="2"/>
  <c r="AC75" i="2"/>
  <c r="AE75" i="2" s="1"/>
  <c r="AK74" i="2"/>
  <c r="AC74" i="2"/>
  <c r="AE74" i="2" s="1"/>
  <c r="AK73" i="2"/>
  <c r="AD73" i="2"/>
  <c r="AC73" i="2"/>
  <c r="AK72" i="2"/>
  <c r="AC72" i="2"/>
  <c r="AE72" i="2" s="1"/>
  <c r="AI71" i="2"/>
  <c r="AK71" i="2" s="1"/>
  <c r="AD71" i="2"/>
  <c r="AC71" i="2"/>
  <c r="AJ70" i="2"/>
  <c r="AK70" i="2" s="1"/>
  <c r="AD70" i="2"/>
  <c r="AC70" i="2"/>
  <c r="AK69" i="2"/>
  <c r="AD69" i="2"/>
  <c r="AC69" i="2"/>
  <c r="AK68" i="2"/>
  <c r="AD68" i="2"/>
  <c r="AC68" i="2"/>
  <c r="AI67" i="2"/>
  <c r="AK67" i="2" s="1"/>
  <c r="AC67" i="2"/>
  <c r="AE67" i="2" s="1"/>
  <c r="AI66" i="2"/>
  <c r="AK66" i="2" s="1"/>
  <c r="AC66" i="2"/>
  <c r="AE66" i="2" s="1"/>
  <c r="AK64" i="2"/>
  <c r="AD64" i="2"/>
  <c r="AC64" i="2"/>
  <c r="AK62" i="2"/>
  <c r="AD62" i="2"/>
  <c r="AC62" i="2"/>
  <c r="AK61" i="2"/>
  <c r="AD61" i="2"/>
  <c r="AC61" i="2"/>
  <c r="AK60" i="2"/>
  <c r="AD60" i="2"/>
  <c r="AC60" i="2"/>
  <c r="AJ59" i="2"/>
  <c r="AI59" i="2"/>
  <c r="AD59" i="2"/>
  <c r="AC59" i="2"/>
  <c r="AJ58" i="2"/>
  <c r="AI58" i="2"/>
  <c r="AD58" i="2"/>
  <c r="AC58" i="2"/>
  <c r="AI57" i="2"/>
  <c r="AK57" i="2" s="1"/>
  <c r="AD57" i="2"/>
  <c r="AC57" i="2"/>
  <c r="AI56" i="2"/>
  <c r="AK56" i="2" s="1"/>
  <c r="AD56" i="2"/>
  <c r="AC56" i="2"/>
  <c r="AI54" i="2"/>
  <c r="AK54" i="2" s="1"/>
  <c r="AD54" i="2"/>
  <c r="AC54" i="2"/>
  <c r="AI53" i="2"/>
  <c r="AK53" i="2" s="1"/>
  <c r="AD53" i="2"/>
  <c r="AC53" i="2"/>
  <c r="AJ52" i="2"/>
  <c r="AK52" i="2" s="1"/>
  <c r="AD52" i="2"/>
  <c r="AC52" i="2"/>
  <c r="AJ50" i="2"/>
  <c r="AK50" i="2" s="1"/>
  <c r="AD50" i="2"/>
  <c r="AC50" i="2"/>
  <c r="AJ42" i="2"/>
  <c r="AI42" i="2"/>
  <c r="AD42" i="2"/>
  <c r="AC42" i="2"/>
  <c r="AI41" i="2"/>
  <c r="AK41" i="2" s="1"/>
  <c r="AC41" i="2"/>
  <c r="AE41" i="2" s="1"/>
  <c r="AK40" i="2"/>
  <c r="AC40" i="2"/>
  <c r="AE40" i="2" s="1"/>
  <c r="AK39" i="2"/>
  <c r="AC39" i="2"/>
  <c r="AE39" i="2" s="1"/>
  <c r="AK38" i="2"/>
  <c r="AD38" i="2"/>
  <c r="AC38" i="2"/>
  <c r="AK37" i="2"/>
  <c r="AD37" i="2"/>
  <c r="AC37" i="2"/>
  <c r="AI36" i="2"/>
  <c r="AK36" i="2" s="1"/>
  <c r="AD36" i="2"/>
  <c r="AC36" i="2"/>
  <c r="AK35" i="2"/>
  <c r="AC35" i="2"/>
  <c r="AE35" i="2" s="1"/>
  <c r="AI34" i="2"/>
  <c r="AK34" i="2" s="1"/>
  <c r="AD34" i="2"/>
  <c r="AC34" i="2"/>
  <c r="AJ33" i="2"/>
  <c r="AK33" i="2" s="1"/>
  <c r="AD33" i="2"/>
  <c r="AC33" i="2"/>
  <c r="AK32" i="2"/>
  <c r="AC32" i="2"/>
  <c r="AE32" i="2" s="1"/>
  <c r="AK31" i="2"/>
  <c r="AC31" i="2"/>
  <c r="AE31" i="2" s="1"/>
  <c r="AI30" i="2"/>
  <c r="AK30" i="2" s="1"/>
  <c r="AD30" i="2"/>
  <c r="AC30" i="2"/>
  <c r="AI29" i="2"/>
  <c r="AK29" i="2" s="1"/>
  <c r="AC29" i="2"/>
  <c r="AE29" i="2" s="1"/>
  <c r="AI28" i="2"/>
  <c r="AK28" i="2" s="1"/>
  <c r="AC28" i="2"/>
  <c r="AE28" i="2" s="1"/>
  <c r="AK27" i="2"/>
  <c r="AC27" i="2"/>
  <c r="AE27" i="2" s="1"/>
  <c r="AK26" i="2"/>
  <c r="AD26" i="2"/>
  <c r="AC26" i="2"/>
  <c r="AK25" i="2"/>
  <c r="AC25" i="2"/>
  <c r="AE25" i="2" s="1"/>
  <c r="AK24" i="2"/>
  <c r="AC24" i="2"/>
  <c r="AE24" i="2" s="1"/>
  <c r="AI23" i="2"/>
  <c r="AK23" i="2" s="1"/>
  <c r="AD23" i="2"/>
  <c r="AC23" i="2"/>
  <c r="AK22" i="2"/>
  <c r="AD22" i="2"/>
  <c r="AC22" i="2"/>
  <c r="AK21" i="2"/>
  <c r="AD21" i="2"/>
  <c r="AC21" i="2"/>
  <c r="D72" i="2"/>
  <c r="AK20" i="2"/>
  <c r="AC20" i="2"/>
  <c r="AE20" i="2" s="1"/>
  <c r="AK19" i="2"/>
  <c r="AC19" i="2"/>
  <c r="AE19" i="2" s="1"/>
  <c r="AI18" i="2"/>
  <c r="AK18" i="2" s="1"/>
  <c r="AD18" i="2"/>
  <c r="AC18" i="2"/>
  <c r="AE18" i="2" s="1"/>
  <c r="AK17" i="2"/>
  <c r="AD17" i="2"/>
  <c r="AC17" i="2"/>
  <c r="AK16" i="2"/>
  <c r="AD16" i="2"/>
  <c r="AC16" i="2"/>
  <c r="AK15" i="2"/>
  <c r="AD15" i="2"/>
  <c r="AC15" i="2"/>
  <c r="AK14" i="2"/>
  <c r="AD14" i="2"/>
  <c r="AC14" i="2"/>
  <c r="AI13" i="2"/>
  <c r="AK13" i="2" s="1"/>
  <c r="AD13" i="2"/>
  <c r="AC13" i="2"/>
  <c r="AJ12" i="2"/>
  <c r="AI12" i="2"/>
  <c r="AD12" i="2"/>
  <c r="AC12" i="2"/>
  <c r="AI11" i="2"/>
  <c r="AK11" i="2" s="1"/>
  <c r="AD11" i="2"/>
  <c r="AC11" i="2"/>
  <c r="AI10" i="2"/>
  <c r="AK10" i="2" s="1"/>
  <c r="AD10" i="2"/>
  <c r="AC10" i="2"/>
  <c r="AI9" i="2"/>
  <c r="AK9" i="2" s="1"/>
  <c r="AD9" i="2"/>
  <c r="AC9" i="2"/>
  <c r="AJ7" i="2"/>
  <c r="AI7" i="2"/>
  <c r="AD7" i="2"/>
  <c r="AC7" i="2"/>
  <c r="AJ6" i="2"/>
  <c r="AI6" i="2"/>
  <c r="AD6" i="2"/>
  <c r="AC6" i="2"/>
  <c r="AJ5" i="2"/>
  <c r="AI5" i="2"/>
  <c r="AD5" i="2"/>
  <c r="AC5" i="2"/>
  <c r="AJ3" i="2"/>
  <c r="AI3" i="2"/>
  <c r="AD3" i="2"/>
  <c r="AC3" i="2"/>
  <c r="W89" i="2"/>
  <c r="X89" i="2" s="1"/>
  <c r="Q89" i="2"/>
  <c r="P89" i="2"/>
  <c r="V88" i="2"/>
  <c r="X88" i="2" s="1"/>
  <c r="P88" i="2"/>
  <c r="R88" i="2" s="1"/>
  <c r="V87" i="2"/>
  <c r="X87" i="2" s="1"/>
  <c r="Q87" i="2"/>
  <c r="P87" i="2"/>
  <c r="V86" i="2"/>
  <c r="X86" i="2" s="1"/>
  <c r="Q86" i="2"/>
  <c r="P86" i="2"/>
  <c r="X85" i="2"/>
  <c r="P85" i="2"/>
  <c r="R85" i="2" s="1"/>
  <c r="V84" i="2"/>
  <c r="X84" i="2" s="1"/>
  <c r="P84" i="2"/>
  <c r="R84" i="2" s="1"/>
  <c r="X83" i="2"/>
  <c r="P83" i="2"/>
  <c r="R83" i="2" s="1"/>
  <c r="X82" i="2"/>
  <c r="P82" i="2"/>
  <c r="R82" i="2" s="1"/>
  <c r="V81" i="2"/>
  <c r="X81" i="2" s="1"/>
  <c r="Q81" i="2"/>
  <c r="P81" i="2"/>
  <c r="V80" i="2"/>
  <c r="X80" i="2" s="1"/>
  <c r="Q80" i="2"/>
  <c r="P80" i="2"/>
  <c r="X79" i="2"/>
  <c r="P79" i="2"/>
  <c r="R79" i="2" s="1"/>
  <c r="X78" i="2"/>
  <c r="P78" i="2"/>
  <c r="R78" i="2" s="1"/>
  <c r="V77" i="2"/>
  <c r="X77" i="2" s="1"/>
  <c r="P77" i="2"/>
  <c r="R77" i="2" s="1"/>
  <c r="V76" i="2"/>
  <c r="X76" i="2" s="1"/>
  <c r="P76" i="2"/>
  <c r="R76" i="2" s="1"/>
  <c r="X75" i="2"/>
  <c r="P75" i="2"/>
  <c r="R75" i="2" s="1"/>
  <c r="X74" i="2"/>
  <c r="Q74" i="2"/>
  <c r="P74" i="2"/>
  <c r="X73" i="2"/>
  <c r="Q73" i="2"/>
  <c r="P73" i="2"/>
  <c r="X72" i="2"/>
  <c r="P72" i="2"/>
  <c r="R72" i="2" s="1"/>
  <c r="V71" i="2"/>
  <c r="X71" i="2" s="1"/>
  <c r="P71" i="2"/>
  <c r="V70" i="2"/>
  <c r="X70" i="2" s="1"/>
  <c r="P70" i="2"/>
  <c r="R70" i="2" s="1"/>
  <c r="X69" i="2"/>
  <c r="Q69" i="2"/>
  <c r="P69" i="2"/>
  <c r="X68" i="2"/>
  <c r="Q68" i="2"/>
  <c r="P68" i="2"/>
  <c r="X67" i="2"/>
  <c r="P67" i="2"/>
  <c r="R67" i="2" s="1"/>
  <c r="V66" i="2"/>
  <c r="X66" i="2" s="1"/>
  <c r="P66" i="2"/>
  <c r="R66" i="2" s="1"/>
  <c r="X65" i="2"/>
  <c r="Q65" i="2"/>
  <c r="P65" i="2"/>
  <c r="W64" i="2"/>
  <c r="X64" i="2" s="1"/>
  <c r="Q64" i="2"/>
  <c r="P64" i="2"/>
  <c r="X63" i="2"/>
  <c r="Q63" i="2"/>
  <c r="P63" i="2"/>
  <c r="V62" i="2"/>
  <c r="X62" i="2" s="1"/>
  <c r="Q62" i="2"/>
  <c r="P62" i="2"/>
  <c r="X61" i="2"/>
  <c r="Q61" i="2"/>
  <c r="P61" i="2"/>
  <c r="V60" i="2"/>
  <c r="X60" i="2" s="1"/>
  <c r="Q60" i="2"/>
  <c r="P60" i="2"/>
  <c r="W59" i="2"/>
  <c r="V59" i="2"/>
  <c r="Q59" i="2"/>
  <c r="P59" i="2"/>
  <c r="X58" i="2"/>
  <c r="Q58" i="2"/>
  <c r="P58" i="2"/>
  <c r="V57" i="2"/>
  <c r="X57" i="2" s="1"/>
  <c r="Q57" i="2"/>
  <c r="P57" i="2"/>
  <c r="X56" i="2"/>
  <c r="Q56" i="2"/>
  <c r="P56" i="2"/>
  <c r="V54" i="2"/>
  <c r="X54" i="2" s="1"/>
  <c r="Q54" i="2"/>
  <c r="P54" i="2"/>
  <c r="R54" i="2" s="1"/>
  <c r="X53" i="2"/>
  <c r="Q53" i="2"/>
  <c r="P53" i="2"/>
  <c r="W52" i="2"/>
  <c r="X52" i="2" s="1"/>
  <c r="Q52" i="2"/>
  <c r="P52" i="2"/>
  <c r="W51" i="2"/>
  <c r="V51" i="2"/>
  <c r="Q51" i="2"/>
  <c r="P51" i="2"/>
  <c r="V50" i="2"/>
  <c r="X50" i="2" s="1"/>
  <c r="Q50" i="2"/>
  <c r="P50" i="2"/>
  <c r="X42" i="2"/>
  <c r="Q42" i="2"/>
  <c r="P42" i="2"/>
  <c r="V41" i="2"/>
  <c r="X41" i="2" s="1"/>
  <c r="Q41" i="2"/>
  <c r="P41" i="2"/>
  <c r="V40" i="2"/>
  <c r="X40" i="2" s="1"/>
  <c r="P40" i="2"/>
  <c r="R40" i="2" s="1"/>
  <c r="V39" i="2"/>
  <c r="X39" i="2" s="1"/>
  <c r="P39" i="2"/>
  <c r="R39" i="2" s="1"/>
  <c r="V38" i="2"/>
  <c r="X38" i="2" s="1"/>
  <c r="P38" i="2"/>
  <c r="R38" i="2" s="1"/>
  <c r="V37" i="2"/>
  <c r="X37" i="2" s="1"/>
  <c r="P37" i="2"/>
  <c r="R37" i="2" s="1"/>
  <c r="X36" i="2"/>
  <c r="P36" i="2"/>
  <c r="R36" i="2" s="1"/>
  <c r="V35" i="2"/>
  <c r="X35" i="2" s="1"/>
  <c r="P35" i="2"/>
  <c r="R35" i="2" s="1"/>
  <c r="W34" i="2"/>
  <c r="V34" i="2"/>
  <c r="Q34" i="2"/>
  <c r="P34" i="2"/>
  <c r="V33" i="2"/>
  <c r="X33" i="2" s="1"/>
  <c r="P33" i="2"/>
  <c r="R33" i="2" s="1"/>
  <c r="X32" i="2"/>
  <c r="P32" i="2"/>
  <c r="R32" i="2" s="1"/>
  <c r="X31" i="2"/>
  <c r="P31" i="2"/>
  <c r="R31" i="2" s="1"/>
  <c r="V30" i="2"/>
  <c r="X30" i="2" s="1"/>
  <c r="P30" i="2"/>
  <c r="R30" i="2" s="1"/>
  <c r="V29" i="2"/>
  <c r="X29" i="2" s="1"/>
  <c r="P29" i="2"/>
  <c r="R29" i="2" s="1"/>
  <c r="X28" i="2"/>
  <c r="P28" i="2"/>
  <c r="R28" i="2" s="1"/>
  <c r="V27" i="2"/>
  <c r="X27" i="2" s="1"/>
  <c r="P27" i="2"/>
  <c r="R27" i="2" s="1"/>
  <c r="X26" i="2"/>
  <c r="P26" i="2"/>
  <c r="R26" i="2" s="1"/>
  <c r="X25" i="2"/>
  <c r="P25" i="2"/>
  <c r="R25" i="2" s="1"/>
  <c r="X24" i="2"/>
  <c r="P24" i="2"/>
  <c r="R24" i="2" s="1"/>
  <c r="X23" i="2"/>
  <c r="P23" i="2"/>
  <c r="R23" i="2" s="1"/>
  <c r="X22" i="2"/>
  <c r="Q22" i="2"/>
  <c r="P22" i="2"/>
  <c r="V21" i="2"/>
  <c r="X21" i="2" s="1"/>
  <c r="Q21" i="2"/>
  <c r="P21" i="2"/>
  <c r="V20" i="2"/>
  <c r="X20" i="2" s="1"/>
  <c r="P20" i="2"/>
  <c r="R20" i="2" s="1"/>
  <c r="V19" i="2"/>
  <c r="X19" i="2" s="1"/>
  <c r="P19" i="2"/>
  <c r="R19" i="2" s="1"/>
  <c r="X18" i="2"/>
  <c r="Q18" i="2"/>
  <c r="P18" i="2"/>
  <c r="V17" i="2"/>
  <c r="X17" i="2" s="1"/>
  <c r="Q17" i="2"/>
  <c r="P17" i="2"/>
  <c r="V16" i="2"/>
  <c r="X16" i="2" s="1"/>
  <c r="Q16" i="2"/>
  <c r="P16" i="2"/>
  <c r="V15" i="2"/>
  <c r="X15" i="2" s="1"/>
  <c r="Q15" i="2"/>
  <c r="P15" i="2"/>
  <c r="W14" i="2"/>
  <c r="V14" i="2"/>
  <c r="Q14" i="2"/>
  <c r="P14" i="2"/>
  <c r="V13" i="2"/>
  <c r="X13" i="2" s="1"/>
  <c r="Q13" i="2"/>
  <c r="P13" i="2"/>
  <c r="X12" i="2"/>
  <c r="Q12" i="2"/>
  <c r="P12" i="2"/>
  <c r="V11" i="2"/>
  <c r="X11" i="2" s="1"/>
  <c r="Q11" i="2"/>
  <c r="P11" i="2"/>
  <c r="X10" i="2"/>
  <c r="Q10" i="2"/>
  <c r="P10" i="2"/>
  <c r="V9" i="2"/>
  <c r="X9" i="2" s="1"/>
  <c r="Q9" i="2"/>
  <c r="P9" i="2"/>
  <c r="X8" i="2"/>
  <c r="Q8" i="2"/>
  <c r="P8" i="2"/>
  <c r="X7" i="2"/>
  <c r="Q7" i="2"/>
  <c r="P7" i="2"/>
  <c r="X6" i="2"/>
  <c r="Q6" i="2"/>
  <c r="P6" i="2"/>
  <c r="V5" i="2"/>
  <c r="X5" i="2" s="1"/>
  <c r="Q5" i="2"/>
  <c r="P5" i="2"/>
  <c r="W4" i="2"/>
  <c r="AR5" i="2" s="1"/>
  <c r="AU44" i="2" s="1"/>
  <c r="V4" i="2"/>
  <c r="Q4" i="2"/>
  <c r="P4" i="2"/>
  <c r="V3" i="2"/>
  <c r="X3" i="2" s="1"/>
  <c r="Q3" i="2"/>
  <c r="P3" i="2"/>
  <c r="AO6" i="2" s="1"/>
  <c r="AP36" i="2" s="1"/>
  <c r="AO23" i="2" l="1"/>
  <c r="AS38" i="2" s="1"/>
  <c r="AP7" i="2"/>
  <c r="AW36" i="2" s="1"/>
  <c r="AP21" i="2"/>
  <c r="AW38" i="2" s="1"/>
  <c r="AQ23" i="2"/>
  <c r="AS46" i="2" s="1"/>
  <c r="AR23" i="2"/>
  <c r="AY46" i="2" s="1"/>
  <c r="AO8" i="2"/>
  <c r="AR36" i="2" s="1"/>
  <c r="AR9" i="2"/>
  <c r="AY44" i="2" s="1"/>
  <c r="AO19" i="2"/>
  <c r="AO38" i="2" s="1"/>
  <c r="AP23" i="2"/>
  <c r="AY38" i="2" s="1"/>
  <c r="AP51" i="2"/>
  <c r="AR22" i="2"/>
  <c r="AX46" i="2" s="1"/>
  <c r="R7" i="2"/>
  <c r="AO28" i="2"/>
  <c r="AQ39" i="2" s="1"/>
  <c r="AO9" i="2"/>
  <c r="AS36" i="2" s="1"/>
  <c r="AP8" i="2"/>
  <c r="AX36" i="2" s="1"/>
  <c r="AX51" i="2" s="1"/>
  <c r="AO20" i="2"/>
  <c r="AP38" i="2" s="1"/>
  <c r="AP19" i="2"/>
  <c r="AU38" i="2" s="1"/>
  <c r="AR21" i="2"/>
  <c r="AW46" i="2" s="1"/>
  <c r="AR15" i="2"/>
  <c r="AX45" i="2" s="1"/>
  <c r="AP26" i="2"/>
  <c r="AU39" i="2" s="1"/>
  <c r="AQ7" i="2"/>
  <c r="AQ44" i="2" s="1"/>
  <c r="AU24" i="2" s="1"/>
  <c r="AP6" i="2"/>
  <c r="AV36" i="2" s="1"/>
  <c r="AO21" i="2"/>
  <c r="AQ38" i="2" s="1"/>
  <c r="AQ19" i="2"/>
  <c r="AO46" i="2" s="1"/>
  <c r="AR20" i="2"/>
  <c r="AV46" i="2" s="1"/>
  <c r="AO16" i="2"/>
  <c r="AS37" i="2" s="1"/>
  <c r="AQ8" i="2"/>
  <c r="AR44" i="2" s="1"/>
  <c r="AP5" i="2"/>
  <c r="AU36" i="2" s="1"/>
  <c r="AO22" i="2"/>
  <c r="AR38" i="2" s="1"/>
  <c r="AQ20" i="2"/>
  <c r="AP46" i="2" s="1"/>
  <c r="AR19" i="2"/>
  <c r="AU46" i="2" s="1"/>
  <c r="AO12" i="2"/>
  <c r="AO37" i="2" s="1"/>
  <c r="AQ5" i="2"/>
  <c r="AO44" i="2" s="1"/>
  <c r="AQ9" i="2"/>
  <c r="AS44" i="2" s="1"/>
  <c r="AP9" i="2"/>
  <c r="AY36" i="2" s="1"/>
  <c r="AQ21" i="2"/>
  <c r="AQ46" i="2" s="1"/>
  <c r="AU26" i="2" s="1"/>
  <c r="AP29" i="2"/>
  <c r="AX39" i="2" s="1"/>
  <c r="R11" i="2"/>
  <c r="AE14" i="2"/>
  <c r="AO29" i="2"/>
  <c r="AR39" i="2" s="1"/>
  <c r="AR54" i="2" s="1"/>
  <c r="AQ27" i="2"/>
  <c r="AP47" i="2" s="1"/>
  <c r="AP62" i="2" s="1"/>
  <c r="AQ6" i="2"/>
  <c r="AP44" i="2" s="1"/>
  <c r="AR8" i="2"/>
  <c r="AX44" i="2" s="1"/>
  <c r="AP22" i="2"/>
  <c r="AX38" i="2" s="1"/>
  <c r="AX53" i="2" s="1"/>
  <c r="AQ22" i="2"/>
  <c r="AR46" i="2" s="1"/>
  <c r="AR61" i="2" s="1"/>
  <c r="AR29" i="2"/>
  <c r="AX47" i="2" s="1"/>
  <c r="AR6" i="2"/>
  <c r="AV44" i="2" s="1"/>
  <c r="AV59" i="2" s="1"/>
  <c r="AR7" i="2"/>
  <c r="AW44" i="2" s="1"/>
  <c r="AP20" i="2"/>
  <c r="AV38" i="2" s="1"/>
  <c r="AO5" i="2"/>
  <c r="AO36" i="2" s="1"/>
  <c r="AO51" i="2" s="1"/>
  <c r="AO7" i="2"/>
  <c r="AQ36" i="2" s="1"/>
  <c r="AQ51" i="2" s="1"/>
  <c r="AQ16" i="2"/>
  <c r="AS45" i="2" s="1"/>
  <c r="AP12" i="2"/>
  <c r="AU37" i="2" s="1"/>
  <c r="AX60" i="2"/>
  <c r="AP15" i="2"/>
  <c r="AX37" i="2" s="1"/>
  <c r="AR14" i="2"/>
  <c r="AW45" i="2" s="1"/>
  <c r="AO14" i="2"/>
  <c r="AQ37" i="2" s="1"/>
  <c r="AQ12" i="2"/>
  <c r="AO45" i="2" s="1"/>
  <c r="AR13" i="2"/>
  <c r="AV45" i="2" s="1"/>
  <c r="AO30" i="2"/>
  <c r="AS39" i="2" s="1"/>
  <c r="AQ28" i="2"/>
  <c r="AQ47" i="2" s="1"/>
  <c r="AO13" i="2"/>
  <c r="AP37" i="2" s="1"/>
  <c r="AO15" i="2"/>
  <c r="AR37" i="2" s="1"/>
  <c r="AQ13" i="2"/>
  <c r="AP45" i="2" s="1"/>
  <c r="AR12" i="2"/>
  <c r="AU45" i="2" s="1"/>
  <c r="AP30" i="2"/>
  <c r="AY39" i="2" s="1"/>
  <c r="AQ29" i="2"/>
  <c r="AR47" i="2" s="1"/>
  <c r="AQ30" i="2"/>
  <c r="AS47" i="2" s="1"/>
  <c r="AO26" i="2"/>
  <c r="AO39" i="2" s="1"/>
  <c r="AQ14" i="2"/>
  <c r="AQ45" i="2" s="1"/>
  <c r="AP16" i="2"/>
  <c r="AY37" i="2" s="1"/>
  <c r="AQ15" i="2"/>
  <c r="AR45" i="2" s="1"/>
  <c r="AS60" i="2" s="1"/>
  <c r="AP28" i="2"/>
  <c r="AW39" i="2" s="1"/>
  <c r="AR30" i="2"/>
  <c r="AY47" i="2" s="1"/>
  <c r="AO27" i="2"/>
  <c r="AP39" i="2" s="1"/>
  <c r="AQ54" i="2" s="1"/>
  <c r="AP27" i="2"/>
  <c r="AV39" i="2" s="1"/>
  <c r="AR28" i="2"/>
  <c r="AW47" i="2" s="1"/>
  <c r="AP14" i="2"/>
  <c r="AW37" i="2" s="1"/>
  <c r="AP13" i="2"/>
  <c r="AV37" i="2" s="1"/>
  <c r="AR16" i="2"/>
  <c r="AY45" i="2" s="1"/>
  <c r="AY60" i="2" s="1"/>
  <c r="AR27" i="2"/>
  <c r="AV47" i="2" s="1"/>
  <c r="AQ26" i="2"/>
  <c r="AO47" i="2" s="1"/>
  <c r="AR26" i="2"/>
  <c r="AU47" i="2" s="1"/>
  <c r="AE42" i="2"/>
  <c r="AF42" i="2" s="1"/>
  <c r="AE56" i="2"/>
  <c r="AF56" i="2" s="1"/>
  <c r="X34" i="2"/>
  <c r="R4" i="2"/>
  <c r="S4" i="2" s="1"/>
  <c r="R9" i="2"/>
  <c r="S9" i="2" s="1"/>
  <c r="R51" i="2"/>
  <c r="S51" i="2" s="1"/>
  <c r="R57" i="2"/>
  <c r="S57" i="2" s="1"/>
  <c r="X59" i="2"/>
  <c r="R62" i="2"/>
  <c r="S62" i="2" s="1"/>
  <c r="R71" i="2"/>
  <c r="S71" i="2" s="1"/>
  <c r="R74" i="2"/>
  <c r="AK3" i="2"/>
  <c r="AK6" i="2"/>
  <c r="AE23" i="2"/>
  <c r="AF23" i="2" s="1"/>
  <c r="AE30" i="2"/>
  <c r="AF30" i="2" s="1"/>
  <c r="AK42" i="2"/>
  <c r="AE53" i="2"/>
  <c r="AF53" i="2" s="1"/>
  <c r="R6" i="2"/>
  <c r="R14" i="2"/>
  <c r="AE61" i="2"/>
  <c r="AE13" i="2"/>
  <c r="AE54" i="2"/>
  <c r="R8" i="2"/>
  <c r="R61" i="2"/>
  <c r="AE64" i="2"/>
  <c r="AE71" i="2"/>
  <c r="AF71" i="2" s="1"/>
  <c r="R41" i="2"/>
  <c r="S41" i="2" s="1"/>
  <c r="AE26" i="2"/>
  <c r="AF26" i="2" s="1"/>
  <c r="AE33" i="2"/>
  <c r="AF33" i="2" s="1"/>
  <c r="AE36" i="2"/>
  <c r="AF36" i="2" s="1"/>
  <c r="X4" i="2"/>
  <c r="X43" i="2" s="1"/>
  <c r="R42" i="2"/>
  <c r="S42" i="2" s="1"/>
  <c r="AE5" i="2"/>
  <c r="AF5" i="2" s="1"/>
  <c r="AE7" i="2"/>
  <c r="AF7" i="2" s="1"/>
  <c r="AE21" i="2"/>
  <c r="AF21" i="2" s="1"/>
  <c r="AE34" i="2"/>
  <c r="AF34" i="2" s="1"/>
  <c r="AK59" i="2"/>
  <c r="AE70" i="2"/>
  <c r="AF70" i="2" s="1"/>
  <c r="AE52" i="2"/>
  <c r="AF52" i="2" s="1"/>
  <c r="AE10" i="2"/>
  <c r="AE57" i="2"/>
  <c r="R5" i="2"/>
  <c r="R13" i="2"/>
  <c r="AK7" i="2"/>
  <c r="AE11" i="2"/>
  <c r="AF11" i="2" s="1"/>
  <c r="AE16" i="2"/>
  <c r="AF16" i="2" s="1"/>
  <c r="AE60" i="2"/>
  <c r="AE9" i="2"/>
  <c r="AF9" i="2" s="1"/>
  <c r="AE37" i="2"/>
  <c r="AF37" i="2" s="1"/>
  <c r="AE62" i="2"/>
  <c r="AF62" i="2" s="1"/>
  <c r="AE81" i="2"/>
  <c r="R50" i="2"/>
  <c r="R80" i="2"/>
  <c r="S80" i="2" s="1"/>
  <c r="AE38" i="2"/>
  <c r="AF38" i="2" s="1"/>
  <c r="AE68" i="2"/>
  <c r="AF68" i="2" s="1"/>
  <c r="AE12" i="2"/>
  <c r="AF12" i="2" s="1"/>
  <c r="AE17" i="2"/>
  <c r="AK12" i="2"/>
  <c r="AE15" i="2"/>
  <c r="AF15" i="2" s="1"/>
  <c r="AE58" i="2"/>
  <c r="AF58" i="2" s="1"/>
  <c r="AE73" i="2"/>
  <c r="AF73" i="2" s="1"/>
  <c r="AE84" i="2"/>
  <c r="AF84" i="2" s="1"/>
  <c r="AK5" i="2"/>
  <c r="AK58" i="2"/>
  <c r="AE3" i="2"/>
  <c r="AF3" i="2" s="1"/>
  <c r="AE6" i="2"/>
  <c r="AF6" i="2" s="1"/>
  <c r="AE22" i="2"/>
  <c r="AF22" i="2" s="1"/>
  <c r="AE50" i="2"/>
  <c r="AF50" i="2" s="1"/>
  <c r="AE59" i="2"/>
  <c r="AF59" i="2" s="1"/>
  <c r="AE69" i="2"/>
  <c r="AF69" i="2" s="1"/>
  <c r="R18" i="2"/>
  <c r="S18" i="2" s="1"/>
  <c r="R22" i="2"/>
  <c r="S22" i="2" s="1"/>
  <c r="R69" i="2"/>
  <c r="S69" i="2" s="1"/>
  <c r="R86" i="2"/>
  <c r="S86" i="2" s="1"/>
  <c r="R89" i="2"/>
  <c r="S89" i="2" s="1"/>
  <c r="X14" i="2"/>
  <c r="R73" i="2"/>
  <c r="R16" i="2"/>
  <c r="S16" i="2" s="1"/>
  <c r="X51" i="2"/>
  <c r="R65" i="2"/>
  <c r="S65" i="2" s="1"/>
  <c r="R68" i="2"/>
  <c r="S68" i="2" s="1"/>
  <c r="R12" i="2"/>
  <c r="S12" i="2" s="1"/>
  <c r="R34" i="2"/>
  <c r="S34" i="2" s="1"/>
  <c r="R58" i="2"/>
  <c r="S58" i="2" s="1"/>
  <c r="R60" i="2"/>
  <c r="R63" i="2"/>
  <c r="S63" i="2" s="1"/>
  <c r="R52" i="2"/>
  <c r="R3" i="2"/>
  <c r="R10" i="2"/>
  <c r="S10" i="2" s="1"/>
  <c r="R17" i="2"/>
  <c r="R56" i="2"/>
  <c r="S56" i="2" s="1"/>
  <c r="R15" i="2"/>
  <c r="S15" i="2" s="1"/>
  <c r="R21" i="2"/>
  <c r="S21" i="2" s="1"/>
  <c r="R53" i="2"/>
  <c r="S53" i="2" s="1"/>
  <c r="R59" i="2"/>
  <c r="S59" i="2" s="1"/>
  <c r="R64" i="2"/>
  <c r="S64" i="2" s="1"/>
  <c r="R81" i="2"/>
  <c r="S81" i="2" s="1"/>
  <c r="R87" i="2"/>
  <c r="S87" i="2" s="1"/>
  <c r="AQ62" i="2" l="1"/>
  <c r="AU27" i="2"/>
  <c r="AF90" i="2"/>
  <c r="AF91" i="2"/>
  <c r="AS51" i="2"/>
  <c r="AQ60" i="2"/>
  <c r="AU25" i="2"/>
  <c r="AF43" i="2"/>
  <c r="AF44" i="2"/>
  <c r="S90" i="2"/>
  <c r="S91" i="2"/>
  <c r="AW53" i="2"/>
  <c r="AW59" i="2"/>
  <c r="AU59" i="2"/>
  <c r="AK91" i="2"/>
  <c r="AR53" i="2"/>
  <c r="AS59" i="2"/>
  <c r="AS54" i="2"/>
  <c r="X90" i="2"/>
  <c r="AO62" i="2"/>
  <c r="S43" i="2"/>
  <c r="AR59" i="2"/>
  <c r="AX61" i="2"/>
  <c r="AY61" i="2"/>
  <c r="AW52" i="2"/>
  <c r="AV61" i="2"/>
  <c r="AU61" i="2"/>
  <c r="AO53" i="2"/>
  <c r="AP53" i="2"/>
  <c r="AE43" i="2"/>
  <c r="AE44" i="2"/>
  <c r="AQ53" i="2"/>
  <c r="R43" i="2"/>
  <c r="R44" i="2"/>
  <c r="AR62" i="2"/>
  <c r="AV53" i="2"/>
  <c r="AU53" i="2"/>
  <c r="AX59" i="2"/>
  <c r="AY51" i="2"/>
  <c r="AU51" i="2"/>
  <c r="AV51" i="2"/>
  <c r="AW51" i="2"/>
  <c r="X44" i="2"/>
  <c r="AY54" i="2"/>
  <c r="AP59" i="2"/>
  <c r="AO59" i="2"/>
  <c r="AQ59" i="2"/>
  <c r="AR51" i="2"/>
  <c r="AY62" i="2"/>
  <c r="AW54" i="2"/>
  <c r="AK90" i="2"/>
  <c r="AY53" i="2"/>
  <c r="AO61" i="2"/>
  <c r="AP61" i="2"/>
  <c r="AQ61" i="2"/>
  <c r="X91" i="2"/>
  <c r="AS61" i="2"/>
  <c r="AE90" i="2"/>
  <c r="AE91" i="2"/>
  <c r="AK43" i="2"/>
  <c r="AK44" i="2"/>
  <c r="AY59" i="2"/>
  <c r="AW61" i="2"/>
  <c r="AS53" i="2"/>
  <c r="AY52" i="2"/>
  <c r="R90" i="2"/>
  <c r="R91" i="2"/>
  <c r="AP52" i="2"/>
  <c r="AO52" i="2"/>
  <c r="AW62" i="2"/>
  <c r="AU54" i="2"/>
  <c r="AV54" i="2"/>
  <c r="AS62" i="2"/>
  <c r="AX54" i="2"/>
  <c r="AU60" i="2"/>
  <c r="AV60" i="2"/>
  <c r="AP54" i="2"/>
  <c r="AO54" i="2"/>
  <c r="AX62" i="2"/>
  <c r="AQ52" i="2"/>
  <c r="AR60" i="2"/>
  <c r="AP60" i="2"/>
  <c r="AO60" i="2"/>
  <c r="AW60" i="2"/>
  <c r="AV62" i="2"/>
  <c r="AU62" i="2"/>
  <c r="AU52" i="2"/>
  <c r="AV52" i="2"/>
  <c r="AR52" i="2"/>
  <c r="AX52" i="2"/>
  <c r="AS52" i="2"/>
  <c r="D69" i="2"/>
  <c r="E58" i="2"/>
  <c r="E57" i="2"/>
  <c r="E56" i="2"/>
  <c r="E52" i="2"/>
  <c r="E44" i="2"/>
  <c r="E43" i="2"/>
  <c r="E42" i="2"/>
  <c r="E41" i="2"/>
  <c r="E40" i="2"/>
  <c r="E39" i="2"/>
  <c r="E38" i="2"/>
  <c r="E37" i="2"/>
  <c r="E29" i="2"/>
  <c r="E28" i="2"/>
  <c r="E26" i="2"/>
  <c r="E20" i="2"/>
  <c r="E18" i="2"/>
  <c r="E17" i="2"/>
  <c r="E16" i="2"/>
  <c r="E10" i="2"/>
  <c r="E9" i="2"/>
  <c r="E8" i="2"/>
  <c r="D109" i="2"/>
  <c r="D108" i="2"/>
  <c r="D86" i="2"/>
  <c r="D87" i="2"/>
  <c r="F87" i="2" s="1"/>
  <c r="D85" i="2"/>
  <c r="F85" i="2" s="1"/>
  <c r="E2" i="2"/>
  <c r="J3" i="2"/>
  <c r="J5" i="2"/>
  <c r="J6" i="2"/>
  <c r="J7" i="2"/>
  <c r="J10" i="2"/>
  <c r="K10" i="2" s="1"/>
  <c r="J12" i="2"/>
  <c r="J13" i="2"/>
  <c r="J14" i="2"/>
  <c r="J19" i="2"/>
  <c r="J32" i="2"/>
  <c r="J34" i="2"/>
  <c r="J35" i="2"/>
  <c r="J36" i="2"/>
  <c r="J38" i="2"/>
  <c r="J54" i="2"/>
  <c r="K54" i="2" s="1"/>
  <c r="J81" i="2"/>
  <c r="J115" i="2"/>
  <c r="J118" i="2"/>
  <c r="J147" i="2"/>
  <c r="J149" i="2"/>
  <c r="K149" i="2" s="1"/>
  <c r="J151" i="2"/>
  <c r="I57" i="2"/>
  <c r="I59" i="2"/>
  <c r="I60" i="2"/>
  <c r="I61" i="2"/>
  <c r="I65" i="2"/>
  <c r="I66" i="2"/>
  <c r="I67" i="2"/>
  <c r="I77" i="2"/>
  <c r="I78" i="2"/>
  <c r="I79" i="2"/>
  <c r="I82" i="2"/>
  <c r="I91" i="2"/>
  <c r="I96" i="2"/>
  <c r="I99" i="2"/>
  <c r="I100" i="2"/>
  <c r="I101" i="2"/>
  <c r="I102" i="2"/>
  <c r="I103" i="2"/>
  <c r="I104" i="2"/>
  <c r="I105" i="2"/>
  <c r="I112" i="2"/>
  <c r="I114" i="2"/>
  <c r="I115" i="2"/>
  <c r="I116" i="2"/>
  <c r="I117" i="2"/>
  <c r="K117" i="2" s="1"/>
  <c r="I119" i="2"/>
  <c r="I120" i="2"/>
  <c r="I121" i="2"/>
  <c r="I122" i="2"/>
  <c r="I127" i="2"/>
  <c r="I130" i="2"/>
  <c r="I131" i="2"/>
  <c r="I132" i="2"/>
  <c r="K134" i="2"/>
  <c r="I138" i="2"/>
  <c r="I139" i="2"/>
  <c r="I140" i="2"/>
  <c r="I141" i="2"/>
  <c r="K141" i="2" s="1"/>
  <c r="K142" i="2"/>
  <c r="I144" i="2"/>
  <c r="I145" i="2"/>
  <c r="I146" i="2"/>
  <c r="I148" i="2"/>
  <c r="I150" i="2"/>
  <c r="K150" i="2" s="1"/>
  <c r="I151" i="2"/>
  <c r="I152" i="2"/>
  <c r="I153" i="2"/>
  <c r="I34" i="2"/>
  <c r="I35" i="2"/>
  <c r="I36" i="2"/>
  <c r="I37" i="2"/>
  <c r="K37" i="2" s="1"/>
  <c r="I38" i="2"/>
  <c r="I39" i="2"/>
  <c r="K39" i="2" s="1"/>
  <c r="I41" i="2"/>
  <c r="I45" i="2"/>
  <c r="K45" i="2" s="1"/>
  <c r="I46" i="2"/>
  <c r="K46" i="2" s="1"/>
  <c r="I47" i="2"/>
  <c r="K47" i="2" s="1"/>
  <c r="K50" i="2"/>
  <c r="I52" i="2"/>
  <c r="K53" i="2"/>
  <c r="I3" i="2"/>
  <c r="I4" i="2"/>
  <c r="I5" i="2"/>
  <c r="I6" i="2"/>
  <c r="I8" i="2"/>
  <c r="K8" i="2" s="1"/>
  <c r="I12" i="2"/>
  <c r="I13" i="2"/>
  <c r="I15" i="2"/>
  <c r="K16" i="2"/>
  <c r="I18" i="2"/>
  <c r="K18" i="2" s="1"/>
  <c r="I19" i="2"/>
  <c r="I20" i="2"/>
  <c r="I21" i="2"/>
  <c r="I24" i="2"/>
  <c r="K24" i="2" s="1"/>
  <c r="I25" i="2"/>
  <c r="I26" i="2"/>
  <c r="K26" i="2" s="1"/>
  <c r="I27" i="2"/>
  <c r="I28" i="2"/>
  <c r="I29" i="2"/>
  <c r="I32" i="2"/>
  <c r="I33" i="2"/>
  <c r="I2" i="2"/>
  <c r="E15" i="2"/>
  <c r="E19" i="2"/>
  <c r="E21" i="2"/>
  <c r="E22" i="2"/>
  <c r="E23" i="2"/>
  <c r="E24" i="2"/>
  <c r="E25" i="2"/>
  <c r="E27" i="2"/>
  <c r="E30" i="2"/>
  <c r="E31" i="2"/>
  <c r="E32" i="2"/>
  <c r="E33" i="2"/>
  <c r="E34" i="2"/>
  <c r="E35" i="2"/>
  <c r="E36" i="2"/>
  <c r="E45" i="2"/>
  <c r="E46" i="2"/>
  <c r="E47" i="2"/>
  <c r="E48" i="2"/>
  <c r="E49" i="2"/>
  <c r="E50" i="2"/>
  <c r="E51" i="2"/>
  <c r="E53" i="2"/>
  <c r="E54" i="2"/>
  <c r="E55" i="2"/>
  <c r="E67" i="2"/>
  <c r="E68" i="2"/>
  <c r="E69" i="2"/>
  <c r="E70" i="2"/>
  <c r="E71" i="2"/>
  <c r="E72" i="2"/>
  <c r="F72" i="2" s="1"/>
  <c r="E73" i="2"/>
  <c r="E74" i="2"/>
  <c r="E78" i="2"/>
  <c r="E79" i="2"/>
  <c r="E81" i="2"/>
  <c r="E82" i="2"/>
  <c r="E86" i="2"/>
  <c r="E88" i="2"/>
  <c r="E90" i="2"/>
  <c r="E93" i="2"/>
  <c r="E104" i="2"/>
  <c r="F108" i="2"/>
  <c r="E115" i="2"/>
  <c r="E116" i="2"/>
  <c r="E117" i="2"/>
  <c r="E118" i="2"/>
  <c r="E119" i="2"/>
  <c r="E121" i="2"/>
  <c r="E127" i="2"/>
  <c r="E134" i="2"/>
  <c r="E135" i="2"/>
  <c r="E136" i="2"/>
  <c r="E140" i="2"/>
  <c r="E141" i="2"/>
  <c r="E146" i="2"/>
  <c r="E147" i="2"/>
  <c r="E149" i="2"/>
  <c r="E151" i="2"/>
  <c r="E14" i="2"/>
  <c r="D14" i="2"/>
  <c r="D3" i="2"/>
  <c r="E3" i="2"/>
  <c r="D4" i="2"/>
  <c r="E4" i="2"/>
  <c r="D5" i="2"/>
  <c r="E5" i="2"/>
  <c r="D6" i="2"/>
  <c r="E6" i="2"/>
  <c r="D7" i="2"/>
  <c r="E7" i="2"/>
  <c r="D8" i="2"/>
  <c r="D9" i="2"/>
  <c r="D10" i="2"/>
  <c r="D11" i="2"/>
  <c r="E11" i="2"/>
  <c r="D12" i="2"/>
  <c r="E12" i="2"/>
  <c r="D13" i="2"/>
  <c r="E13" i="2"/>
  <c r="D15" i="2"/>
  <c r="D16" i="2"/>
  <c r="D17" i="2"/>
  <c r="D18" i="2"/>
  <c r="D19" i="2"/>
  <c r="D20" i="2"/>
  <c r="D21" i="2"/>
  <c r="D22" i="2"/>
  <c r="D23" i="2"/>
  <c r="D24" i="2"/>
  <c r="D25" i="2"/>
  <c r="D26" i="2"/>
  <c r="F26" i="2" s="1"/>
  <c r="D27" i="2"/>
  <c r="D28" i="2"/>
  <c r="D29" i="2"/>
  <c r="D30" i="2"/>
  <c r="D31" i="2"/>
  <c r="D32" i="2"/>
  <c r="D33" i="2"/>
  <c r="D34" i="2"/>
  <c r="F34" i="2" s="1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F49" i="2" s="1"/>
  <c r="D50" i="2"/>
  <c r="F50" i="2" s="1"/>
  <c r="D51" i="2"/>
  <c r="D52" i="2"/>
  <c r="D53" i="2"/>
  <c r="D54" i="2"/>
  <c r="F54" i="2" s="1"/>
  <c r="D55" i="2"/>
  <c r="D56" i="2"/>
  <c r="D57" i="2"/>
  <c r="D58" i="2"/>
  <c r="D59" i="2"/>
  <c r="D60" i="2"/>
  <c r="D61" i="2"/>
  <c r="D62" i="2"/>
  <c r="F62" i="2" s="1"/>
  <c r="D63" i="2"/>
  <c r="D64" i="2"/>
  <c r="F64" i="2" s="1"/>
  <c r="D65" i="2"/>
  <c r="F65" i="2" s="1"/>
  <c r="D66" i="2"/>
  <c r="F66" i="2" s="1"/>
  <c r="D67" i="2"/>
  <c r="D68" i="2"/>
  <c r="D70" i="2"/>
  <c r="D71" i="2"/>
  <c r="D73" i="2"/>
  <c r="D74" i="2"/>
  <c r="D75" i="2"/>
  <c r="D76" i="2"/>
  <c r="D77" i="2"/>
  <c r="D78" i="2"/>
  <c r="D79" i="2"/>
  <c r="D80" i="2"/>
  <c r="F80" i="2" s="1"/>
  <c r="D81" i="2"/>
  <c r="D82" i="2"/>
  <c r="D83" i="2"/>
  <c r="D84" i="2"/>
  <c r="D88" i="2"/>
  <c r="D89" i="2"/>
  <c r="D90" i="2"/>
  <c r="F90" i="2" s="1"/>
  <c r="D91" i="2"/>
  <c r="D92" i="2"/>
  <c r="D93" i="2"/>
  <c r="D94" i="2"/>
  <c r="D95" i="2"/>
  <c r="D96" i="2"/>
  <c r="F96" i="2" s="1"/>
  <c r="D97" i="2"/>
  <c r="D98" i="2"/>
  <c r="F98" i="2" s="1"/>
  <c r="D99" i="2"/>
  <c r="D100" i="2"/>
  <c r="D101" i="2"/>
  <c r="F101" i="2" s="1"/>
  <c r="D102" i="2"/>
  <c r="D103" i="2"/>
  <c r="D104" i="2"/>
  <c r="D105" i="2"/>
  <c r="F105" i="2" s="1"/>
  <c r="D106" i="2"/>
  <c r="F106" i="2" s="1"/>
  <c r="D107" i="2"/>
  <c r="F109" i="2"/>
  <c r="D110" i="2"/>
  <c r="D111" i="2"/>
  <c r="D112" i="2"/>
  <c r="D113" i="2"/>
  <c r="F113" i="2" s="1"/>
  <c r="D114" i="2"/>
  <c r="F114" i="2" s="1"/>
  <c r="D115" i="2"/>
  <c r="D116" i="2"/>
  <c r="D117" i="2"/>
  <c r="D118" i="2"/>
  <c r="D119" i="2"/>
  <c r="D120" i="2"/>
  <c r="D121" i="2"/>
  <c r="D122" i="2"/>
  <c r="F122" i="2" s="1"/>
  <c r="D123" i="2"/>
  <c r="D124" i="2"/>
  <c r="D125" i="2"/>
  <c r="F125" i="2" s="1"/>
  <c r="D126" i="2"/>
  <c r="D127" i="2"/>
  <c r="D128" i="2"/>
  <c r="D129" i="2"/>
  <c r="F129" i="2" s="1"/>
  <c r="D130" i="2"/>
  <c r="F130" i="2" s="1"/>
  <c r="D131" i="2"/>
  <c r="D132" i="2"/>
  <c r="D133" i="2"/>
  <c r="F133" i="2" s="1"/>
  <c r="D134" i="2"/>
  <c r="D135" i="2"/>
  <c r="D136" i="2"/>
  <c r="D137" i="2"/>
  <c r="F137" i="2" s="1"/>
  <c r="D138" i="2"/>
  <c r="F138" i="2" s="1"/>
  <c r="D139" i="2"/>
  <c r="D140" i="2"/>
  <c r="D141" i="2"/>
  <c r="D142" i="2"/>
  <c r="D143" i="2"/>
  <c r="D144" i="2"/>
  <c r="D145" i="2"/>
  <c r="F145" i="2" s="1"/>
  <c r="D146" i="2"/>
  <c r="D147" i="2"/>
  <c r="D148" i="2"/>
  <c r="D149" i="2"/>
  <c r="F149" i="2" s="1"/>
  <c r="D150" i="2"/>
  <c r="D151" i="2"/>
  <c r="D152" i="2"/>
  <c r="D153" i="2"/>
  <c r="F153" i="2" s="1"/>
  <c r="D2" i="2"/>
  <c r="D120" i="1"/>
  <c r="G263" i="1"/>
  <c r="D263" i="1"/>
  <c r="G262" i="1"/>
  <c r="D262" i="1"/>
  <c r="G261" i="1"/>
  <c r="D261" i="1"/>
  <c r="G260" i="1"/>
  <c r="D260" i="1"/>
  <c r="G259" i="1"/>
  <c r="B259" i="1"/>
  <c r="D259" i="1" s="1"/>
  <c r="G255" i="1"/>
  <c r="D255" i="1"/>
  <c r="C255" i="1"/>
  <c r="G254" i="1"/>
  <c r="D254" i="1"/>
  <c r="G253" i="1"/>
  <c r="D253" i="1"/>
  <c r="G252" i="1"/>
  <c r="D252" i="1"/>
  <c r="G251" i="1"/>
  <c r="D251" i="1"/>
  <c r="G247" i="1"/>
  <c r="D247" i="1"/>
  <c r="G246" i="1"/>
  <c r="D246" i="1"/>
  <c r="G245" i="1"/>
  <c r="D245" i="1"/>
  <c r="G244" i="1"/>
  <c r="D244" i="1"/>
  <c r="G243" i="1"/>
  <c r="D243" i="1"/>
  <c r="G242" i="1"/>
  <c r="D242" i="1"/>
  <c r="G241" i="1"/>
  <c r="B241" i="1"/>
  <c r="D241" i="1" s="1"/>
  <c r="G240" i="1"/>
  <c r="D240" i="1"/>
  <c r="G239" i="1"/>
  <c r="D239" i="1"/>
  <c r="G238" i="1"/>
  <c r="D238" i="1"/>
  <c r="G237" i="1"/>
  <c r="D237" i="1"/>
  <c r="G236" i="1"/>
  <c r="C236" i="1"/>
  <c r="D236" i="1" s="1"/>
  <c r="G235" i="1"/>
  <c r="D235" i="1"/>
  <c r="G234" i="1"/>
  <c r="D234" i="1"/>
  <c r="G230" i="1"/>
  <c r="D230" i="1"/>
  <c r="G229" i="1"/>
  <c r="D229" i="1"/>
  <c r="G228" i="1"/>
  <c r="D228" i="1"/>
  <c r="G227" i="1"/>
  <c r="D227" i="1"/>
  <c r="G226" i="1"/>
  <c r="D226" i="1"/>
  <c r="G225" i="1"/>
  <c r="B225" i="1"/>
  <c r="D225" i="1" s="1"/>
  <c r="G224" i="1"/>
  <c r="D224" i="1"/>
  <c r="G223" i="1"/>
  <c r="D223" i="1"/>
  <c r="G222" i="1"/>
  <c r="B222" i="1"/>
  <c r="D222" i="1" s="1"/>
  <c r="G221" i="1"/>
  <c r="D221" i="1"/>
  <c r="G220" i="1"/>
  <c r="D220" i="1"/>
  <c r="D219" i="1"/>
  <c r="G218" i="1"/>
  <c r="D218" i="1"/>
  <c r="G217" i="1"/>
  <c r="D217" i="1"/>
  <c r="G216" i="1"/>
  <c r="D216" i="1"/>
  <c r="G212" i="1"/>
  <c r="D212" i="1"/>
  <c r="G211" i="1"/>
  <c r="D211" i="1"/>
  <c r="G207" i="1"/>
  <c r="D207" i="1"/>
  <c r="G206" i="1"/>
  <c r="D206" i="1"/>
  <c r="G205" i="1"/>
  <c r="D205" i="1"/>
  <c r="G204" i="1"/>
  <c r="B204" i="1"/>
  <c r="D204" i="1" s="1"/>
  <c r="G203" i="1"/>
  <c r="D203" i="1"/>
  <c r="G199" i="1"/>
  <c r="B199" i="1"/>
  <c r="D199" i="1" s="1"/>
  <c r="G198" i="1"/>
  <c r="C198" i="1"/>
  <c r="D198" i="1" s="1"/>
  <c r="G197" i="1"/>
  <c r="C197" i="1"/>
  <c r="D197" i="1" s="1"/>
  <c r="G196" i="1"/>
  <c r="D196" i="1"/>
  <c r="G195" i="1"/>
  <c r="B195" i="1"/>
  <c r="D195" i="1" s="1"/>
  <c r="G194" i="1"/>
  <c r="D194" i="1"/>
  <c r="G193" i="1"/>
  <c r="D193" i="1"/>
  <c r="G192" i="1"/>
  <c r="D192" i="1"/>
  <c r="G191" i="1"/>
  <c r="D191" i="1"/>
  <c r="B191" i="1"/>
  <c r="G190" i="1"/>
  <c r="D190" i="1"/>
  <c r="G189" i="1"/>
  <c r="D189" i="1"/>
  <c r="G188" i="1"/>
  <c r="D188" i="1"/>
  <c r="G187" i="1"/>
  <c r="B187" i="1"/>
  <c r="D187" i="1" s="1"/>
  <c r="G183" i="1"/>
  <c r="D183" i="1"/>
  <c r="D182" i="1"/>
  <c r="G181" i="1"/>
  <c r="B181" i="1"/>
  <c r="D181" i="1" s="1"/>
  <c r="G180" i="1"/>
  <c r="B180" i="1"/>
  <c r="D180" i="1" s="1"/>
  <c r="G179" i="1"/>
  <c r="B179" i="1"/>
  <c r="D179" i="1" s="1"/>
  <c r="G178" i="1"/>
  <c r="D178" i="1"/>
  <c r="G177" i="1"/>
  <c r="B177" i="1"/>
  <c r="D177" i="1" s="1"/>
  <c r="G176" i="1"/>
  <c r="D176" i="1"/>
  <c r="G175" i="1"/>
  <c r="D175" i="1"/>
  <c r="G171" i="1"/>
  <c r="D171" i="1"/>
  <c r="G170" i="1"/>
  <c r="D170" i="1"/>
  <c r="G169" i="1"/>
  <c r="D169" i="1"/>
  <c r="G168" i="1"/>
  <c r="D168" i="1"/>
  <c r="G167" i="1"/>
  <c r="D167" i="1"/>
  <c r="G166" i="1"/>
  <c r="D166" i="1"/>
  <c r="G165" i="1"/>
  <c r="D165" i="1"/>
  <c r="G164" i="1"/>
  <c r="C164" i="1"/>
  <c r="D164" i="1" s="1"/>
  <c r="G163" i="1"/>
  <c r="D163" i="1"/>
  <c r="G162" i="1"/>
  <c r="D162" i="1"/>
  <c r="G161" i="1"/>
  <c r="D161" i="1"/>
  <c r="G160" i="1"/>
  <c r="D160" i="1"/>
  <c r="G159" i="1"/>
  <c r="D159" i="1"/>
  <c r="G158" i="1"/>
  <c r="B158" i="1"/>
  <c r="D158" i="1" s="1"/>
  <c r="G157" i="1"/>
  <c r="D157" i="1"/>
  <c r="G156" i="1"/>
  <c r="B156" i="1"/>
  <c r="D156" i="1" s="1"/>
  <c r="G152" i="1"/>
  <c r="D152" i="1"/>
  <c r="G151" i="1"/>
  <c r="D151" i="1"/>
  <c r="G150" i="1"/>
  <c r="D150" i="1"/>
  <c r="G146" i="1"/>
  <c r="D146" i="1"/>
  <c r="G145" i="1"/>
  <c r="F145" i="1"/>
  <c r="D145" i="1"/>
  <c r="C145" i="1"/>
  <c r="G144" i="1"/>
  <c r="D144" i="1"/>
  <c r="G143" i="1"/>
  <c r="D143" i="1"/>
  <c r="G142" i="1"/>
  <c r="B142" i="1"/>
  <c r="D142" i="1" s="1"/>
  <c r="G141" i="1"/>
  <c r="D141" i="1"/>
  <c r="G140" i="1"/>
  <c r="D140" i="1"/>
  <c r="G139" i="1"/>
  <c r="C139" i="1"/>
  <c r="D139" i="1" s="1"/>
  <c r="G138" i="1"/>
  <c r="B138" i="1"/>
  <c r="D138" i="1" s="1"/>
  <c r="G137" i="1"/>
  <c r="D137" i="1"/>
  <c r="G136" i="1"/>
  <c r="D136" i="1"/>
  <c r="G135" i="1"/>
  <c r="D135" i="1"/>
  <c r="G134" i="1"/>
  <c r="D134" i="1"/>
  <c r="G133" i="1"/>
  <c r="D133" i="1"/>
  <c r="G129" i="1"/>
  <c r="D129" i="1"/>
  <c r="G128" i="1"/>
  <c r="C128" i="1"/>
  <c r="B128" i="1"/>
  <c r="G127" i="1"/>
  <c r="D127" i="1"/>
  <c r="G126" i="1"/>
  <c r="C126" i="1"/>
  <c r="D126" i="1" s="1"/>
  <c r="G125" i="1"/>
  <c r="D125" i="1"/>
  <c r="G124" i="1"/>
  <c r="D124" i="1"/>
  <c r="G123" i="1"/>
  <c r="D123" i="1"/>
  <c r="G122" i="1"/>
  <c r="D122" i="1"/>
  <c r="G121" i="1"/>
  <c r="D121" i="1"/>
  <c r="G120" i="1"/>
  <c r="B120" i="1"/>
  <c r="G119" i="1"/>
  <c r="D119" i="1"/>
  <c r="G114" i="1"/>
  <c r="D114" i="1"/>
  <c r="G113" i="1"/>
  <c r="D113" i="1"/>
  <c r="G112" i="1"/>
  <c r="C112" i="1"/>
  <c r="B112" i="1"/>
  <c r="G111" i="1"/>
  <c r="D111" i="1"/>
  <c r="G110" i="1"/>
  <c r="D110" i="1"/>
  <c r="G109" i="1"/>
  <c r="D109" i="1"/>
  <c r="G108" i="1"/>
  <c r="D108" i="1"/>
  <c r="G107" i="1"/>
  <c r="D107" i="1"/>
  <c r="G106" i="1"/>
  <c r="D106" i="1"/>
  <c r="G105" i="1"/>
  <c r="D105" i="1"/>
  <c r="G104" i="1"/>
  <c r="D104" i="1"/>
  <c r="G99" i="1"/>
  <c r="B99" i="1"/>
  <c r="D99" i="1" s="1"/>
  <c r="G98" i="1"/>
  <c r="B98" i="1"/>
  <c r="D98" i="1" s="1"/>
  <c r="G97" i="1"/>
  <c r="D97" i="1"/>
  <c r="G96" i="1"/>
  <c r="B96" i="1"/>
  <c r="D96" i="1" s="1"/>
  <c r="G95" i="1"/>
  <c r="B95" i="1"/>
  <c r="D95" i="1" s="1"/>
  <c r="G94" i="1"/>
  <c r="D94" i="1"/>
  <c r="G93" i="1"/>
  <c r="D93" i="1"/>
  <c r="G92" i="1"/>
  <c r="D92" i="1"/>
  <c r="G91" i="1"/>
  <c r="D91" i="1"/>
  <c r="G90" i="1"/>
  <c r="D90" i="1"/>
  <c r="G89" i="1"/>
  <c r="D89" i="1"/>
  <c r="G85" i="1"/>
  <c r="D85" i="1"/>
  <c r="G84" i="1"/>
  <c r="D84" i="1"/>
  <c r="G83" i="1"/>
  <c r="D83" i="1"/>
  <c r="G82" i="1"/>
  <c r="D82" i="1"/>
  <c r="G81" i="1"/>
  <c r="D81" i="1"/>
  <c r="G80" i="1"/>
  <c r="D80" i="1"/>
  <c r="G79" i="1"/>
  <c r="B79" i="1"/>
  <c r="G78" i="1"/>
  <c r="B78" i="1"/>
  <c r="D78" i="1" s="1"/>
  <c r="G77" i="1"/>
  <c r="B77" i="1"/>
  <c r="D77" i="1" s="1"/>
  <c r="G76" i="1"/>
  <c r="D76" i="1"/>
  <c r="E75" i="1"/>
  <c r="G75" i="1" s="1"/>
  <c r="B75" i="1"/>
  <c r="D75" i="1" s="1"/>
  <c r="G74" i="1"/>
  <c r="D74" i="1"/>
  <c r="G73" i="1"/>
  <c r="D73" i="1"/>
  <c r="G66" i="1"/>
  <c r="D66" i="1"/>
  <c r="G65" i="1"/>
  <c r="D65" i="1"/>
  <c r="G64" i="1"/>
  <c r="D64" i="1"/>
  <c r="G63" i="1"/>
  <c r="B63" i="1"/>
  <c r="D63" i="1" s="1"/>
  <c r="G62" i="1"/>
  <c r="D62" i="1"/>
  <c r="G61" i="1"/>
  <c r="D61" i="1"/>
  <c r="G60" i="1"/>
  <c r="B60" i="1"/>
  <c r="D60" i="1" s="1"/>
  <c r="G59" i="1"/>
  <c r="D59" i="1"/>
  <c r="D112" i="1" l="1"/>
  <c r="D128" i="1"/>
  <c r="K32" i="2"/>
  <c r="F58" i="2"/>
  <c r="F117" i="2"/>
  <c r="F48" i="2"/>
  <c r="F78" i="2"/>
  <c r="K3" i="2"/>
  <c r="F32" i="2"/>
  <c r="F46" i="2"/>
  <c r="F121" i="2"/>
  <c r="F88" i="2"/>
  <c r="F146" i="2"/>
  <c r="F30" i="2"/>
  <c r="F74" i="2"/>
  <c r="F141" i="2"/>
  <c r="F24" i="2"/>
  <c r="F82" i="2"/>
  <c r="F11" i="2"/>
  <c r="F38" i="2"/>
  <c r="F22" i="2"/>
  <c r="F70" i="2"/>
  <c r="K38" i="2"/>
  <c r="F7" i="2"/>
  <c r="F3" i="2"/>
  <c r="F86" i="2"/>
  <c r="F14" i="2"/>
  <c r="F57" i="2"/>
  <c r="F56" i="2"/>
  <c r="F42" i="2"/>
  <c r="F40" i="2"/>
  <c r="F18" i="2"/>
  <c r="F16" i="2"/>
  <c r="F4" i="2"/>
  <c r="F79" i="2"/>
  <c r="F71" i="2"/>
  <c r="F63" i="2"/>
  <c r="F55" i="2"/>
  <c r="F47" i="2"/>
  <c r="F39" i="2"/>
  <c r="F31" i="2"/>
  <c r="F23" i="2"/>
  <c r="F15" i="2"/>
  <c r="F10" i="2"/>
  <c r="K42" i="2"/>
  <c r="K34" i="2"/>
  <c r="F103" i="2"/>
  <c r="F95" i="2"/>
  <c r="F151" i="2"/>
  <c r="F143" i="2"/>
  <c r="F135" i="2"/>
  <c r="F127" i="2"/>
  <c r="F119" i="2"/>
  <c r="F111" i="2"/>
  <c r="F102" i="2"/>
  <c r="F94" i="2"/>
  <c r="F150" i="2"/>
  <c r="F142" i="2"/>
  <c r="F134" i="2"/>
  <c r="F126" i="2"/>
  <c r="F118" i="2"/>
  <c r="F110" i="2"/>
  <c r="F75" i="2"/>
  <c r="F67" i="2"/>
  <c r="F59" i="2"/>
  <c r="F51" i="2"/>
  <c r="F43" i="2"/>
  <c r="F35" i="2"/>
  <c r="F27" i="2"/>
  <c r="F19" i="2"/>
  <c r="K49" i="2"/>
  <c r="K41" i="2"/>
  <c r="K65" i="2"/>
  <c r="K57" i="2"/>
  <c r="K48" i="2"/>
  <c r="K40" i="2"/>
  <c r="K152" i="2"/>
  <c r="K144" i="2"/>
  <c r="K136" i="2"/>
  <c r="K128" i="2"/>
  <c r="K55" i="2"/>
  <c r="K33" i="2"/>
  <c r="K25" i="2"/>
  <c r="K17" i="2"/>
  <c r="K9" i="2"/>
  <c r="F83" i="2"/>
  <c r="K97" i="2"/>
  <c r="K89" i="2"/>
  <c r="K81" i="2"/>
  <c r="K73" i="2"/>
  <c r="F91" i="2"/>
  <c r="K120" i="2"/>
  <c r="K112" i="2"/>
  <c r="K104" i="2"/>
  <c r="K95" i="2"/>
  <c r="K87" i="2"/>
  <c r="K79" i="2"/>
  <c r="K126" i="2"/>
  <c r="K118" i="2"/>
  <c r="K110" i="2"/>
  <c r="K102" i="2"/>
  <c r="F148" i="2"/>
  <c r="F140" i="2"/>
  <c r="F132" i="2"/>
  <c r="F124" i="2"/>
  <c r="F116" i="2"/>
  <c r="F100" i="2"/>
  <c r="F93" i="2"/>
  <c r="F77" i="2"/>
  <c r="F69" i="2"/>
  <c r="F61" i="2"/>
  <c r="F53" i="2"/>
  <c r="F45" i="2"/>
  <c r="F37" i="2"/>
  <c r="F29" i="2"/>
  <c r="F21" i="2"/>
  <c r="F9" i="2"/>
  <c r="K52" i="2"/>
  <c r="K44" i="2"/>
  <c r="K36" i="2"/>
  <c r="F147" i="2"/>
  <c r="F139" i="2"/>
  <c r="F131" i="2"/>
  <c r="F123" i="2"/>
  <c r="F115" i="2"/>
  <c r="F107" i="2"/>
  <c r="F99" i="2"/>
  <c r="F92" i="2"/>
  <c r="F84" i="2"/>
  <c r="F76" i="2"/>
  <c r="F68" i="2"/>
  <c r="F60" i="2"/>
  <c r="F52" i="2"/>
  <c r="F44" i="2"/>
  <c r="F36" i="2"/>
  <c r="F28" i="2"/>
  <c r="F20" i="2"/>
  <c r="K51" i="2"/>
  <c r="K43" i="2"/>
  <c r="K35" i="2"/>
  <c r="K106" i="2"/>
  <c r="K67" i="2"/>
  <c r="K59" i="2"/>
  <c r="K75" i="2"/>
  <c r="K28" i="2"/>
  <c r="K20" i="2"/>
  <c r="K12" i="2"/>
  <c r="K5" i="2"/>
  <c r="K153" i="2"/>
  <c r="K145" i="2"/>
  <c r="K137" i="2"/>
  <c r="K129" i="2"/>
  <c r="K121" i="2"/>
  <c r="K113" i="2"/>
  <c r="K105" i="2"/>
  <c r="K98" i="2"/>
  <c r="K90" i="2"/>
  <c r="K82" i="2"/>
  <c r="K74" i="2"/>
  <c r="K66" i="2"/>
  <c r="K58" i="2"/>
  <c r="K71" i="2"/>
  <c r="K63" i="2"/>
  <c r="K91" i="2"/>
  <c r="F152" i="2"/>
  <c r="F144" i="2"/>
  <c r="F136" i="2"/>
  <c r="F128" i="2"/>
  <c r="F120" i="2"/>
  <c r="F112" i="2"/>
  <c r="F104" i="2"/>
  <c r="F97" i="2"/>
  <c r="F89" i="2"/>
  <c r="F81" i="2"/>
  <c r="F73" i="2"/>
  <c r="F41" i="2"/>
  <c r="F33" i="2"/>
  <c r="F25" i="2"/>
  <c r="F17" i="2"/>
  <c r="K27" i="2"/>
  <c r="K19" i="2"/>
  <c r="K11" i="2"/>
  <c r="K4" i="2"/>
  <c r="K133" i="2"/>
  <c r="K125" i="2"/>
  <c r="K83" i="2"/>
  <c r="K2" i="2"/>
  <c r="K151" i="2"/>
  <c r="K143" i="2"/>
  <c r="K135" i="2"/>
  <c r="K127" i="2"/>
  <c r="K119" i="2"/>
  <c r="K111" i="2"/>
  <c r="K103" i="2"/>
  <c r="K96" i="2"/>
  <c r="K88" i="2"/>
  <c r="K80" i="2"/>
  <c r="K72" i="2"/>
  <c r="K64" i="2"/>
  <c r="K56" i="2"/>
  <c r="K31" i="2"/>
  <c r="K23" i="2"/>
  <c r="K15" i="2"/>
  <c r="K7" i="2"/>
  <c r="K148" i="2"/>
  <c r="K140" i="2"/>
  <c r="K132" i="2"/>
  <c r="K124" i="2"/>
  <c r="K116" i="2"/>
  <c r="K109" i="2"/>
  <c r="K101" i="2"/>
  <c r="K94" i="2"/>
  <c r="K86" i="2"/>
  <c r="K78" i="2"/>
  <c r="K70" i="2"/>
  <c r="K62" i="2"/>
  <c r="F13" i="2"/>
  <c r="F12" i="2"/>
  <c r="F8" i="2"/>
  <c r="F5" i="2"/>
  <c r="K30" i="2"/>
  <c r="K22" i="2"/>
  <c r="K14" i="2"/>
  <c r="K147" i="2"/>
  <c r="K139" i="2"/>
  <c r="K131" i="2"/>
  <c r="K123" i="2"/>
  <c r="K115" i="2"/>
  <c r="K108" i="2"/>
  <c r="K100" i="2"/>
  <c r="K93" i="2"/>
  <c r="K85" i="2"/>
  <c r="K77" i="2"/>
  <c r="K69" i="2"/>
  <c r="K61" i="2"/>
  <c r="K29" i="2"/>
  <c r="K21" i="2"/>
  <c r="K13" i="2"/>
  <c r="K6" i="2"/>
  <c r="K146" i="2"/>
  <c r="K138" i="2"/>
  <c r="K130" i="2"/>
  <c r="K122" i="2"/>
  <c r="K114" i="2"/>
  <c r="K107" i="2"/>
  <c r="K99" i="2"/>
  <c r="K92" i="2"/>
  <c r="K84" i="2"/>
  <c r="K76" i="2"/>
  <c r="K68" i="2"/>
  <c r="K60" i="2"/>
  <c r="F2" i="2"/>
  <c r="F6" i="2"/>
</calcChain>
</file>

<file path=xl/sharedStrings.xml><?xml version="1.0" encoding="utf-8"?>
<sst xmlns="http://schemas.openxmlformats.org/spreadsheetml/2006/main" count="2135" uniqueCount="174">
  <si>
    <t>Sample name</t>
  </si>
  <si>
    <t xml:space="preserve">TC </t>
  </si>
  <si>
    <t>E coli</t>
  </si>
  <si>
    <t>3x ND</t>
  </si>
  <si>
    <t>11x ND</t>
  </si>
  <si>
    <t>13x ND</t>
  </si>
  <si>
    <t>tmtc</t>
  </si>
  <si>
    <t>20x ND</t>
  </si>
  <si>
    <t>17x ND</t>
  </si>
  <si>
    <t>14x ND</t>
  </si>
  <si>
    <t>1x ND</t>
  </si>
  <si>
    <t>18x ND</t>
  </si>
  <si>
    <t>7x ND</t>
  </si>
  <si>
    <t>15x ND</t>
  </si>
  <si>
    <t>3x 1/100</t>
  </si>
  <si>
    <t>11x 1/100</t>
  </si>
  <si>
    <t>13x 1/100</t>
  </si>
  <si>
    <t>20x 1/100</t>
  </si>
  <si>
    <t>17x 1/100</t>
  </si>
  <si>
    <t>14x 1/100</t>
  </si>
  <si>
    <t>1x 1/100</t>
  </si>
  <si>
    <t>18x 1/100</t>
  </si>
  <si>
    <t>7x 1/100</t>
  </si>
  <si>
    <t>15x 1/100</t>
  </si>
  <si>
    <t>3 y ND</t>
  </si>
  <si>
    <t>11y ND</t>
  </si>
  <si>
    <t>13y ND</t>
  </si>
  <si>
    <t>20y ND</t>
  </si>
  <si>
    <t>17y ND</t>
  </si>
  <si>
    <t>14y ND</t>
  </si>
  <si>
    <t>1y ND</t>
  </si>
  <si>
    <t>18y ND</t>
  </si>
  <si>
    <t>7y ND</t>
  </si>
  <si>
    <t>15y ND</t>
  </si>
  <si>
    <t>3 y 1/100</t>
  </si>
  <si>
    <t>11y 1/100</t>
  </si>
  <si>
    <t>13y 1/100</t>
  </si>
  <si>
    <t>20y 1/100</t>
  </si>
  <si>
    <t>17y 1/100</t>
  </si>
  <si>
    <t>14y 1/100</t>
  </si>
  <si>
    <t>1y 1/100</t>
  </si>
  <si>
    <t>18y 1/100</t>
  </si>
  <si>
    <t>7y 1/100</t>
  </si>
  <si>
    <t>15y 1/100</t>
  </si>
  <si>
    <t>4x ND</t>
  </si>
  <si>
    <t>TMTC</t>
  </si>
  <si>
    <t>12x ND</t>
  </si>
  <si>
    <t>6x ND</t>
  </si>
  <si>
    <t>19x ND</t>
  </si>
  <si>
    <t>4x 1/100</t>
  </si>
  <si>
    <t>12x 1/100</t>
  </si>
  <si>
    <t>6x 1/100</t>
  </si>
  <si>
    <t>19x 1/100</t>
  </si>
  <si>
    <t>4 y ND</t>
  </si>
  <si>
    <t>12y ND</t>
  </si>
  <si>
    <t>6y ND</t>
  </si>
  <si>
    <t>19y ND</t>
  </si>
  <si>
    <t>4 y 1/100</t>
  </si>
  <si>
    <t>12y 1/100</t>
  </si>
  <si>
    <t>6y 1/100</t>
  </si>
  <si>
    <t>19y 1/100</t>
  </si>
  <si>
    <t>5x ND</t>
  </si>
  <si>
    <t>16x ND</t>
  </si>
  <si>
    <t>0 - maybe? Looked like a "c"</t>
  </si>
  <si>
    <t>10x nd</t>
  </si>
  <si>
    <t>8x ND</t>
  </si>
  <si>
    <t>2x ND</t>
  </si>
  <si>
    <t>5x 1/100</t>
  </si>
  <si>
    <t>16x 1/100</t>
  </si>
  <si>
    <t>10x 1/100</t>
  </si>
  <si>
    <t>8x 1/100</t>
  </si>
  <si>
    <t>2x 1/100</t>
  </si>
  <si>
    <t>5y ND</t>
  </si>
  <si>
    <t>16y ND</t>
  </si>
  <si>
    <t>10y ND</t>
  </si>
  <si>
    <t>8y ND</t>
  </si>
  <si>
    <t>2y ND</t>
  </si>
  <si>
    <t>5y 1/100</t>
  </si>
  <si>
    <t>16y 1/100</t>
  </si>
  <si>
    <t>10y 1/100</t>
  </si>
  <si>
    <t>8y 1/100</t>
  </si>
  <si>
    <t>2y 1/100</t>
  </si>
  <si>
    <t>9x nd</t>
  </si>
  <si>
    <t>1x nd</t>
  </si>
  <si>
    <t>9x 1/100</t>
  </si>
  <si>
    <t>1x 1:100</t>
  </si>
  <si>
    <t>9y ND</t>
  </si>
  <si>
    <t>9y 1/100</t>
  </si>
  <si>
    <t xml:space="preserve">tmtc </t>
  </si>
  <si>
    <t>tmtC</t>
  </si>
  <si>
    <t>Sample</t>
  </si>
  <si>
    <t>TC X</t>
  </si>
  <si>
    <t>TC Y</t>
  </si>
  <si>
    <t>LOG RED</t>
  </si>
  <si>
    <t>ECOLI X</t>
  </si>
  <si>
    <t>ECOLI Y</t>
  </si>
  <si>
    <t>;</t>
  </si>
  <si>
    <t>Household</t>
  </si>
  <si>
    <t>Week 1</t>
  </si>
  <si>
    <t>Log tc x</t>
  </si>
  <si>
    <t>log tc y</t>
  </si>
  <si>
    <t>log ecoli x</t>
  </si>
  <si>
    <t>log ecoli y</t>
  </si>
  <si>
    <t>log red</t>
  </si>
  <si>
    <t>Week 2</t>
  </si>
  <si>
    <t>Week 3</t>
  </si>
  <si>
    <t>Week 4</t>
  </si>
  <si>
    <t>X TC</t>
  </si>
  <si>
    <t>Y E coli</t>
  </si>
  <si>
    <t>Y TC</t>
  </si>
  <si>
    <t>Min</t>
  </si>
  <si>
    <t>Lower Q</t>
  </si>
  <si>
    <t>Median</t>
  </si>
  <si>
    <t>Upper Q</t>
  </si>
  <si>
    <t>Max</t>
  </si>
  <si>
    <t>X e coli</t>
  </si>
  <si>
    <t>Total Coliform</t>
  </si>
  <si>
    <t>Inflow</t>
  </si>
  <si>
    <t>Outflow</t>
  </si>
  <si>
    <t>q1 - Min</t>
  </si>
  <si>
    <t>q1</t>
  </si>
  <si>
    <t>median - q1</t>
  </si>
  <si>
    <t>q3 - median</t>
  </si>
  <si>
    <t>max- q3</t>
  </si>
  <si>
    <t>Week</t>
  </si>
  <si>
    <t>Average</t>
  </si>
  <si>
    <t>std error</t>
  </si>
  <si>
    <t>Log reduction summary</t>
  </si>
  <si>
    <t>Log reduction tc</t>
  </si>
  <si>
    <t>error</t>
  </si>
  <si>
    <t>log reduction e coli</t>
  </si>
  <si>
    <t>x</t>
  </si>
  <si>
    <t>w/o 0 values</t>
  </si>
  <si>
    <t>Sample ID</t>
  </si>
  <si>
    <t>Concentration ppb</t>
  </si>
  <si>
    <t>1 NC</t>
  </si>
  <si>
    <t>2 NC</t>
  </si>
  <si>
    <t>3 NC</t>
  </si>
  <si>
    <t>4 NC</t>
  </si>
  <si>
    <t>5 NC</t>
  </si>
  <si>
    <t>6 WC METAL</t>
  </si>
  <si>
    <t>7 WC METAL</t>
  </si>
  <si>
    <t>8 NC</t>
  </si>
  <si>
    <t>9 NC</t>
  </si>
  <si>
    <t>10 NC</t>
  </si>
  <si>
    <t>11 NC</t>
  </si>
  <si>
    <t>12 NC</t>
  </si>
  <si>
    <t>13 NC</t>
  </si>
  <si>
    <t>14 NC</t>
  </si>
  <si>
    <t>15 NC</t>
  </si>
  <si>
    <t>16 NC</t>
  </si>
  <si>
    <t>17 NC</t>
  </si>
  <si>
    <t>18 NC</t>
  </si>
  <si>
    <t>19 NC</t>
  </si>
  <si>
    <t>20 NC</t>
  </si>
  <si>
    <t>21 NC</t>
  </si>
  <si>
    <t>22 NC</t>
  </si>
  <si>
    <t>23 NC</t>
  </si>
  <si>
    <t>24 NC</t>
  </si>
  <si>
    <t>25 NC</t>
  </si>
  <si>
    <t>26 NC</t>
  </si>
  <si>
    <t>WHO Risk Category</t>
  </si>
  <si>
    <t>Total Coliform Bacteria</t>
  </si>
  <si>
    <t>(CFU/100 mL)</t>
  </si>
  <si>
    <t>No risk</t>
  </si>
  <si>
    <t>&lt;1</t>
  </si>
  <si>
    <t>Low risk</t>
  </si>
  <si>
    <t>1 to 10</t>
  </si>
  <si>
    <t>Medium risk</t>
  </si>
  <si>
    <t>11 to 100</t>
  </si>
  <si>
    <t>High risk</t>
  </si>
  <si>
    <t>101 to 1000</t>
  </si>
  <si>
    <t>Very high risk</t>
  </si>
  <si>
    <t>&gt;1001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</si>
</sst>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color rgb="FF000000"/>
      <name val="Helvetica Neue"/>
      <family val="2"/>
    </font>
    <font>
      <sz val="10"/>
      <color rgb="FF000000"/>
      <name val="Helvetica Neue"/>
      <family val="2"/>
    </font>
    <font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Font="1"/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2" borderId="0" xfId="0" applyFill="1"/>
    <xf numFmtId="0" fontId="0" fillId="2" borderId="0" xfId="0" applyFont="1" applyFill="1"/>
    <xf numFmtId="0" fontId="1" fillId="3" borderId="0" xfId="0" applyFont="1" applyFill="1"/>
    <xf numFmtId="0" fontId="2" fillId="0" borderId="0" xfId="0" applyFont="1" applyFill="1"/>
    <xf numFmtId="16" fontId="0" fillId="0" borderId="0" xfId="0" applyNumberFormat="1"/>
    <xf numFmtId="0" fontId="2" fillId="2" borderId="0" xfId="0" applyFont="1" applyFill="1"/>
    <xf numFmtId="0" fontId="0" fillId="0" borderId="1" xfId="0" applyFill="1" applyBorder="1"/>
    <xf numFmtId="0" fontId="0" fillId="0" borderId="1" xfId="0" applyBorder="1"/>
    <xf numFmtId="0" fontId="0" fillId="0" borderId="0" xfId="0" applyFill="1" applyBorder="1"/>
    <xf numFmtId="0" fontId="4" fillId="0" borderId="0" xfId="0" applyFont="1"/>
    <xf numFmtId="0" fontId="5" fillId="0" borderId="0" xfId="0" applyFont="1"/>
    <xf numFmtId="0" fontId="0" fillId="3" borderId="0" xfId="0" applyFill="1"/>
    <xf numFmtId="0" fontId="0" fillId="4" borderId="0" xfId="0" applyFill="1"/>
    <xf numFmtId="0" fontId="1" fillId="4" borderId="0" xfId="0" applyFont="1" applyFill="1"/>
    <xf numFmtId="0" fontId="3" fillId="0" borderId="0" xfId="0" applyFont="1" applyFill="1"/>
    <xf numFmtId="0" fontId="0" fillId="4" borderId="0" xfId="0" applyFont="1" applyFill="1"/>
    <xf numFmtId="0" fontId="0" fillId="0" borderId="0" xfId="0" applyFill="1" applyAlignment="1">
      <alignment horizontal="center"/>
    </xf>
    <xf numFmtId="0" fontId="2" fillId="0" borderId="0" xfId="0" applyFont="1" applyAlignment="1">
      <alignment horizontal="center"/>
    </xf>
    <xf numFmtId="14" fontId="0" fillId="0" borderId="0" xfId="0" applyNumberFormat="1" applyAlignment="1">
      <alignment horizontal="center"/>
    </xf>
    <xf numFmtId="14" fontId="0" fillId="0" borderId="0" xfId="0" applyNumberFormat="1" applyFont="1" applyAlignment="1">
      <alignment horizontal="center"/>
    </xf>
    <xf numFmtId="14" fontId="0" fillId="0" borderId="0" xfId="0" applyNumberFormat="1" applyFont="1" applyFill="1" applyAlignment="1">
      <alignment horizontal="center"/>
    </xf>
    <xf numFmtId="14" fontId="0" fillId="0" borderId="0" xfId="0" applyNumberFormat="1" applyFill="1" applyAlignment="1">
      <alignment horizontal="center"/>
    </xf>
    <xf numFmtId="14" fontId="0" fillId="4" borderId="0" xfId="0" applyNumberFormat="1" applyFill="1" applyAlignment="1">
      <alignment horizontal="center"/>
    </xf>
    <xf numFmtId="14" fontId="0" fillId="4" borderId="0" xfId="0" applyNumberFormat="1" applyFont="1" applyFill="1" applyAlignment="1">
      <alignment horizontal="center"/>
    </xf>
    <xf numFmtId="14" fontId="2" fillId="0" borderId="0" xfId="0" applyNumberFormat="1" applyFont="1" applyAlignment="1">
      <alignment horizont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1" xfId="0" applyFont="1" applyBorder="1" applyAlignment="1"/>
    <xf numFmtId="0" fontId="6" fillId="0" borderId="1" xfId="0" applyFont="1" applyBorder="1" applyAlignment="1">
      <alignment horizontal="center"/>
    </xf>
    <xf numFmtId="10" fontId="6" fillId="0" borderId="1" xfId="0" applyNumberFormat="1" applyFont="1" applyBorder="1"/>
    <xf numFmtId="10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25031539565842"/>
          <c:y val="5.7180607659644639E-2"/>
          <c:w val="0.89204759211728368"/>
          <c:h val="0.9000286212423651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'[1]6 mo 2'!$C$129</c:f>
              <c:strCache>
                <c:ptCount val="1"/>
                <c:pt idx="0">
                  <c:v>q1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Simplified!$AO$51:$AO$54</c:f>
                <c:numCache>
                  <c:formatCode>General</c:formatCode>
                  <c:ptCount val="4"/>
                  <c:pt idx="0">
                    <c:v>0.8820684442917609</c:v>
                  </c:pt>
                  <c:pt idx="1">
                    <c:v>1.3617278360175928</c:v>
                  </c:pt>
                  <c:pt idx="2">
                    <c:v>1.4623979978989561</c:v>
                  </c:pt>
                  <c:pt idx="3">
                    <c:v>0.60205999132796229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Simplified!$AN$44:$AN$47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Simplified!$AP$51:$AP$54</c:f>
              <c:numCache>
                <c:formatCode>General</c:formatCode>
                <c:ptCount val="4"/>
                <c:pt idx="0">
                  <c:v>1.4841284356197233</c:v>
                </c:pt>
                <c:pt idx="1">
                  <c:v>1.3617278360175928</c:v>
                </c:pt>
                <c:pt idx="2">
                  <c:v>1.4623979978989561</c:v>
                </c:pt>
                <c:pt idx="3">
                  <c:v>1.3802112417116059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15-4048-B5D8-13C1AD226F30}"/>
            </c:ext>
          </c:extLst>
        </c:ser>
        <c:ser>
          <c:idx val="3"/>
          <c:order val="1"/>
          <c:tx>
            <c:strRef>
              <c:f>'[1]6 mo 2'!$D$129</c:f>
              <c:strCache>
                <c:ptCount val="1"/>
                <c:pt idx="0">
                  <c:v>median - q1</c:v>
                </c:pt>
              </c:strCache>
            </c:strRef>
          </c:tx>
          <c:spPr>
            <a:noFill/>
            <a:ln>
              <a:solidFill>
                <a:schemeClr val="tx1"/>
              </a:solidFill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Ref>
                <c:f>'[1]6 mo 2'!$B$130:$B$133</c:f>
                <c:numCache>
                  <c:formatCode>General</c:formatCode>
                  <c:ptCount val="4"/>
                  <c:pt idx="0">
                    <c:v>1.3617278360175928</c:v>
                  </c:pt>
                  <c:pt idx="1">
                    <c:v>1.9300425039677642</c:v>
                  </c:pt>
                  <c:pt idx="2">
                    <c:v>1.6535339753306495</c:v>
                  </c:pt>
                  <c:pt idx="3">
                    <c:v>0.58483966897600936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Simplified!$AN$44:$AN$47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Simplified!$AQ$51:$AQ$54</c:f>
              <c:numCache>
                <c:formatCode>General</c:formatCode>
                <c:ptCount val="4"/>
                <c:pt idx="0">
                  <c:v>0.44931047154902615</c:v>
                </c:pt>
                <c:pt idx="1">
                  <c:v>0.48337020399666408</c:v>
                </c:pt>
                <c:pt idx="2">
                  <c:v>0.39189742467621569</c:v>
                </c:pt>
                <c:pt idx="3">
                  <c:v>0.40511859329916122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15-4048-B5D8-13C1AD226F30}"/>
            </c:ext>
          </c:extLst>
        </c:ser>
        <c:ser>
          <c:idx val="0"/>
          <c:order val="2"/>
          <c:tx>
            <c:strRef>
              <c:f>'[1]6 mo 2'!$E$129</c:f>
              <c:strCache>
                <c:ptCount val="1"/>
                <c:pt idx="0">
                  <c:v>q3 - median</c:v>
                </c:pt>
              </c:strCache>
            </c:strRef>
          </c:tx>
          <c:spPr>
            <a:noFill/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Simplified!$AS$51:$AS$54</c:f>
                <c:numCache>
                  <c:formatCode>General</c:formatCode>
                  <c:ptCount val="4"/>
                  <c:pt idx="0">
                    <c:v>1.9651932083448767</c:v>
                  </c:pt>
                  <c:pt idx="1">
                    <c:v>2.0722875380997245</c:v>
                  </c:pt>
                  <c:pt idx="2">
                    <c:v>1.5706544306584607</c:v>
                  </c:pt>
                  <c:pt idx="3">
                    <c:v>2.2316085869055127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Simplified!$AN$44:$AN$47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Simplified!$AR$51:$AR$54</c:f>
              <c:numCache>
                <c:formatCode>General</c:formatCode>
                <c:ptCount val="4"/>
                <c:pt idx="0">
                  <c:v>0.47058374189651642</c:v>
                </c:pt>
                <c:pt idx="1">
                  <c:v>0.55973567660568113</c:v>
                </c:pt>
                <c:pt idx="2">
                  <c:v>0.21850282325255499</c:v>
                </c:pt>
                <c:pt idx="3">
                  <c:v>0.46018283280338279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15-4048-B5D8-13C1AD226F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443942768"/>
        <c:axId val="-443939712"/>
      </c:barChart>
      <c:catAx>
        <c:axId val="-4439427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Week of Use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43939712"/>
        <c:crosses val="autoZero"/>
        <c:auto val="1"/>
        <c:lblAlgn val="ctr"/>
        <c:lblOffset val="100"/>
        <c:noMultiLvlLbl val="0"/>
      </c:catAx>
      <c:valAx>
        <c:axId val="-4439397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Inflow: Log Total</a:t>
                </a:r>
                <a:r>
                  <a:rPr lang="en-US" baseline="0"/>
                  <a:t> Coliform Bacteria per 100 ml of Water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43942768"/>
        <c:crosses val="autoZero"/>
        <c:crossBetween val="between"/>
        <c:majorUnit val="1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25031539565842"/>
          <c:y val="5.7180607659644639E-2"/>
          <c:w val="0.89204759211728368"/>
          <c:h val="0.9000286212423651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'[1]6 mo 2'!$C$129</c:f>
              <c:strCache>
                <c:ptCount val="1"/>
                <c:pt idx="0">
                  <c:v>q1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'Simplified with dilution'!$AD$59:$AD$62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'Simplified with dilution'!$AC$44:$AC$47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'Simplified with dilution'!$AK$59:$AK$62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38-EB43-9143-4504E8BB7F07}"/>
            </c:ext>
          </c:extLst>
        </c:ser>
        <c:ser>
          <c:idx val="3"/>
          <c:order val="1"/>
          <c:tx>
            <c:strRef>
              <c:f>'[1]6 mo 2'!$D$129</c:f>
              <c:strCache>
                <c:ptCount val="1"/>
                <c:pt idx="0">
                  <c:v>median - q1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Ref>
                <c:f>'[1]6 mo 2'!$B$130:$B$133</c:f>
                <c:numCache>
                  <c:formatCode>General</c:formatCode>
                  <c:ptCount val="4"/>
                  <c:pt idx="0">
                    <c:v>1.3617278360175928</c:v>
                  </c:pt>
                  <c:pt idx="1">
                    <c:v>1.9300425039677642</c:v>
                  </c:pt>
                  <c:pt idx="2">
                    <c:v>1.6535339753306495</c:v>
                  </c:pt>
                  <c:pt idx="3">
                    <c:v>0.58483966897600936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'Simplified with dilution'!$AC$44:$AC$47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'Simplified with dilution'!$AL$59:$AL$62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38-EB43-9143-4504E8BB7F07}"/>
            </c:ext>
          </c:extLst>
        </c:ser>
        <c:ser>
          <c:idx val="0"/>
          <c:order val="2"/>
          <c:tx>
            <c:strRef>
              <c:f>'[1]6 mo 2'!$E$129</c:f>
              <c:strCache>
                <c:ptCount val="1"/>
                <c:pt idx="0">
                  <c:v>q3 - median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'Simplified with dilution'!$AN$59:$AN$62</c:f>
                <c:numCache>
                  <c:formatCode>General</c:formatCode>
                  <c:ptCount val="4"/>
                  <c:pt idx="0">
                    <c:v>2.3979400086720375</c:v>
                  </c:pt>
                  <c:pt idx="1">
                    <c:v>1.8388490907372552</c:v>
                  </c:pt>
                  <c:pt idx="2">
                    <c:v>2.6532125137753435</c:v>
                  </c:pt>
                  <c:pt idx="3">
                    <c:v>1.711807229041191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'Simplified with dilution'!$AC$44:$AC$47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'Simplified with dilution'!$AM$59:$AM$62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38-EB43-9143-4504E8BB7F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443942768"/>
        <c:axId val="-443939712"/>
      </c:barChart>
      <c:catAx>
        <c:axId val="-4439427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Week of Use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43939712"/>
        <c:crosses val="autoZero"/>
        <c:auto val="1"/>
        <c:lblAlgn val="ctr"/>
        <c:lblOffset val="100"/>
        <c:noMultiLvlLbl val="0"/>
      </c:catAx>
      <c:valAx>
        <c:axId val="-4439397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Inflow: Log E.</a:t>
                </a:r>
                <a:r>
                  <a:rPr lang="en-US" baseline="0"/>
                  <a:t> coli  Bacteria per 100 ml of Water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43942768"/>
        <c:crosses val="autoZero"/>
        <c:crossBetween val="between"/>
        <c:majorUnit val="1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Silver!$B$25</c:f>
              <c:strCache>
                <c:ptCount val="1"/>
                <c:pt idx="0">
                  <c:v>std error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Silver!$C$25:$F$25</c:f>
                <c:numCache>
                  <c:formatCode>General</c:formatCode>
                  <c:ptCount val="4"/>
                  <c:pt idx="0">
                    <c:v>11.569441373040036</c:v>
                  </c:pt>
                  <c:pt idx="1">
                    <c:v>5.322185443474968</c:v>
                  </c:pt>
                  <c:pt idx="2">
                    <c:v>7.2719721497932328</c:v>
                  </c:pt>
                  <c:pt idx="3">
                    <c:v>5.587840220812808</c:v>
                  </c:pt>
                </c:numCache>
              </c:numRef>
            </c:plus>
            <c:minus>
              <c:numRef>
                <c:f>Silver!$C$25:$F$25</c:f>
                <c:numCache>
                  <c:formatCode>General</c:formatCode>
                  <c:ptCount val="4"/>
                  <c:pt idx="0">
                    <c:v>11.569441373040036</c:v>
                  </c:pt>
                  <c:pt idx="1">
                    <c:v>5.322185443474968</c:v>
                  </c:pt>
                  <c:pt idx="2">
                    <c:v>7.2719721497932328</c:v>
                  </c:pt>
                  <c:pt idx="3">
                    <c:v>5.587840220812808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Silver!$C$2:$F$2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Silver!$C$24:$F$24</c:f>
              <c:numCache>
                <c:formatCode>General</c:formatCode>
                <c:ptCount val="4"/>
                <c:pt idx="0">
                  <c:v>60.75</c:v>
                </c:pt>
                <c:pt idx="1">
                  <c:v>35.75</c:v>
                </c:pt>
                <c:pt idx="2">
                  <c:v>40.5</c:v>
                </c:pt>
                <c:pt idx="3">
                  <c:v>30.625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C6-9744-8DC6-29D6311955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8774223"/>
        <c:axId val="966053583"/>
      </c:scatterChart>
      <c:valAx>
        <c:axId val="478774223"/>
        <c:scaling>
          <c:orientation val="minMax"/>
          <c:max val="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Week of Use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6053583"/>
        <c:crosses val="autoZero"/>
        <c:crossBetween val="midCat"/>
        <c:majorUnit val="1"/>
      </c:valAx>
      <c:valAx>
        <c:axId val="966053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Metal</a:t>
                </a:r>
                <a:r>
                  <a:rPr lang="en-US" baseline="0"/>
                  <a:t> Concentration in Effluent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7742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25031539565842"/>
          <c:y val="5.7180607659644639E-2"/>
          <c:w val="0.89204759211728368"/>
          <c:h val="0.9000286212423651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'[1]6 mo 2'!$C$129</c:f>
              <c:strCache>
                <c:ptCount val="1"/>
                <c:pt idx="0">
                  <c:v>q1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Simplified!$AU$51:$AU$54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Simplified!$AN$51:$AN$54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Simplified!$AV$51:$AV$54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F1-664A-8433-2FE77E3A44F9}"/>
            </c:ext>
          </c:extLst>
        </c:ser>
        <c:ser>
          <c:idx val="3"/>
          <c:order val="1"/>
          <c:tx>
            <c:strRef>
              <c:f>'[1]6 mo 2'!$D$129</c:f>
              <c:strCache>
                <c:ptCount val="1"/>
                <c:pt idx="0">
                  <c:v>median - q1</c:v>
                </c:pt>
              </c:strCache>
            </c:strRef>
          </c:tx>
          <c:spPr>
            <a:noFill/>
            <a:ln>
              <a:solidFill>
                <a:schemeClr val="tx1"/>
              </a:solidFill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Ref>
                <c:f>'[1]6 mo 2'!$B$130:$B$133</c:f>
                <c:numCache>
                  <c:formatCode>General</c:formatCode>
                  <c:ptCount val="4"/>
                  <c:pt idx="0">
                    <c:v>1.3617278360175928</c:v>
                  </c:pt>
                  <c:pt idx="1">
                    <c:v>1.9300425039677642</c:v>
                  </c:pt>
                  <c:pt idx="2">
                    <c:v>1.6535339753306495</c:v>
                  </c:pt>
                  <c:pt idx="3">
                    <c:v>0.58483966897600936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Simplified!$AN$51:$AN$54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Simplified!$AW$51:$AW$54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0.3010299956639812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F1-664A-8433-2FE77E3A44F9}"/>
            </c:ext>
          </c:extLst>
        </c:ser>
        <c:ser>
          <c:idx val="0"/>
          <c:order val="2"/>
          <c:tx>
            <c:strRef>
              <c:f>'[1]6 mo 2'!$E$129</c:f>
              <c:strCache>
                <c:ptCount val="1"/>
                <c:pt idx="0">
                  <c:v>q3 - median</c:v>
                </c:pt>
              </c:strCache>
            </c:strRef>
          </c:tx>
          <c:spPr>
            <a:noFill/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Simplified!$AY$51:$AY$54</c:f>
                <c:numCache>
                  <c:formatCode>General</c:formatCode>
                  <c:ptCount val="4"/>
                  <c:pt idx="0">
                    <c:v>3.1554579135119791</c:v>
                  </c:pt>
                  <c:pt idx="1">
                    <c:v>1.7494609965992796</c:v>
                  </c:pt>
                  <c:pt idx="2">
                    <c:v>2.791084167040359</c:v>
                  </c:pt>
                  <c:pt idx="3">
                    <c:v>2.4771212547196622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Simplified!$AN$51:$AN$54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Simplified!$AX$51:$AX$54</c:f>
              <c:numCache>
                <c:formatCode>General</c:formatCode>
                <c:ptCount val="4"/>
                <c:pt idx="0">
                  <c:v>0.75835593887173747</c:v>
                </c:pt>
                <c:pt idx="1">
                  <c:v>1.8633228601204559</c:v>
                </c:pt>
                <c:pt idx="2">
                  <c:v>1.3850070920153221</c:v>
                </c:pt>
                <c:pt idx="3">
                  <c:v>1.1760912590556813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5F1-664A-8433-2FE77E3A44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443942768"/>
        <c:axId val="-443939712"/>
      </c:barChart>
      <c:catAx>
        <c:axId val="-4439427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Week of Use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43939712"/>
        <c:crosses val="autoZero"/>
        <c:auto val="1"/>
        <c:lblAlgn val="ctr"/>
        <c:lblOffset val="100"/>
        <c:noMultiLvlLbl val="0"/>
      </c:catAx>
      <c:valAx>
        <c:axId val="-443939712"/>
        <c:scaling>
          <c:orientation val="minMax"/>
          <c:max val="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Outflow: Log Total</a:t>
                </a:r>
                <a:r>
                  <a:rPr lang="en-US" baseline="0"/>
                  <a:t> Coliform Bacteria per 100 ml of Water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43942768"/>
        <c:crosses val="autoZero"/>
        <c:crossBetween val="between"/>
        <c:majorUnit val="1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9"/>
          <c:order val="0"/>
          <c:tx>
            <c:v> Total Coliform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Simplified!$AP$69:$AP$72</c:f>
                <c:numCache>
                  <c:formatCode>General</c:formatCode>
                  <c:ptCount val="4"/>
                  <c:pt idx="0">
                    <c:v>0.2</c:v>
                  </c:pt>
                  <c:pt idx="1">
                    <c:v>0.23</c:v>
                  </c:pt>
                  <c:pt idx="2">
                    <c:v>0.24</c:v>
                  </c:pt>
                  <c:pt idx="3">
                    <c:v>0.21</c:v>
                  </c:pt>
                </c:numCache>
              </c:numRef>
            </c:plus>
            <c:minus>
              <c:numRef>
                <c:f>Simplified!$AP$69:$AP$72</c:f>
                <c:numCache>
                  <c:formatCode>General</c:formatCode>
                  <c:ptCount val="4"/>
                  <c:pt idx="0">
                    <c:v>0.2</c:v>
                  </c:pt>
                  <c:pt idx="1">
                    <c:v>0.23</c:v>
                  </c:pt>
                  <c:pt idx="2">
                    <c:v>0.24</c:v>
                  </c:pt>
                  <c:pt idx="3">
                    <c:v>0.21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Simplified!$AN$69:$AN$72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Simplified!$AO$69:$AO$72</c:f>
              <c:numCache>
                <c:formatCode>General</c:formatCode>
                <c:ptCount val="4"/>
                <c:pt idx="0">
                  <c:v>1.68</c:v>
                </c:pt>
                <c:pt idx="1">
                  <c:v>0.94</c:v>
                </c:pt>
                <c:pt idx="2">
                  <c:v>0.95</c:v>
                </c:pt>
                <c:pt idx="3">
                  <c:v>1.34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79A7-9A4F-BB1F-D587F786B2FE}"/>
            </c:ext>
          </c:extLst>
        </c:ser>
        <c:ser>
          <c:idx val="0"/>
          <c:order val="1"/>
          <c:tx>
            <c:v>E. coli</c:v>
          </c:tx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Simplified!$AR$69:$AR$72</c:f>
                <c:numCache>
                  <c:formatCode>General</c:formatCode>
                  <c:ptCount val="4"/>
                  <c:pt idx="0">
                    <c:v>0.11</c:v>
                  </c:pt>
                  <c:pt idx="1">
                    <c:v>0.11</c:v>
                  </c:pt>
                  <c:pt idx="2">
                    <c:v>0.05</c:v>
                  </c:pt>
                  <c:pt idx="3">
                    <c:v>0.05</c:v>
                  </c:pt>
                </c:numCache>
              </c:numRef>
            </c:plus>
            <c:minus>
              <c:numRef>
                <c:f>Simplified!$AR$69:$AR$72</c:f>
                <c:numCache>
                  <c:formatCode>General</c:formatCode>
                  <c:ptCount val="4"/>
                  <c:pt idx="0">
                    <c:v>0.11</c:v>
                  </c:pt>
                  <c:pt idx="1">
                    <c:v>0.11</c:v>
                  </c:pt>
                  <c:pt idx="2">
                    <c:v>0.05</c:v>
                  </c:pt>
                  <c:pt idx="3">
                    <c:v>0.05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Simplified!$AN$69:$AN$72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Simplified!$AQ$69:$AQ$72</c:f>
              <c:numCache>
                <c:formatCode>General</c:formatCode>
                <c:ptCount val="4"/>
                <c:pt idx="0">
                  <c:v>0.34</c:v>
                </c:pt>
                <c:pt idx="1">
                  <c:v>0.28999999999999998</c:v>
                </c:pt>
                <c:pt idx="2">
                  <c:v>0.11</c:v>
                </c:pt>
                <c:pt idx="3">
                  <c:v>0.12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79A7-9A4F-BB1F-D587F786B2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787263"/>
        <c:axId val="460983679"/>
      </c:scatterChart>
      <c:valAx>
        <c:axId val="458787263"/>
        <c:scaling>
          <c:orientation val="minMax"/>
          <c:max val="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Week</a:t>
                </a:r>
                <a:r>
                  <a:rPr lang="en-US" baseline="0"/>
                  <a:t> of Use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983679"/>
        <c:crosses val="autoZero"/>
        <c:crossBetween val="midCat"/>
        <c:majorUnit val="1"/>
      </c:valAx>
      <c:valAx>
        <c:axId val="4609836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</a:t>
                </a:r>
                <a:r>
                  <a:rPr lang="en-US" baseline="0"/>
                  <a:t> Reduction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7872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25031539565842"/>
          <c:y val="5.7180607659644639E-2"/>
          <c:w val="0.89204759211728368"/>
          <c:h val="0.9000286212423651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'[1]6 mo 2'!$C$129</c:f>
              <c:strCache>
                <c:ptCount val="1"/>
                <c:pt idx="0">
                  <c:v>q1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Simplified!$AO$59:$AO$62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Simplified!$AN$44:$AN$47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Simplified!$AP$59:$AP$62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76-FC42-8703-10B74A298A11}"/>
            </c:ext>
          </c:extLst>
        </c:ser>
        <c:ser>
          <c:idx val="3"/>
          <c:order val="1"/>
          <c:tx>
            <c:strRef>
              <c:f>'[1]6 mo 2'!$D$129</c:f>
              <c:strCache>
                <c:ptCount val="1"/>
                <c:pt idx="0">
                  <c:v>median - q1</c:v>
                </c:pt>
              </c:strCache>
            </c:strRef>
          </c:tx>
          <c:spPr>
            <a:noFill/>
            <a:ln>
              <a:solidFill>
                <a:schemeClr val="tx1"/>
              </a:solidFill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Ref>
                <c:f>'[1]6 mo 2'!$B$130:$B$133</c:f>
                <c:numCache>
                  <c:formatCode>General</c:formatCode>
                  <c:ptCount val="4"/>
                  <c:pt idx="0">
                    <c:v>1.3617278360175928</c:v>
                  </c:pt>
                  <c:pt idx="1">
                    <c:v>1.9300425039677642</c:v>
                  </c:pt>
                  <c:pt idx="2">
                    <c:v>1.6535339753306495</c:v>
                  </c:pt>
                  <c:pt idx="3">
                    <c:v>0.58483966897600936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Simplified!$AN$44:$AN$47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Simplified!$AQ$59:$AQ$62</c:f>
              <c:numCache>
                <c:formatCode>General</c:formatCode>
                <c:ptCount val="4"/>
                <c:pt idx="0">
                  <c:v>0.1505149978319906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76-FC42-8703-10B74A298A11}"/>
            </c:ext>
          </c:extLst>
        </c:ser>
        <c:ser>
          <c:idx val="0"/>
          <c:order val="2"/>
          <c:tx>
            <c:strRef>
              <c:f>'[1]6 mo 2'!$E$129</c:f>
              <c:strCache>
                <c:ptCount val="1"/>
                <c:pt idx="0">
                  <c:v>q3 - median</c:v>
                </c:pt>
              </c:strCache>
            </c:strRef>
          </c:tx>
          <c:spPr>
            <a:noFill/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Simplified!$AS$59:$AS$62</c:f>
                <c:numCache>
                  <c:formatCode>General</c:formatCode>
                  <c:ptCount val="4"/>
                  <c:pt idx="0">
                    <c:v>2.5293774815719199</c:v>
                  </c:pt>
                  <c:pt idx="1">
                    <c:v>1.6720978579357173</c:v>
                  </c:pt>
                  <c:pt idx="2">
                    <c:v>2.3010299956639813</c:v>
                  </c:pt>
                  <c:pt idx="3">
                    <c:v>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Simplified!$AN$44:$AN$47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Simplified!$AR$59:$AR$62</c:f>
              <c:numCache>
                <c:formatCode>General</c:formatCode>
                <c:ptCount val="4"/>
                <c:pt idx="0">
                  <c:v>0.52422750325201406</c:v>
                </c:pt>
                <c:pt idx="1">
                  <c:v>0.47712125471966244</c:v>
                </c:pt>
                <c:pt idx="2">
                  <c:v>0</c:v>
                </c:pt>
                <c:pt idx="3">
                  <c:v>0.3010299956639812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E76-FC42-8703-10B74A298A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443942768"/>
        <c:axId val="-443939712"/>
      </c:barChart>
      <c:catAx>
        <c:axId val="-4439427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Week of Use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43939712"/>
        <c:crosses val="autoZero"/>
        <c:auto val="1"/>
        <c:lblAlgn val="ctr"/>
        <c:lblOffset val="100"/>
        <c:noMultiLvlLbl val="0"/>
      </c:catAx>
      <c:valAx>
        <c:axId val="-4439397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Inflow: Log </a:t>
                </a:r>
                <a:r>
                  <a:rPr lang="en-US" baseline="0"/>
                  <a:t> E. coli Bacteria per 100 ml of Water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43942768"/>
        <c:crosses val="autoZero"/>
        <c:crossBetween val="between"/>
        <c:majorUnit val="1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25031539565842"/>
          <c:y val="5.7180607659644639E-2"/>
          <c:w val="0.89204759211728368"/>
          <c:h val="0.9000286212423651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'[1]6 mo 2'!$C$129</c:f>
              <c:strCache>
                <c:ptCount val="1"/>
                <c:pt idx="0">
                  <c:v>q1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Simplified!$AO$59:$AO$62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Simplified!$AN$44:$AN$47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Simplified!$AV$59:$AV$62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BE-5448-BA13-07089A9382BB}"/>
            </c:ext>
          </c:extLst>
        </c:ser>
        <c:ser>
          <c:idx val="3"/>
          <c:order val="1"/>
          <c:tx>
            <c:strRef>
              <c:f>'[1]6 mo 2'!$D$129</c:f>
              <c:strCache>
                <c:ptCount val="1"/>
                <c:pt idx="0">
                  <c:v>median - q1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Ref>
                <c:f>'[1]6 mo 2'!$B$130:$B$133</c:f>
                <c:numCache>
                  <c:formatCode>General</c:formatCode>
                  <c:ptCount val="4"/>
                  <c:pt idx="0">
                    <c:v>1.3617278360175928</c:v>
                  </c:pt>
                  <c:pt idx="1">
                    <c:v>1.9300425039677642</c:v>
                  </c:pt>
                  <c:pt idx="2">
                    <c:v>1.6535339753306495</c:v>
                  </c:pt>
                  <c:pt idx="3">
                    <c:v>0.58483966897600936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Simplified!$AN$44:$AN$47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Simplified!$AW$59:$AW$62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BE-5448-BA13-07089A9382BB}"/>
            </c:ext>
          </c:extLst>
        </c:ser>
        <c:ser>
          <c:idx val="0"/>
          <c:order val="2"/>
          <c:tx>
            <c:strRef>
              <c:f>'[1]6 mo 2'!$E$129</c:f>
              <c:strCache>
                <c:ptCount val="1"/>
                <c:pt idx="0">
                  <c:v>q3 - median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Simplified!$AY$59:$AY$62</c:f>
                <c:numCache>
                  <c:formatCode>General</c:formatCode>
                  <c:ptCount val="4"/>
                  <c:pt idx="0">
                    <c:v>1.146128035678238</c:v>
                  </c:pt>
                  <c:pt idx="1">
                    <c:v>1.5797835966168101</c:v>
                  </c:pt>
                  <c:pt idx="2">
                    <c:v>2</c:v>
                  </c:pt>
                  <c:pt idx="3">
                    <c:v>0.47712125471966244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Simplified!$AN$44:$AN$47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Simplified!$AX$59:$AX$62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EBE-5448-BA13-07089A9382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443942768"/>
        <c:axId val="-443939712"/>
      </c:barChart>
      <c:catAx>
        <c:axId val="-4439427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Week of Use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43939712"/>
        <c:crosses val="autoZero"/>
        <c:auto val="1"/>
        <c:lblAlgn val="ctr"/>
        <c:lblOffset val="100"/>
        <c:noMultiLvlLbl val="0"/>
      </c:catAx>
      <c:valAx>
        <c:axId val="-4439397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Inflow: Log E.</a:t>
                </a:r>
                <a:r>
                  <a:rPr lang="en-US" baseline="0"/>
                  <a:t> coli  Bacteria per 100 ml of Water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43942768"/>
        <c:crosses val="autoZero"/>
        <c:crossBetween val="between"/>
        <c:majorUnit val="1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25031539565842"/>
          <c:y val="5.7180607659644639E-2"/>
          <c:w val="0.89204759211728368"/>
          <c:h val="0.9000286212423651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'[1]6 mo 2'!$C$129</c:f>
              <c:strCache>
                <c:ptCount val="1"/>
                <c:pt idx="0">
                  <c:v>q1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'Simplified with dilution'!$AD$51:$AD$54</c:f>
                <c:numCache>
                  <c:formatCode>General</c:formatCode>
                  <c:ptCount val="4"/>
                  <c:pt idx="0">
                    <c:v>1.4756716507151759</c:v>
                  </c:pt>
                  <c:pt idx="1">
                    <c:v>1.8633228601204559</c:v>
                  </c:pt>
                  <c:pt idx="2">
                    <c:v>1.9489700043360187</c:v>
                  </c:pt>
                  <c:pt idx="3">
                    <c:v>1.0149403497929366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'Simplified with dilution'!$AC$44:$AC$47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'Simplified with dilution'!$AE$51:$AE$54</c:f>
              <c:numCache>
                <c:formatCode>General</c:formatCode>
                <c:ptCount val="4"/>
                <c:pt idx="0">
                  <c:v>2.2538229010988196</c:v>
                </c:pt>
                <c:pt idx="1">
                  <c:v>1.8633228601204559</c:v>
                </c:pt>
                <c:pt idx="2">
                  <c:v>1.9489700043360187</c:v>
                </c:pt>
                <c:pt idx="3">
                  <c:v>2.0149403497929366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44-9940-AA88-CE3C0D894315}"/>
            </c:ext>
          </c:extLst>
        </c:ser>
        <c:ser>
          <c:idx val="3"/>
          <c:order val="1"/>
          <c:tx>
            <c:strRef>
              <c:f>'[1]6 mo 2'!$D$129</c:f>
              <c:strCache>
                <c:ptCount val="1"/>
                <c:pt idx="0">
                  <c:v>median - q1</c:v>
                </c:pt>
              </c:strCache>
            </c:strRef>
          </c:tx>
          <c:spPr>
            <a:noFill/>
            <a:ln>
              <a:solidFill>
                <a:schemeClr val="tx1"/>
              </a:solidFill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Ref>
                <c:f>'[1]6 mo 2'!$B$130:$B$133</c:f>
                <c:numCache>
                  <c:formatCode>General</c:formatCode>
                  <c:ptCount val="4"/>
                  <c:pt idx="0">
                    <c:v>1.3617278360175928</c:v>
                  </c:pt>
                  <c:pt idx="1">
                    <c:v>1.9300425039677642</c:v>
                  </c:pt>
                  <c:pt idx="2">
                    <c:v>1.6535339753306495</c:v>
                  </c:pt>
                  <c:pt idx="3">
                    <c:v>0.58483966897600936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'Simplified with dilution'!$AC$44:$AC$47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'Simplified with dilution'!$AF$51:$AF$54</c:f>
              <c:numCache>
                <c:formatCode>General</c:formatCode>
                <c:ptCount val="4"/>
                <c:pt idx="0">
                  <c:v>0.71171206617476734</c:v>
                </c:pt>
                <c:pt idx="1">
                  <c:v>0.75629214562235036</c:v>
                </c:pt>
                <c:pt idx="2">
                  <c:v>0.68189005791818191</c:v>
                </c:pt>
                <c:pt idx="3">
                  <c:v>0.44670821827051865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44-9940-AA88-CE3C0D894315}"/>
            </c:ext>
          </c:extLst>
        </c:ser>
        <c:ser>
          <c:idx val="0"/>
          <c:order val="2"/>
          <c:tx>
            <c:strRef>
              <c:f>'[1]6 mo 2'!$E$129</c:f>
              <c:strCache>
                <c:ptCount val="1"/>
                <c:pt idx="0">
                  <c:v>q3 - median</c:v>
                </c:pt>
              </c:strCache>
            </c:strRef>
          </c:tx>
          <c:spPr>
            <a:noFill/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'Simplified with dilution'!$AH$51:$AH$54</c:f>
                <c:numCache>
                  <c:formatCode>General</c:formatCode>
                  <c:ptCount val="4"/>
                  <c:pt idx="0">
                    <c:v>0.96400668939957157</c:v>
                  </c:pt>
                  <c:pt idx="1">
                    <c:v>1.0977250795254982</c:v>
                  </c:pt>
                  <c:pt idx="2">
                    <c:v>0.61804529941581654</c:v>
                  </c:pt>
                  <c:pt idx="3">
                    <c:v>1.5985994592184563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'Simplified with dilution'!$AC$44:$AC$47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'Simplified with dilution'!$AG$51:$AG$54</c:f>
              <c:numCache>
                <c:formatCode>General</c:formatCode>
                <c:ptCount val="4"/>
                <c:pt idx="0">
                  <c:v>0.43967420073698404</c:v>
                </c:pt>
                <c:pt idx="1">
                  <c:v>0.7597811694513581</c:v>
                </c:pt>
                <c:pt idx="2">
                  <c:v>0.39454731481617022</c:v>
                </c:pt>
                <c:pt idx="3">
                  <c:v>0.41687322743775113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A44-9940-AA88-CE3C0D8943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443942768"/>
        <c:axId val="-443939712"/>
      </c:barChart>
      <c:catAx>
        <c:axId val="-4439427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Week of Use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43939712"/>
        <c:crosses val="autoZero"/>
        <c:auto val="1"/>
        <c:lblAlgn val="ctr"/>
        <c:lblOffset val="100"/>
        <c:noMultiLvlLbl val="0"/>
      </c:catAx>
      <c:valAx>
        <c:axId val="-4439397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Inflow: Log Total</a:t>
                </a:r>
                <a:r>
                  <a:rPr lang="en-US" baseline="0"/>
                  <a:t> Coliform Bacteria per 100 ml of Water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43942768"/>
        <c:crosses val="autoZero"/>
        <c:crossBetween val="between"/>
        <c:majorUnit val="1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25031539565842"/>
          <c:y val="5.7180607659644639E-2"/>
          <c:w val="0.89204759211728368"/>
          <c:h val="0.9000286212423651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'[1]6 mo 2'!$C$129</c:f>
              <c:strCache>
                <c:ptCount val="1"/>
                <c:pt idx="0">
                  <c:v>q1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'Simplified with dilution'!$AJ$51:$AJ$54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'Simplified with dilution'!$AC$51:$AC$54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'Simplified with dilution'!$AK$51:$AK$54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71-2645-BA5E-439C957F2FA5}"/>
            </c:ext>
          </c:extLst>
        </c:ser>
        <c:ser>
          <c:idx val="3"/>
          <c:order val="1"/>
          <c:tx>
            <c:strRef>
              <c:f>'[1]6 mo 2'!$D$129</c:f>
              <c:strCache>
                <c:ptCount val="1"/>
                <c:pt idx="0">
                  <c:v>median - q1</c:v>
                </c:pt>
              </c:strCache>
            </c:strRef>
          </c:tx>
          <c:spPr>
            <a:noFill/>
            <a:ln>
              <a:solidFill>
                <a:schemeClr val="tx1"/>
              </a:solidFill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Ref>
                <c:f>'[1]6 mo 2'!$B$130:$B$133</c:f>
                <c:numCache>
                  <c:formatCode>General</c:formatCode>
                  <c:ptCount val="4"/>
                  <c:pt idx="0">
                    <c:v>1.3617278360175928</c:v>
                  </c:pt>
                  <c:pt idx="1">
                    <c:v>1.9300425039677642</c:v>
                  </c:pt>
                  <c:pt idx="2">
                    <c:v>1.6535339753306495</c:v>
                  </c:pt>
                  <c:pt idx="3">
                    <c:v>0.58483966897600936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'Simplified with dilution'!$AC$51:$AC$54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'Simplified with dilution'!$AL$51:$AL$54</c:f>
              <c:numCache>
                <c:formatCode>General</c:formatCode>
                <c:ptCount val="4"/>
                <c:pt idx="0">
                  <c:v>0</c:v>
                </c:pt>
                <c:pt idx="1">
                  <c:v>1.7634279935629373</c:v>
                </c:pt>
                <c:pt idx="2">
                  <c:v>1.3433181346311467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71-2645-BA5E-439C957F2FA5}"/>
            </c:ext>
          </c:extLst>
        </c:ser>
        <c:ser>
          <c:idx val="0"/>
          <c:order val="2"/>
          <c:tx>
            <c:strRef>
              <c:f>'[1]6 mo 2'!$E$129</c:f>
              <c:strCache>
                <c:ptCount val="1"/>
                <c:pt idx="0">
                  <c:v>q3 - median</c:v>
                </c:pt>
              </c:strCache>
            </c:strRef>
          </c:tx>
          <c:spPr>
            <a:noFill/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'Simplified with dilution'!$AN$51:$AN$54</c:f>
                <c:numCache>
                  <c:formatCode>General</c:formatCode>
                  <c:ptCount val="4"/>
                  <c:pt idx="0">
                    <c:v>2.214843848047698</c:v>
                  </c:pt>
                  <c:pt idx="1">
                    <c:v>1.7140678144200479</c:v>
                  </c:pt>
                  <c:pt idx="2">
                    <c:v>2.0261131850524836</c:v>
                  </c:pt>
                  <c:pt idx="3">
                    <c:v>1.8860566476931631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'Simplified with dilution'!$AC$51:$AC$54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'Simplified with dilution'!$AM$51:$AM$54</c:f>
              <c:numCache>
                <c:formatCode>General</c:formatCode>
                <c:ptCount val="4"/>
                <c:pt idx="0">
                  <c:v>1.6989700043360187</c:v>
                </c:pt>
                <c:pt idx="1">
                  <c:v>0.99962544673667741</c:v>
                </c:pt>
                <c:pt idx="2">
                  <c:v>1.1076899350360323</c:v>
                </c:pt>
                <c:pt idx="3">
                  <c:v>1.7671558660821804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71-2645-BA5E-439C957F2F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443942768"/>
        <c:axId val="-443939712"/>
      </c:barChart>
      <c:catAx>
        <c:axId val="-4439427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Week of Use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43939712"/>
        <c:crosses val="autoZero"/>
        <c:auto val="1"/>
        <c:lblAlgn val="ctr"/>
        <c:lblOffset val="100"/>
        <c:noMultiLvlLbl val="0"/>
      </c:catAx>
      <c:valAx>
        <c:axId val="-443939712"/>
        <c:scaling>
          <c:orientation val="minMax"/>
          <c:max val="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Outflow: Log Total</a:t>
                </a:r>
                <a:r>
                  <a:rPr lang="en-US" baseline="0"/>
                  <a:t> Coliform Bacteria per 100 ml of Water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43942768"/>
        <c:crosses val="autoZero"/>
        <c:crossBetween val="between"/>
        <c:majorUnit val="1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9"/>
          <c:order val="0"/>
          <c:tx>
            <c:v> Total Coliform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'Simplified with dilution'!$AE$69:$AE$72</c:f>
                <c:numCache>
                  <c:formatCode>General</c:formatCode>
                  <c:ptCount val="4"/>
                  <c:pt idx="0">
                    <c:v>0.2</c:v>
                  </c:pt>
                  <c:pt idx="1">
                    <c:v>0.23</c:v>
                  </c:pt>
                  <c:pt idx="2">
                    <c:v>0.24</c:v>
                  </c:pt>
                  <c:pt idx="3">
                    <c:v>0.21</c:v>
                  </c:pt>
                </c:numCache>
              </c:numRef>
            </c:plus>
            <c:minus>
              <c:numRef>
                <c:f>'Simplified with dilution'!$AE$69:$AE$72</c:f>
                <c:numCache>
                  <c:formatCode>General</c:formatCode>
                  <c:ptCount val="4"/>
                  <c:pt idx="0">
                    <c:v>0.2</c:v>
                  </c:pt>
                  <c:pt idx="1">
                    <c:v>0.23</c:v>
                  </c:pt>
                  <c:pt idx="2">
                    <c:v>0.24</c:v>
                  </c:pt>
                  <c:pt idx="3">
                    <c:v>0.21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'Simplified with dilution'!$AC$69:$AC$72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'Simplified with dilution'!$AD$69:$AD$72</c:f>
              <c:numCache>
                <c:formatCode>General</c:formatCode>
                <c:ptCount val="4"/>
                <c:pt idx="0">
                  <c:v>1.68</c:v>
                </c:pt>
                <c:pt idx="1">
                  <c:v>0.94</c:v>
                </c:pt>
                <c:pt idx="2">
                  <c:v>0.95</c:v>
                </c:pt>
                <c:pt idx="3">
                  <c:v>1.34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DF-934E-AA03-B042FB247FAC}"/>
            </c:ext>
          </c:extLst>
        </c:ser>
        <c:ser>
          <c:idx val="0"/>
          <c:order val="1"/>
          <c:tx>
            <c:v>E. coli</c:v>
          </c:tx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'Simplified with dilution'!$AG$69:$AG$72</c:f>
                <c:numCache>
                  <c:formatCode>General</c:formatCode>
                  <c:ptCount val="4"/>
                  <c:pt idx="0">
                    <c:v>0.11</c:v>
                  </c:pt>
                  <c:pt idx="1">
                    <c:v>0.11</c:v>
                  </c:pt>
                  <c:pt idx="2">
                    <c:v>0.05</c:v>
                  </c:pt>
                  <c:pt idx="3">
                    <c:v>0.05</c:v>
                  </c:pt>
                </c:numCache>
              </c:numRef>
            </c:plus>
            <c:minus>
              <c:numRef>
                <c:f>'Simplified with dilution'!$AG$69:$AG$72</c:f>
                <c:numCache>
                  <c:formatCode>General</c:formatCode>
                  <c:ptCount val="4"/>
                  <c:pt idx="0">
                    <c:v>0.11</c:v>
                  </c:pt>
                  <c:pt idx="1">
                    <c:v>0.11</c:v>
                  </c:pt>
                  <c:pt idx="2">
                    <c:v>0.05</c:v>
                  </c:pt>
                  <c:pt idx="3">
                    <c:v>0.05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'Simplified with dilution'!$AC$69:$AC$72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'Simplified with dilution'!$AF$69:$AF$72</c:f>
              <c:numCache>
                <c:formatCode>General</c:formatCode>
                <c:ptCount val="4"/>
                <c:pt idx="0">
                  <c:v>0.34</c:v>
                </c:pt>
                <c:pt idx="1">
                  <c:v>0.28999999999999998</c:v>
                </c:pt>
                <c:pt idx="2">
                  <c:v>0.11</c:v>
                </c:pt>
                <c:pt idx="3">
                  <c:v>0.12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8DF-934E-AA03-B042FB247F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787263"/>
        <c:axId val="460983679"/>
      </c:scatterChart>
      <c:valAx>
        <c:axId val="458787263"/>
        <c:scaling>
          <c:orientation val="minMax"/>
          <c:max val="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Week</a:t>
                </a:r>
                <a:r>
                  <a:rPr lang="en-US" baseline="0"/>
                  <a:t> of Use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983679"/>
        <c:crosses val="autoZero"/>
        <c:crossBetween val="midCat"/>
        <c:majorUnit val="1"/>
      </c:valAx>
      <c:valAx>
        <c:axId val="4609836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</a:t>
                </a:r>
                <a:r>
                  <a:rPr lang="en-US" baseline="0"/>
                  <a:t> Reduction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7872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25031539565842"/>
          <c:y val="5.7180607659644639E-2"/>
          <c:w val="0.89204759211728368"/>
          <c:h val="0.9000286212423651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'[1]6 mo 2'!$C$129</c:f>
              <c:strCache>
                <c:ptCount val="1"/>
                <c:pt idx="0">
                  <c:v>q1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'Simplified with dilution'!$AD$59:$AD$62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'Simplified with dilution'!$AC$44:$AC$47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'Simplified with dilution'!$AE$59:$AE$62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4A-4444-9EBD-0FE2EDD4F35A}"/>
            </c:ext>
          </c:extLst>
        </c:ser>
        <c:ser>
          <c:idx val="3"/>
          <c:order val="1"/>
          <c:tx>
            <c:strRef>
              <c:f>'[1]6 mo 2'!$D$129</c:f>
              <c:strCache>
                <c:ptCount val="1"/>
                <c:pt idx="0">
                  <c:v>median - q1</c:v>
                </c:pt>
              </c:strCache>
            </c:strRef>
          </c:tx>
          <c:spPr>
            <a:noFill/>
            <a:ln>
              <a:solidFill>
                <a:schemeClr val="tx1"/>
              </a:solidFill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Ref>
                <c:f>'[1]6 mo 2'!$B$130:$B$133</c:f>
                <c:numCache>
                  <c:formatCode>General</c:formatCode>
                  <c:ptCount val="4"/>
                  <c:pt idx="0">
                    <c:v>1.3617278360175928</c:v>
                  </c:pt>
                  <c:pt idx="1">
                    <c:v>1.9300425039677642</c:v>
                  </c:pt>
                  <c:pt idx="2">
                    <c:v>1.6535339753306495</c:v>
                  </c:pt>
                  <c:pt idx="3">
                    <c:v>0.58483966897600936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'Simplified with dilution'!$AC$44:$AC$47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'Simplified with dilution'!$AF$59:$AF$62</c:f>
              <c:numCache>
                <c:formatCode>General</c:formatCode>
                <c:ptCount val="4"/>
                <c:pt idx="0">
                  <c:v>0.3010299956639812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4A-4444-9EBD-0FE2EDD4F35A}"/>
            </c:ext>
          </c:extLst>
        </c:ser>
        <c:ser>
          <c:idx val="0"/>
          <c:order val="2"/>
          <c:tx>
            <c:strRef>
              <c:f>'[1]6 mo 2'!$E$129</c:f>
              <c:strCache>
                <c:ptCount val="1"/>
                <c:pt idx="0">
                  <c:v>q3 - median</c:v>
                </c:pt>
              </c:strCache>
            </c:strRef>
          </c:tx>
          <c:spPr>
            <a:noFill/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'Simplified with dilution'!$AH$59:$AH$62</c:f>
                <c:numCache>
                  <c:formatCode>General</c:formatCode>
                  <c:ptCount val="4"/>
                  <c:pt idx="0">
                    <c:v>2.445764043784187</c:v>
                  </c:pt>
                  <c:pt idx="1">
                    <c:v>1.8535461212539044</c:v>
                  </c:pt>
                  <c:pt idx="2">
                    <c:v>2.1817496819840656</c:v>
                  </c:pt>
                  <c:pt idx="3">
                    <c:v>1.1505149978319906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'Simplified with dilution'!$AC$44:$AC$47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'Simplified with dilution'!$AG$59:$AG$62</c:f>
              <c:numCache>
                <c:formatCode>General</c:formatCode>
                <c:ptCount val="4"/>
                <c:pt idx="0">
                  <c:v>0.45732594320775627</c:v>
                </c:pt>
                <c:pt idx="1">
                  <c:v>0.6020599913279624</c:v>
                </c:pt>
                <c:pt idx="2">
                  <c:v>0.11928031367991561</c:v>
                </c:pt>
                <c:pt idx="3">
                  <c:v>0.1505149978319906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4A-4444-9EBD-0FE2EDD4F3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443942768"/>
        <c:axId val="-443939712"/>
      </c:barChart>
      <c:catAx>
        <c:axId val="-4439427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Week of Use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43939712"/>
        <c:crosses val="autoZero"/>
        <c:auto val="1"/>
        <c:lblAlgn val="ctr"/>
        <c:lblOffset val="100"/>
        <c:noMultiLvlLbl val="0"/>
      </c:catAx>
      <c:valAx>
        <c:axId val="-4439397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Inflow: Log </a:t>
                </a:r>
                <a:r>
                  <a:rPr lang="en-US" baseline="0"/>
                  <a:t> E. coli Bacteria per 100 ml of Water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43942768"/>
        <c:crosses val="autoZero"/>
        <c:crossBetween val="between"/>
        <c:majorUnit val="1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53</xdr:col>
      <xdr:colOff>389467</xdr:colOff>
      <xdr:row>15</xdr:row>
      <xdr:rowOff>118533</xdr:rowOff>
    </xdr:from>
    <xdr:to>
      <xdr:col>68</xdr:col>
      <xdr:colOff>762000</xdr:colOff>
      <xdr:row>41</xdr:row>
      <xdr:rowOff>101600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D113A78-8C16-4349-8850-E643E3DDA9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53</xdr:col>
      <xdr:colOff>186267</xdr:colOff>
      <xdr:row>42</xdr:row>
      <xdr:rowOff>135467</xdr:rowOff>
    </xdr:from>
    <xdr:to>
      <xdr:col>68</xdr:col>
      <xdr:colOff>558800</xdr:colOff>
      <xdr:row>68</xdr:row>
      <xdr:rowOff>118534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A476D22-9823-5F48-9193-0841AE4910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43</xdr:col>
      <xdr:colOff>12700</xdr:colOff>
      <xdr:row>78</xdr:row>
      <xdr:rowOff>114300</xdr:rowOff>
    </xdr:from>
    <xdr:to>
      <xdr:col>48</xdr:col>
      <xdr:colOff>139700</xdr:colOff>
      <xdr:row>92</xdr:row>
      <xdr:rowOff>12700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5D83242-9807-3249-BD0B-DF14734A36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70</xdr:col>
      <xdr:colOff>762000</xdr:colOff>
      <xdr:row>15</xdr:row>
      <xdr:rowOff>177800</xdr:rowOff>
    </xdr:from>
    <xdr:to>
      <xdr:col>86</xdr:col>
      <xdr:colOff>296333</xdr:colOff>
      <xdr:row>41</xdr:row>
      <xdr:rowOff>160867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6A4F6C3-0B24-5946-9D41-8E4813A659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70</xdr:col>
      <xdr:colOff>677334</xdr:colOff>
      <xdr:row>43</xdr:row>
      <xdr:rowOff>135467</xdr:rowOff>
    </xdr:from>
    <xdr:to>
      <xdr:col>86</xdr:col>
      <xdr:colOff>211667</xdr:colOff>
      <xdr:row>69</xdr:row>
      <xdr:rowOff>118534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656A097-6F78-DF4D-A2D5-40C987D8C6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389467</xdr:colOff>
      <xdr:row>15</xdr:row>
      <xdr:rowOff>118533</xdr:rowOff>
    </xdr:from>
    <xdr:to>
      <xdr:col>57</xdr:col>
      <xdr:colOff>762000</xdr:colOff>
      <xdr:row>41</xdr:row>
      <xdr:rowOff>101600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BEE868F-CC91-E748-A992-B3BB6E1141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42</xdr:col>
      <xdr:colOff>186267</xdr:colOff>
      <xdr:row>42</xdr:row>
      <xdr:rowOff>135467</xdr:rowOff>
    </xdr:from>
    <xdr:to>
      <xdr:col>57</xdr:col>
      <xdr:colOff>558800</xdr:colOff>
      <xdr:row>68</xdr:row>
      <xdr:rowOff>118534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F5D8398-6139-844F-B8E1-EC94E4E204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12700</xdr:colOff>
      <xdr:row>78</xdr:row>
      <xdr:rowOff>114300</xdr:rowOff>
    </xdr:from>
    <xdr:to>
      <xdr:col>37</xdr:col>
      <xdr:colOff>139700</xdr:colOff>
      <xdr:row>92</xdr:row>
      <xdr:rowOff>12700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E9C624E-E852-664E-9F14-6414D4F2EC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59</xdr:col>
      <xdr:colOff>762000</xdr:colOff>
      <xdr:row>15</xdr:row>
      <xdr:rowOff>177800</xdr:rowOff>
    </xdr:from>
    <xdr:to>
      <xdr:col>75</xdr:col>
      <xdr:colOff>296333</xdr:colOff>
      <xdr:row>41</xdr:row>
      <xdr:rowOff>160867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F635DFD-F923-9D4F-81FD-5889B7E057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59</xdr:col>
      <xdr:colOff>677334</xdr:colOff>
      <xdr:row>43</xdr:row>
      <xdr:rowOff>135467</xdr:rowOff>
    </xdr:from>
    <xdr:to>
      <xdr:col>75</xdr:col>
      <xdr:colOff>211667</xdr:colOff>
      <xdr:row>69</xdr:row>
      <xdr:rowOff>118534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2D1D5D4-B75D-E446-96F9-61580C4377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107950</xdr:colOff>
      <xdr:row>14</xdr:row>
      <xdr:rowOff>12700</xdr:rowOff>
    </xdr:from>
    <xdr:to>
      <xdr:col>13</xdr:col>
      <xdr:colOff>552450</xdr:colOff>
      <xdr:row>27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36FE95-88C1-E941-8A60-BC1E2F8C79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cc2/Documents/Log%20transformed%20maditrial%20disinfection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 mo 2"/>
      <sheetName val="12 mo 2"/>
      <sheetName val="18 mo"/>
      <sheetName val="24 mo"/>
    </sheetNames>
    <sheetDataSet>
      <sheetData sheetId="0">
        <row r="129">
          <cell r="C129" t="str">
            <v>q1</v>
          </cell>
          <cell r="D129" t="str">
            <v>median - q1</v>
          </cell>
          <cell r="E129" t="str">
            <v>q3 - median</v>
          </cell>
        </row>
        <row r="130">
          <cell r="B130">
            <v>1.3617278360175928</v>
          </cell>
        </row>
        <row r="131">
          <cell r="B131">
            <v>1.9300425039677642</v>
          </cell>
        </row>
        <row r="132">
          <cell r="B132">
            <v>1.6535339753306495</v>
          </cell>
        </row>
        <row r="133">
          <cell r="B133">
            <v>0.58483966897600936</v>
          </cell>
        </row>
      </sheetData>
      <sheetData sheetId="1"/>
      <sheetData sheetId="2"/>
      <sheetData sheetId="3">
        <row r="2">
          <cell r="AX2" t="str">
            <v>TC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48517A-34C8-ED4F-A80C-47958C25B914}">
  <dimension ref="A1:BT263"/>
  <sheetViews>
    <sheetView topLeftCell="A67" zoomScaleNormal="100" workbookViewId="0">
      <selection activeCell="D3" sqref="D3"/>
    </sheetView>
  </sheetViews>
  <sheetFormatPr baseColWidth="10" defaultRowHeight="16" x14ac:dyDescent="0.2"/>
  <sheetData>
    <row r="1" spans="1:72" x14ac:dyDescent="0.2">
      <c r="A1" t="s">
        <v>0</v>
      </c>
      <c r="B1" t="s">
        <v>1</v>
      </c>
      <c r="C1" t="s">
        <v>2</v>
      </c>
      <c r="F1" t="s">
        <v>0</v>
      </c>
      <c r="G1" t="s">
        <v>1</v>
      </c>
      <c r="H1" t="s">
        <v>2</v>
      </c>
      <c r="K1" t="s">
        <v>0</v>
      </c>
      <c r="L1" t="s">
        <v>1</v>
      </c>
      <c r="M1" t="s">
        <v>2</v>
      </c>
      <c r="P1" t="s">
        <v>0</v>
      </c>
      <c r="Q1" t="s">
        <v>1</v>
      </c>
      <c r="R1" t="s">
        <v>2</v>
      </c>
      <c r="U1" t="s">
        <v>0</v>
      </c>
      <c r="V1" t="s">
        <v>1</v>
      </c>
      <c r="W1" t="s">
        <v>2</v>
      </c>
      <c r="Z1" t="s">
        <v>0</v>
      </c>
      <c r="AA1" t="s">
        <v>1</v>
      </c>
      <c r="AB1" t="s">
        <v>2</v>
      </c>
      <c r="AE1" t="s">
        <v>0</v>
      </c>
      <c r="AF1" t="s">
        <v>1</v>
      </c>
      <c r="AG1" t="s">
        <v>2</v>
      </c>
      <c r="AJ1" t="s">
        <v>0</v>
      </c>
      <c r="AK1" t="s">
        <v>1</v>
      </c>
      <c r="AL1" t="s">
        <v>2</v>
      </c>
      <c r="AO1" t="s">
        <v>0</v>
      </c>
      <c r="AP1" t="s">
        <v>1</v>
      </c>
      <c r="AQ1" t="s">
        <v>2</v>
      </c>
      <c r="AT1" t="s">
        <v>0</v>
      </c>
      <c r="AU1" t="s">
        <v>1</v>
      </c>
      <c r="AV1" t="s">
        <v>2</v>
      </c>
      <c r="AY1" t="s">
        <v>0</v>
      </c>
      <c r="AZ1" t="s">
        <v>1</v>
      </c>
      <c r="BA1" t="s">
        <v>2</v>
      </c>
      <c r="BD1" t="s">
        <v>0</v>
      </c>
      <c r="BE1" t="s">
        <v>1</v>
      </c>
      <c r="BF1" t="s">
        <v>2</v>
      </c>
      <c r="BI1" t="s">
        <v>0</v>
      </c>
      <c r="BJ1" t="s">
        <v>1</v>
      </c>
      <c r="BK1" t="s">
        <v>2</v>
      </c>
      <c r="BN1" t="s">
        <v>0</v>
      </c>
      <c r="BO1" t="s">
        <v>1</v>
      </c>
      <c r="BP1" t="s">
        <v>2</v>
      </c>
      <c r="BS1" t="s">
        <v>0</v>
      </c>
      <c r="BT1" t="s">
        <v>1</v>
      </c>
    </row>
    <row r="2" spans="1:72" x14ac:dyDescent="0.2">
      <c r="A2" s="26">
        <v>43872</v>
      </c>
      <c r="B2" s="26"/>
      <c r="C2" s="26"/>
      <c r="F2" s="26">
        <v>43873</v>
      </c>
      <c r="G2" s="26"/>
      <c r="H2" s="26"/>
      <c r="K2" s="26">
        <v>43878</v>
      </c>
      <c r="L2" s="26"/>
      <c r="M2" s="26"/>
      <c r="P2" s="26">
        <v>43879</v>
      </c>
      <c r="Q2" s="26"/>
      <c r="R2" s="26"/>
      <c r="U2" s="26">
        <v>43880</v>
      </c>
      <c r="V2" s="26"/>
      <c r="W2" s="26"/>
      <c r="Z2" s="26">
        <v>43881</v>
      </c>
      <c r="AA2" s="26"/>
      <c r="AB2" s="26"/>
      <c r="AE2" s="26">
        <v>43882</v>
      </c>
      <c r="AF2" s="26"/>
      <c r="AG2" s="26"/>
      <c r="AJ2" s="26">
        <v>43885</v>
      </c>
      <c r="AK2" s="26"/>
      <c r="AL2" s="26"/>
      <c r="AO2" s="26">
        <v>43886</v>
      </c>
      <c r="AP2" s="26"/>
      <c r="AQ2" s="26"/>
      <c r="AT2" s="27">
        <v>43887</v>
      </c>
      <c r="AU2" s="27"/>
      <c r="AV2" s="27"/>
      <c r="AY2" s="27">
        <v>43888</v>
      </c>
      <c r="AZ2" s="27"/>
      <c r="BA2" s="27"/>
      <c r="BD2" s="27">
        <v>43889</v>
      </c>
      <c r="BE2" s="27"/>
      <c r="BF2" s="27"/>
      <c r="BI2" s="27">
        <v>43892</v>
      </c>
      <c r="BJ2" s="27"/>
      <c r="BK2" s="27"/>
      <c r="BN2" s="27">
        <v>43893</v>
      </c>
      <c r="BO2" s="27"/>
      <c r="BP2" s="27"/>
      <c r="BS2" s="27">
        <v>43894</v>
      </c>
      <c r="BT2" s="27"/>
    </row>
    <row r="3" spans="1:72" x14ac:dyDescent="0.2">
      <c r="A3" s="1" t="s">
        <v>3</v>
      </c>
      <c r="B3" s="1">
        <v>48</v>
      </c>
      <c r="C3" s="1">
        <v>0</v>
      </c>
      <c r="F3" s="1" t="s">
        <v>4</v>
      </c>
      <c r="G3" s="1">
        <v>32</v>
      </c>
      <c r="H3" s="1">
        <v>0</v>
      </c>
      <c r="K3" s="2" t="s">
        <v>5</v>
      </c>
      <c r="L3" t="s">
        <v>6</v>
      </c>
      <c r="M3">
        <v>0</v>
      </c>
      <c r="P3" s="3" t="s">
        <v>7</v>
      </c>
      <c r="Q3" s="1">
        <v>55</v>
      </c>
      <c r="R3" s="1">
        <v>0</v>
      </c>
      <c r="U3" s="3" t="s">
        <v>8</v>
      </c>
      <c r="V3" s="1">
        <v>102</v>
      </c>
      <c r="W3" s="1">
        <v>0</v>
      </c>
      <c r="Z3" s="2" t="s">
        <v>9</v>
      </c>
      <c r="AA3" t="s">
        <v>6</v>
      </c>
      <c r="AB3" t="s">
        <v>6</v>
      </c>
      <c r="AE3" s="3" t="s">
        <v>10</v>
      </c>
      <c r="AF3" s="1">
        <v>23</v>
      </c>
      <c r="AG3" s="1">
        <v>2</v>
      </c>
      <c r="AJ3" s="4" t="s">
        <v>11</v>
      </c>
      <c r="AK3" t="s">
        <v>6</v>
      </c>
      <c r="AL3" s="1">
        <v>5</v>
      </c>
      <c r="AO3" s="1" t="s">
        <v>12</v>
      </c>
      <c r="AP3" s="1">
        <v>161</v>
      </c>
      <c r="AQ3" s="1">
        <v>0</v>
      </c>
      <c r="AT3" s="2" t="s">
        <v>10</v>
      </c>
      <c r="AU3" s="4" t="s">
        <v>6</v>
      </c>
      <c r="AV3" s="1">
        <v>20</v>
      </c>
      <c r="AY3" s="3" t="s">
        <v>7</v>
      </c>
      <c r="AZ3">
        <v>119</v>
      </c>
      <c r="BA3">
        <v>1</v>
      </c>
      <c r="BD3" s="3" t="s">
        <v>13</v>
      </c>
      <c r="BE3">
        <v>112</v>
      </c>
      <c r="BF3">
        <v>0</v>
      </c>
      <c r="BI3" s="1" t="s">
        <v>11</v>
      </c>
      <c r="BJ3" s="1">
        <v>55</v>
      </c>
      <c r="BK3" s="1">
        <v>0</v>
      </c>
      <c r="BN3" s="1" t="s">
        <v>11</v>
      </c>
      <c r="BO3" s="1">
        <v>107</v>
      </c>
      <c r="BP3" s="1">
        <v>0</v>
      </c>
      <c r="BS3" s="2" t="s">
        <v>13</v>
      </c>
      <c r="BT3" s="4">
        <v>14</v>
      </c>
    </row>
    <row r="4" spans="1:72" x14ac:dyDescent="0.2">
      <c r="A4" t="s">
        <v>14</v>
      </c>
      <c r="B4">
        <v>2</v>
      </c>
      <c r="C4">
        <v>0</v>
      </c>
      <c r="F4" s="4" t="s">
        <v>15</v>
      </c>
      <c r="G4">
        <v>13</v>
      </c>
      <c r="H4">
        <v>0</v>
      </c>
      <c r="K4" s="3" t="s">
        <v>16</v>
      </c>
      <c r="L4">
        <v>9</v>
      </c>
      <c r="M4">
        <v>0</v>
      </c>
      <c r="P4" s="2" t="s">
        <v>17</v>
      </c>
      <c r="Q4">
        <v>6</v>
      </c>
      <c r="R4">
        <v>0</v>
      </c>
      <c r="U4" s="2" t="s">
        <v>18</v>
      </c>
      <c r="V4">
        <v>2</v>
      </c>
      <c r="W4">
        <v>0</v>
      </c>
      <c r="Z4" s="3" t="s">
        <v>19</v>
      </c>
      <c r="AA4" s="1">
        <v>92</v>
      </c>
      <c r="AB4" s="1">
        <v>4</v>
      </c>
      <c r="AE4" s="2" t="s">
        <v>20</v>
      </c>
      <c r="AF4">
        <v>2</v>
      </c>
      <c r="AG4">
        <v>0</v>
      </c>
      <c r="AJ4" s="1" t="s">
        <v>21</v>
      </c>
      <c r="AK4" s="1">
        <v>25</v>
      </c>
      <c r="AL4">
        <v>0</v>
      </c>
      <c r="AO4" s="4" t="s">
        <v>22</v>
      </c>
      <c r="AP4">
        <v>17</v>
      </c>
      <c r="AQ4">
        <v>0</v>
      </c>
      <c r="AT4" s="3" t="s">
        <v>20</v>
      </c>
      <c r="AU4" s="1">
        <v>16</v>
      </c>
      <c r="AV4" s="4">
        <v>0</v>
      </c>
      <c r="AY4" s="2" t="s">
        <v>17</v>
      </c>
      <c r="AZ4">
        <v>6</v>
      </c>
      <c r="BA4">
        <v>0</v>
      </c>
      <c r="BD4" s="2" t="s">
        <v>23</v>
      </c>
      <c r="BE4">
        <v>5</v>
      </c>
      <c r="BF4">
        <v>0</v>
      </c>
      <c r="BI4" s="4" t="s">
        <v>21</v>
      </c>
      <c r="BJ4" s="4">
        <v>1</v>
      </c>
      <c r="BK4" s="4">
        <v>0</v>
      </c>
      <c r="BN4" s="4" t="s">
        <v>21</v>
      </c>
      <c r="BO4" s="4">
        <v>1</v>
      </c>
      <c r="BP4" s="4">
        <v>0</v>
      </c>
      <c r="BS4" s="2" t="s">
        <v>23</v>
      </c>
      <c r="BT4" s="4">
        <v>0</v>
      </c>
    </row>
    <row r="5" spans="1:72" x14ac:dyDescent="0.2">
      <c r="A5" s="1" t="s">
        <v>24</v>
      </c>
      <c r="B5" s="1">
        <v>0</v>
      </c>
      <c r="C5" s="1">
        <v>0</v>
      </c>
      <c r="F5" s="1" t="s">
        <v>25</v>
      </c>
      <c r="G5" s="1">
        <v>0</v>
      </c>
      <c r="H5" s="1">
        <v>0</v>
      </c>
      <c r="K5" s="3" t="s">
        <v>26</v>
      </c>
      <c r="L5">
        <v>0</v>
      </c>
      <c r="M5">
        <v>0</v>
      </c>
      <c r="P5" s="3" t="s">
        <v>27</v>
      </c>
      <c r="Q5" s="1">
        <v>192</v>
      </c>
      <c r="R5" s="1">
        <v>9</v>
      </c>
      <c r="U5" s="3" t="s">
        <v>28</v>
      </c>
      <c r="V5" s="5">
        <v>0</v>
      </c>
      <c r="W5" s="5">
        <v>0</v>
      </c>
      <c r="Z5" s="3" t="s">
        <v>29</v>
      </c>
      <c r="AA5" s="1">
        <v>0</v>
      </c>
      <c r="AB5" s="1">
        <v>0</v>
      </c>
      <c r="AE5" s="3" t="s">
        <v>30</v>
      </c>
      <c r="AF5" s="1">
        <v>1</v>
      </c>
      <c r="AG5" s="1">
        <v>0</v>
      </c>
      <c r="AJ5" s="1" t="s">
        <v>31</v>
      </c>
      <c r="AK5" s="1">
        <v>0</v>
      </c>
      <c r="AL5" s="1">
        <v>0</v>
      </c>
      <c r="AO5" s="1" t="s">
        <v>32</v>
      </c>
      <c r="AP5" s="1">
        <v>78</v>
      </c>
      <c r="AQ5" s="1">
        <v>0</v>
      </c>
      <c r="AT5" s="3" t="s">
        <v>30</v>
      </c>
      <c r="AU5" s="1">
        <v>132</v>
      </c>
      <c r="AV5" s="1">
        <v>2</v>
      </c>
      <c r="AY5" s="3" t="s">
        <v>27</v>
      </c>
      <c r="AZ5">
        <v>26</v>
      </c>
      <c r="BA5">
        <v>1</v>
      </c>
      <c r="BD5" s="3" t="s">
        <v>33</v>
      </c>
      <c r="BE5">
        <v>0</v>
      </c>
      <c r="BF5">
        <v>0</v>
      </c>
      <c r="BI5" s="1" t="s">
        <v>31</v>
      </c>
      <c r="BJ5" s="1">
        <v>14</v>
      </c>
      <c r="BK5" s="1">
        <v>0</v>
      </c>
      <c r="BN5" s="1" t="s">
        <v>31</v>
      </c>
      <c r="BO5" s="1">
        <v>0</v>
      </c>
      <c r="BP5" s="1">
        <v>0</v>
      </c>
      <c r="BS5" s="2" t="s">
        <v>33</v>
      </c>
      <c r="BT5" s="4">
        <v>0</v>
      </c>
    </row>
    <row r="6" spans="1:72" x14ac:dyDescent="0.2">
      <c r="A6" t="s">
        <v>34</v>
      </c>
      <c r="B6">
        <v>2</v>
      </c>
      <c r="C6">
        <v>0</v>
      </c>
      <c r="F6" s="4" t="s">
        <v>35</v>
      </c>
      <c r="G6">
        <v>0</v>
      </c>
      <c r="H6">
        <v>0</v>
      </c>
      <c r="K6" s="2" t="s">
        <v>36</v>
      </c>
      <c r="L6">
        <v>0</v>
      </c>
      <c r="M6">
        <v>0</v>
      </c>
      <c r="P6" s="2" t="s">
        <v>37</v>
      </c>
      <c r="Q6">
        <v>34</v>
      </c>
      <c r="R6">
        <v>0</v>
      </c>
      <c r="U6" s="2" t="s">
        <v>38</v>
      </c>
      <c r="V6">
        <v>0</v>
      </c>
      <c r="W6">
        <v>0</v>
      </c>
      <c r="Z6" s="2" t="s">
        <v>39</v>
      </c>
      <c r="AA6">
        <v>0</v>
      </c>
      <c r="AB6">
        <v>0</v>
      </c>
      <c r="AE6" s="2" t="s">
        <v>40</v>
      </c>
      <c r="AF6">
        <v>0</v>
      </c>
      <c r="AG6">
        <v>0</v>
      </c>
      <c r="AJ6" s="4" t="s">
        <v>41</v>
      </c>
      <c r="AK6">
        <v>0</v>
      </c>
      <c r="AL6">
        <v>0</v>
      </c>
      <c r="AO6" s="4" t="s">
        <v>42</v>
      </c>
      <c r="AP6">
        <v>4</v>
      </c>
      <c r="AQ6">
        <v>0</v>
      </c>
      <c r="AT6" s="2" t="s">
        <v>40</v>
      </c>
      <c r="AU6" s="4">
        <v>21</v>
      </c>
      <c r="AV6" s="4">
        <v>0</v>
      </c>
      <c r="AY6" s="2" t="s">
        <v>37</v>
      </c>
      <c r="AZ6">
        <v>6</v>
      </c>
      <c r="BA6">
        <v>0</v>
      </c>
      <c r="BD6" s="2" t="s">
        <v>43</v>
      </c>
      <c r="BE6">
        <v>0</v>
      </c>
      <c r="BF6">
        <v>0</v>
      </c>
      <c r="BI6" s="4" t="s">
        <v>41</v>
      </c>
      <c r="BJ6" s="4">
        <v>0</v>
      </c>
      <c r="BK6" s="4">
        <v>0</v>
      </c>
      <c r="BN6" s="4" t="s">
        <v>41</v>
      </c>
      <c r="BO6" s="4">
        <v>0</v>
      </c>
      <c r="BP6" s="4">
        <v>0</v>
      </c>
      <c r="BS6" s="2" t="s">
        <v>43</v>
      </c>
      <c r="BT6" s="4">
        <v>0</v>
      </c>
    </row>
    <row r="7" spans="1:72" x14ac:dyDescent="0.2">
      <c r="A7" t="s">
        <v>44</v>
      </c>
      <c r="B7" t="s">
        <v>45</v>
      </c>
      <c r="C7" s="1">
        <v>2</v>
      </c>
      <c r="F7" s="1" t="s">
        <v>11</v>
      </c>
      <c r="G7" s="1">
        <v>265</v>
      </c>
      <c r="H7" s="1">
        <v>9</v>
      </c>
      <c r="K7" s="3" t="s">
        <v>46</v>
      </c>
      <c r="L7">
        <v>114</v>
      </c>
      <c r="M7">
        <v>0</v>
      </c>
      <c r="P7" s="3" t="s">
        <v>9</v>
      </c>
      <c r="Q7" s="1">
        <v>210</v>
      </c>
      <c r="R7" s="1">
        <v>2</v>
      </c>
      <c r="U7" s="4" t="s">
        <v>12</v>
      </c>
      <c r="V7" t="s">
        <v>45</v>
      </c>
      <c r="W7" s="1">
        <v>1</v>
      </c>
      <c r="Z7" s="1" t="s">
        <v>47</v>
      </c>
      <c r="AA7" s="1">
        <v>33</v>
      </c>
      <c r="AB7" s="1">
        <v>0</v>
      </c>
      <c r="AE7" s="1" t="s">
        <v>4</v>
      </c>
      <c r="AF7" s="1">
        <v>62</v>
      </c>
      <c r="AG7" s="1">
        <v>2</v>
      </c>
      <c r="AJ7" s="1" t="s">
        <v>44</v>
      </c>
      <c r="AK7" s="1">
        <v>71</v>
      </c>
      <c r="AL7" s="1">
        <v>5</v>
      </c>
      <c r="AO7" s="3" t="s">
        <v>7</v>
      </c>
      <c r="AP7" s="1">
        <v>133</v>
      </c>
      <c r="AQ7" s="1">
        <v>0</v>
      </c>
      <c r="AT7" s="1" t="s">
        <v>11</v>
      </c>
      <c r="AU7" s="1">
        <v>74</v>
      </c>
      <c r="AV7" s="1">
        <v>0</v>
      </c>
      <c r="AY7" s="1" t="s">
        <v>11</v>
      </c>
      <c r="AZ7" t="s">
        <v>6</v>
      </c>
      <c r="BA7">
        <v>1</v>
      </c>
      <c r="BD7" s="2" t="s">
        <v>9</v>
      </c>
      <c r="BE7">
        <v>83</v>
      </c>
      <c r="BF7">
        <v>32</v>
      </c>
      <c r="BI7" s="3" t="s">
        <v>48</v>
      </c>
      <c r="BJ7" s="1">
        <v>47</v>
      </c>
      <c r="BK7" s="1">
        <v>1</v>
      </c>
      <c r="BN7" s="1" t="s">
        <v>12</v>
      </c>
      <c r="BO7" s="1">
        <v>171</v>
      </c>
      <c r="BP7" s="1">
        <v>0</v>
      </c>
      <c r="BS7" s="4" t="s">
        <v>4</v>
      </c>
      <c r="BT7" s="4" t="s">
        <v>6</v>
      </c>
    </row>
    <row r="8" spans="1:72" x14ac:dyDescent="0.2">
      <c r="A8" s="1" t="s">
        <v>49</v>
      </c>
      <c r="B8" s="1">
        <v>34</v>
      </c>
      <c r="C8">
        <v>0</v>
      </c>
      <c r="F8" s="4" t="s">
        <v>21</v>
      </c>
      <c r="G8">
        <v>16</v>
      </c>
      <c r="H8">
        <v>0</v>
      </c>
      <c r="K8" s="2" t="s">
        <v>50</v>
      </c>
      <c r="L8">
        <v>14</v>
      </c>
      <c r="M8">
        <v>0</v>
      </c>
      <c r="P8" s="2" t="s">
        <v>19</v>
      </c>
      <c r="Q8">
        <v>9</v>
      </c>
      <c r="R8">
        <v>0</v>
      </c>
      <c r="U8" s="1" t="s">
        <v>22</v>
      </c>
      <c r="V8" s="1">
        <v>154</v>
      </c>
      <c r="W8">
        <v>0</v>
      </c>
      <c r="Z8" s="4" t="s">
        <v>51</v>
      </c>
      <c r="AA8">
        <v>7</v>
      </c>
      <c r="AB8">
        <v>0</v>
      </c>
      <c r="AE8" s="4" t="s">
        <v>15</v>
      </c>
      <c r="AF8">
        <v>8</v>
      </c>
      <c r="AG8">
        <v>0</v>
      </c>
      <c r="AJ8" s="4" t="s">
        <v>49</v>
      </c>
      <c r="AK8">
        <v>8</v>
      </c>
      <c r="AL8">
        <v>0</v>
      </c>
      <c r="AO8" s="2" t="s">
        <v>17</v>
      </c>
      <c r="AP8">
        <v>7</v>
      </c>
      <c r="AQ8">
        <v>0</v>
      </c>
      <c r="AT8" s="4" t="s">
        <v>21</v>
      </c>
      <c r="AU8" s="4">
        <v>23</v>
      </c>
      <c r="AV8" s="4">
        <v>0</v>
      </c>
      <c r="AY8" s="4" t="s">
        <v>21</v>
      </c>
      <c r="AZ8">
        <v>6</v>
      </c>
      <c r="BA8">
        <v>0</v>
      </c>
      <c r="BD8" s="3" t="s">
        <v>19</v>
      </c>
      <c r="BE8">
        <v>32</v>
      </c>
      <c r="BF8">
        <v>1</v>
      </c>
      <c r="BI8" s="2" t="s">
        <v>52</v>
      </c>
      <c r="BJ8" s="4">
        <v>1</v>
      </c>
      <c r="BK8" s="4">
        <v>0</v>
      </c>
      <c r="BN8" s="4" t="s">
        <v>22</v>
      </c>
      <c r="BO8" s="4">
        <v>12</v>
      </c>
      <c r="BP8" s="4">
        <v>0</v>
      </c>
      <c r="BS8" s="4" t="s">
        <v>15</v>
      </c>
      <c r="BT8" s="4">
        <v>5</v>
      </c>
    </row>
    <row r="9" spans="1:72" x14ac:dyDescent="0.2">
      <c r="A9" s="1" t="s">
        <v>53</v>
      </c>
      <c r="B9" s="1">
        <v>3</v>
      </c>
      <c r="C9" s="1">
        <v>0</v>
      </c>
      <c r="F9" s="1" t="s">
        <v>31</v>
      </c>
      <c r="G9" s="1">
        <v>0</v>
      </c>
      <c r="H9" s="1">
        <v>0</v>
      </c>
      <c r="K9" s="3" t="s">
        <v>54</v>
      </c>
      <c r="L9" s="6">
        <v>0</v>
      </c>
      <c r="M9" s="6">
        <v>0</v>
      </c>
      <c r="P9" s="3" t="s">
        <v>29</v>
      </c>
      <c r="Q9" s="1">
        <v>0</v>
      </c>
      <c r="R9" s="1">
        <v>0</v>
      </c>
      <c r="U9" s="1" t="s">
        <v>32</v>
      </c>
      <c r="V9" s="1">
        <v>169</v>
      </c>
      <c r="W9" s="1">
        <v>0</v>
      </c>
      <c r="Z9" s="1" t="s">
        <v>55</v>
      </c>
      <c r="AA9" s="1">
        <v>0</v>
      </c>
      <c r="AB9" s="1">
        <v>0</v>
      </c>
      <c r="AE9" s="1" t="s">
        <v>25</v>
      </c>
      <c r="AF9" s="1">
        <v>62</v>
      </c>
      <c r="AG9" s="1">
        <v>0</v>
      </c>
      <c r="AJ9" s="1" t="s">
        <v>53</v>
      </c>
      <c r="AK9" s="1">
        <v>117</v>
      </c>
      <c r="AL9" s="1">
        <v>0</v>
      </c>
      <c r="AO9" s="3" t="s">
        <v>27</v>
      </c>
      <c r="AP9" s="1">
        <v>292</v>
      </c>
      <c r="AQ9" s="1">
        <v>1</v>
      </c>
      <c r="AT9" s="1" t="s">
        <v>31</v>
      </c>
      <c r="AU9" s="1">
        <v>2</v>
      </c>
      <c r="AV9" s="1">
        <v>0</v>
      </c>
      <c r="AY9" s="1" t="s">
        <v>31</v>
      </c>
      <c r="AZ9">
        <v>31</v>
      </c>
      <c r="BA9" s="1">
        <v>0</v>
      </c>
      <c r="BD9" s="3" t="s">
        <v>29</v>
      </c>
      <c r="BE9">
        <v>0</v>
      </c>
      <c r="BF9">
        <v>0</v>
      </c>
      <c r="BI9" s="3" t="s">
        <v>56</v>
      </c>
      <c r="BJ9" s="1">
        <v>0</v>
      </c>
      <c r="BK9" s="1">
        <v>0</v>
      </c>
      <c r="BN9" s="1" t="s">
        <v>32</v>
      </c>
      <c r="BO9" s="1">
        <v>17</v>
      </c>
      <c r="BP9" s="1">
        <v>0</v>
      </c>
      <c r="BS9" s="4" t="s">
        <v>25</v>
      </c>
      <c r="BT9" s="4">
        <v>15</v>
      </c>
    </row>
    <row r="10" spans="1:72" x14ac:dyDescent="0.2">
      <c r="A10" t="s">
        <v>57</v>
      </c>
      <c r="B10">
        <v>0</v>
      </c>
      <c r="C10">
        <v>0</v>
      </c>
      <c r="F10" s="4" t="s">
        <v>41</v>
      </c>
      <c r="G10">
        <v>0</v>
      </c>
      <c r="H10">
        <v>2</v>
      </c>
      <c r="K10" s="2" t="s">
        <v>58</v>
      </c>
      <c r="L10" s="6">
        <v>0</v>
      </c>
      <c r="M10" s="6">
        <v>0</v>
      </c>
      <c r="P10" s="2" t="s">
        <v>39</v>
      </c>
      <c r="Q10">
        <v>0</v>
      </c>
      <c r="R10">
        <v>0</v>
      </c>
      <c r="U10" s="4" t="s">
        <v>42</v>
      </c>
      <c r="V10">
        <v>25</v>
      </c>
      <c r="W10">
        <v>0</v>
      </c>
      <c r="Z10" s="4" t="s">
        <v>59</v>
      </c>
      <c r="AA10">
        <v>0</v>
      </c>
      <c r="AB10">
        <v>0</v>
      </c>
      <c r="AE10" s="4" t="s">
        <v>35</v>
      </c>
      <c r="AF10">
        <v>1</v>
      </c>
      <c r="AG10">
        <v>0</v>
      </c>
      <c r="AJ10" s="4" t="s">
        <v>57</v>
      </c>
      <c r="AK10">
        <v>2</v>
      </c>
      <c r="AL10">
        <v>0</v>
      </c>
      <c r="AO10" s="2" t="s">
        <v>37</v>
      </c>
      <c r="AP10">
        <v>19</v>
      </c>
      <c r="AQ10">
        <v>0</v>
      </c>
      <c r="AT10" s="4" t="s">
        <v>41</v>
      </c>
      <c r="AU10" s="4">
        <v>1</v>
      </c>
      <c r="AV10" s="4">
        <v>0</v>
      </c>
      <c r="AY10" s="4" t="s">
        <v>41</v>
      </c>
      <c r="AZ10">
        <v>1</v>
      </c>
      <c r="BA10">
        <v>0</v>
      </c>
      <c r="BD10" s="2" t="s">
        <v>39</v>
      </c>
      <c r="BE10">
        <v>0</v>
      </c>
      <c r="BF10">
        <v>0</v>
      </c>
      <c r="BI10" s="2" t="s">
        <v>60</v>
      </c>
      <c r="BJ10" s="4">
        <v>0</v>
      </c>
      <c r="BK10" s="4">
        <v>0</v>
      </c>
      <c r="BN10" s="4" t="s">
        <v>42</v>
      </c>
      <c r="BO10" s="4">
        <v>0</v>
      </c>
      <c r="BP10" s="4">
        <v>0</v>
      </c>
      <c r="BS10" s="4" t="s">
        <v>35</v>
      </c>
      <c r="BT10" s="4">
        <v>0</v>
      </c>
    </row>
    <row r="11" spans="1:72" x14ac:dyDescent="0.2">
      <c r="A11" s="1" t="s">
        <v>61</v>
      </c>
      <c r="B11" s="1">
        <v>158</v>
      </c>
      <c r="C11" s="1">
        <v>1</v>
      </c>
      <c r="F11" s="2" t="s">
        <v>62</v>
      </c>
      <c r="G11" t="s">
        <v>6</v>
      </c>
      <c r="H11" t="s">
        <v>63</v>
      </c>
      <c r="K11" s="1" t="s">
        <v>4</v>
      </c>
      <c r="L11">
        <v>147</v>
      </c>
      <c r="M11">
        <v>0</v>
      </c>
      <c r="P11" s="3" t="s">
        <v>10</v>
      </c>
      <c r="Q11" s="1">
        <v>76</v>
      </c>
      <c r="R11" s="1">
        <v>2</v>
      </c>
      <c r="U11" s="1" t="s">
        <v>64</v>
      </c>
      <c r="V11" s="1">
        <v>0</v>
      </c>
      <c r="W11" s="1">
        <v>0</v>
      </c>
      <c r="Z11" s="1" t="s">
        <v>64</v>
      </c>
      <c r="AA11" s="1">
        <v>49</v>
      </c>
      <c r="AB11" s="1">
        <v>0</v>
      </c>
      <c r="AE11" s="1" t="s">
        <v>62</v>
      </c>
      <c r="AF11" s="1">
        <v>266</v>
      </c>
      <c r="AG11" s="1">
        <v>3</v>
      </c>
      <c r="AJ11" s="4" t="s">
        <v>65</v>
      </c>
      <c r="AK11" t="s">
        <v>6</v>
      </c>
      <c r="AL11" s="1">
        <v>0</v>
      </c>
      <c r="AO11" s="2" t="s">
        <v>9</v>
      </c>
      <c r="AP11" t="s">
        <v>45</v>
      </c>
      <c r="AQ11" s="1">
        <v>141</v>
      </c>
      <c r="AT11" s="3" t="s">
        <v>13</v>
      </c>
      <c r="AU11" s="1">
        <v>10</v>
      </c>
      <c r="AV11" s="1">
        <v>0</v>
      </c>
      <c r="AY11" s="2" t="s">
        <v>66</v>
      </c>
      <c r="AZ11">
        <v>13</v>
      </c>
      <c r="BA11">
        <v>102</v>
      </c>
      <c r="BI11" s="3" t="s">
        <v>46</v>
      </c>
      <c r="BJ11" s="1">
        <v>10</v>
      </c>
      <c r="BK11" s="1">
        <v>0</v>
      </c>
      <c r="BN11" s="1" t="s">
        <v>61</v>
      </c>
      <c r="BO11" s="1">
        <v>79</v>
      </c>
      <c r="BP11" s="1">
        <v>4</v>
      </c>
      <c r="BS11" s="2" t="s">
        <v>7</v>
      </c>
      <c r="BT11" s="4">
        <v>137</v>
      </c>
    </row>
    <row r="12" spans="1:72" x14ac:dyDescent="0.2">
      <c r="A12" t="s">
        <v>67</v>
      </c>
      <c r="B12">
        <v>34</v>
      </c>
      <c r="C12">
        <v>7</v>
      </c>
      <c r="F12" s="3" t="s">
        <v>68</v>
      </c>
      <c r="G12" s="1">
        <v>32</v>
      </c>
      <c r="H12" s="1">
        <v>16</v>
      </c>
      <c r="K12" s="4" t="s">
        <v>15</v>
      </c>
      <c r="L12">
        <v>32</v>
      </c>
      <c r="M12">
        <v>0</v>
      </c>
      <c r="P12" s="2" t="s">
        <v>20</v>
      </c>
      <c r="Q12">
        <v>2</v>
      </c>
      <c r="R12">
        <v>0</v>
      </c>
      <c r="U12" s="4" t="s">
        <v>69</v>
      </c>
      <c r="V12">
        <v>0</v>
      </c>
      <c r="W12">
        <v>0</v>
      </c>
      <c r="Z12" s="4" t="s">
        <v>69</v>
      </c>
      <c r="AA12">
        <v>0</v>
      </c>
      <c r="AB12">
        <v>0</v>
      </c>
      <c r="AE12" s="4" t="s">
        <v>68</v>
      </c>
      <c r="AF12">
        <v>11</v>
      </c>
      <c r="AG12">
        <v>0</v>
      </c>
      <c r="AJ12" s="1" t="s">
        <v>70</v>
      </c>
      <c r="AK12" s="1">
        <v>43</v>
      </c>
      <c r="AL12">
        <v>0</v>
      </c>
      <c r="AO12" s="3" t="s">
        <v>19</v>
      </c>
      <c r="AP12" s="1">
        <v>64</v>
      </c>
      <c r="AQ12">
        <v>3</v>
      </c>
      <c r="AT12" s="2" t="s">
        <v>23</v>
      </c>
      <c r="AU12" s="4">
        <v>0</v>
      </c>
      <c r="AV12" s="4">
        <v>0</v>
      </c>
      <c r="AY12" s="3" t="s">
        <v>71</v>
      </c>
      <c r="AZ12">
        <v>0</v>
      </c>
      <c r="BA12">
        <v>1</v>
      </c>
      <c r="BI12" s="2" t="s">
        <v>50</v>
      </c>
      <c r="BJ12" s="4">
        <v>0</v>
      </c>
      <c r="BK12" s="4">
        <v>0</v>
      </c>
      <c r="BN12" s="4" t="s">
        <v>67</v>
      </c>
      <c r="BO12" s="4">
        <v>5</v>
      </c>
      <c r="BP12" s="4">
        <v>0</v>
      </c>
      <c r="BS12" s="2" t="s">
        <v>17</v>
      </c>
      <c r="BT12" s="4">
        <v>10</v>
      </c>
    </row>
    <row r="13" spans="1:72" x14ac:dyDescent="0.2">
      <c r="A13" s="1" t="s">
        <v>72</v>
      </c>
      <c r="B13" s="1">
        <v>0</v>
      </c>
      <c r="C13" s="1">
        <v>0</v>
      </c>
      <c r="F13" s="3" t="s">
        <v>73</v>
      </c>
      <c r="G13" s="1">
        <v>0</v>
      </c>
      <c r="H13" s="1">
        <v>0</v>
      </c>
      <c r="K13" s="1" t="s">
        <v>25</v>
      </c>
      <c r="L13">
        <v>0</v>
      </c>
      <c r="M13" s="1">
        <v>0</v>
      </c>
      <c r="P13" s="3" t="s">
        <v>30</v>
      </c>
      <c r="Q13" s="1">
        <v>57</v>
      </c>
      <c r="R13" s="1">
        <v>14</v>
      </c>
      <c r="U13" s="1" t="s">
        <v>74</v>
      </c>
      <c r="V13" s="1">
        <v>49</v>
      </c>
      <c r="W13" s="1">
        <v>0</v>
      </c>
      <c r="Z13" s="1" t="s">
        <v>74</v>
      </c>
      <c r="AA13" s="1">
        <v>65</v>
      </c>
      <c r="AB13" s="1">
        <v>0</v>
      </c>
      <c r="AE13" s="1" t="s">
        <v>73</v>
      </c>
      <c r="AF13" s="1">
        <v>16</v>
      </c>
      <c r="AG13" s="1">
        <v>0</v>
      </c>
      <c r="AJ13" s="1" t="s">
        <v>75</v>
      </c>
      <c r="AK13" s="1">
        <v>159</v>
      </c>
      <c r="AL13" s="1">
        <v>0</v>
      </c>
      <c r="AO13" s="3" t="s">
        <v>29</v>
      </c>
      <c r="AP13" s="1">
        <v>0</v>
      </c>
      <c r="AQ13" s="1">
        <v>0</v>
      </c>
      <c r="AT13" s="3" t="s">
        <v>33</v>
      </c>
      <c r="AU13" s="1">
        <v>0</v>
      </c>
      <c r="AV13" s="1">
        <v>0</v>
      </c>
      <c r="AY13" s="2" t="s">
        <v>76</v>
      </c>
      <c r="AZ13">
        <v>280</v>
      </c>
      <c r="BA13">
        <v>91</v>
      </c>
      <c r="BI13" s="2" t="s">
        <v>54</v>
      </c>
      <c r="BJ13" s="4" t="s">
        <v>6</v>
      </c>
      <c r="BK13" s="1">
        <v>0</v>
      </c>
      <c r="BN13" s="4" t="s">
        <v>72</v>
      </c>
      <c r="BO13" s="4" t="s">
        <v>6</v>
      </c>
      <c r="BP13" s="1">
        <v>3</v>
      </c>
      <c r="BS13" s="2" t="s">
        <v>27</v>
      </c>
      <c r="BT13" s="4">
        <v>0</v>
      </c>
    </row>
    <row r="14" spans="1:72" x14ac:dyDescent="0.2">
      <c r="A14" t="s">
        <v>77</v>
      </c>
      <c r="B14">
        <v>0</v>
      </c>
      <c r="C14">
        <v>0</v>
      </c>
      <c r="F14" s="2" t="s">
        <v>78</v>
      </c>
      <c r="G14">
        <v>0</v>
      </c>
      <c r="H14">
        <v>5</v>
      </c>
      <c r="K14" s="4" t="s">
        <v>35</v>
      </c>
      <c r="L14">
        <v>0</v>
      </c>
      <c r="M14">
        <v>0</v>
      </c>
      <c r="P14" s="2" t="s">
        <v>40</v>
      </c>
      <c r="Q14">
        <v>6</v>
      </c>
      <c r="R14">
        <v>1</v>
      </c>
      <c r="U14" s="4" t="s">
        <v>79</v>
      </c>
      <c r="V14">
        <v>0</v>
      </c>
      <c r="W14">
        <v>0</v>
      </c>
      <c r="Z14" s="4" t="s">
        <v>79</v>
      </c>
      <c r="AA14">
        <v>22</v>
      </c>
      <c r="AB14">
        <v>0</v>
      </c>
      <c r="AE14" s="4" t="s">
        <v>78</v>
      </c>
      <c r="AF14">
        <v>1</v>
      </c>
      <c r="AG14">
        <v>0</v>
      </c>
      <c r="AJ14" s="4" t="s">
        <v>80</v>
      </c>
      <c r="AK14">
        <v>10</v>
      </c>
      <c r="AL14">
        <v>0</v>
      </c>
      <c r="AO14" s="2" t="s">
        <v>39</v>
      </c>
      <c r="AP14">
        <v>4</v>
      </c>
      <c r="AQ14">
        <v>0</v>
      </c>
      <c r="AT14" s="2" t="s">
        <v>43</v>
      </c>
      <c r="AU14" s="4">
        <v>0</v>
      </c>
      <c r="AV14" s="4">
        <v>0</v>
      </c>
      <c r="AY14" s="3" t="s">
        <v>81</v>
      </c>
      <c r="AZ14">
        <v>27</v>
      </c>
      <c r="BA14">
        <v>0</v>
      </c>
      <c r="BI14" s="3" t="s">
        <v>58</v>
      </c>
      <c r="BJ14" s="1">
        <v>40</v>
      </c>
      <c r="BK14" s="4">
        <v>0</v>
      </c>
      <c r="BN14" s="1" t="s">
        <v>77</v>
      </c>
      <c r="BO14" s="1">
        <v>10</v>
      </c>
      <c r="BP14" s="4">
        <v>1</v>
      </c>
      <c r="BS14" s="2" t="s">
        <v>37</v>
      </c>
      <c r="BT14" s="4">
        <v>0</v>
      </c>
    </row>
    <row r="15" spans="1:72" x14ac:dyDescent="0.2">
      <c r="A15" s="1" t="s">
        <v>47</v>
      </c>
      <c r="B15" s="1">
        <v>197</v>
      </c>
      <c r="C15" s="1">
        <v>3</v>
      </c>
      <c r="F15" s="3" t="s">
        <v>13</v>
      </c>
      <c r="G15" s="1">
        <v>6</v>
      </c>
      <c r="H15" s="1">
        <v>0</v>
      </c>
      <c r="K15" s="3" t="s">
        <v>8</v>
      </c>
      <c r="L15" s="1">
        <v>80</v>
      </c>
      <c r="M15" s="1">
        <v>0</v>
      </c>
      <c r="P15" s="3" t="s">
        <v>66</v>
      </c>
      <c r="Q15" s="1">
        <v>4</v>
      </c>
      <c r="R15" s="1">
        <v>0</v>
      </c>
      <c r="U15" s="1" t="s">
        <v>47</v>
      </c>
      <c r="V15" s="1">
        <v>70</v>
      </c>
      <c r="W15" s="1">
        <v>5</v>
      </c>
      <c r="Z15" s="3" t="s">
        <v>7</v>
      </c>
      <c r="AA15" s="1">
        <v>20</v>
      </c>
      <c r="AB15" s="1">
        <v>1</v>
      </c>
      <c r="AJ15" s="1" t="s">
        <v>64</v>
      </c>
      <c r="AK15" s="1">
        <v>17</v>
      </c>
      <c r="AL15" s="1">
        <v>0</v>
      </c>
      <c r="AO15" s="1" t="s">
        <v>82</v>
      </c>
      <c r="AP15" s="1">
        <v>39</v>
      </c>
      <c r="AQ15" s="1">
        <v>0</v>
      </c>
      <c r="AT15" s="3" t="s">
        <v>46</v>
      </c>
      <c r="AU15" s="1">
        <v>0</v>
      </c>
      <c r="AV15" s="1">
        <v>0</v>
      </c>
      <c r="AY15" s="2" t="s">
        <v>10</v>
      </c>
      <c r="AZ15">
        <v>74</v>
      </c>
      <c r="BA15">
        <v>7</v>
      </c>
      <c r="BI15" s="3" t="s">
        <v>83</v>
      </c>
      <c r="BJ15" s="1">
        <v>77</v>
      </c>
      <c r="BK15" s="1">
        <v>4</v>
      </c>
      <c r="BN15" s="1" t="s">
        <v>82</v>
      </c>
      <c r="BO15" s="1">
        <v>17</v>
      </c>
      <c r="BP15" s="1">
        <v>4</v>
      </c>
      <c r="BS15" s="4" t="s">
        <v>44</v>
      </c>
      <c r="BT15" s="4">
        <v>108</v>
      </c>
    </row>
    <row r="16" spans="1:72" x14ac:dyDescent="0.2">
      <c r="A16" t="s">
        <v>51</v>
      </c>
      <c r="B16">
        <v>24</v>
      </c>
      <c r="C16">
        <v>0</v>
      </c>
      <c r="F16" s="2" t="s">
        <v>23</v>
      </c>
      <c r="G16">
        <v>0</v>
      </c>
      <c r="H16">
        <v>0</v>
      </c>
      <c r="K16" s="2" t="s">
        <v>18</v>
      </c>
      <c r="L16" s="4">
        <v>3</v>
      </c>
      <c r="M16">
        <v>0</v>
      </c>
      <c r="P16" s="2" t="s">
        <v>71</v>
      </c>
      <c r="Q16">
        <v>3</v>
      </c>
      <c r="R16">
        <v>0</v>
      </c>
      <c r="U16" s="4" t="s">
        <v>51</v>
      </c>
      <c r="V16">
        <v>8</v>
      </c>
      <c r="W16">
        <v>0</v>
      </c>
      <c r="Z16" s="2" t="s">
        <v>17</v>
      </c>
      <c r="AA16">
        <v>3</v>
      </c>
      <c r="AB16">
        <v>0</v>
      </c>
      <c r="AJ16" s="4" t="s">
        <v>69</v>
      </c>
      <c r="AK16">
        <v>0</v>
      </c>
      <c r="AL16">
        <v>0</v>
      </c>
      <c r="AO16" s="4" t="s">
        <v>84</v>
      </c>
      <c r="AP16">
        <v>8</v>
      </c>
      <c r="AQ16">
        <v>0</v>
      </c>
      <c r="AT16" s="2" t="s">
        <v>50</v>
      </c>
      <c r="AU16" s="4">
        <v>0</v>
      </c>
      <c r="AV16" s="4">
        <v>0</v>
      </c>
      <c r="AY16" s="3" t="s">
        <v>20</v>
      </c>
      <c r="AZ16">
        <v>10</v>
      </c>
      <c r="BA16">
        <v>0</v>
      </c>
      <c r="BI16" s="4" t="s">
        <v>85</v>
      </c>
      <c r="BJ16" s="4">
        <v>7</v>
      </c>
      <c r="BK16" s="4">
        <v>0</v>
      </c>
      <c r="BN16" s="4" t="s">
        <v>84</v>
      </c>
      <c r="BO16" s="4">
        <v>2</v>
      </c>
      <c r="BP16" s="4">
        <v>0</v>
      </c>
      <c r="BS16" s="4" t="s">
        <v>49</v>
      </c>
      <c r="BT16" s="4">
        <v>2</v>
      </c>
    </row>
    <row r="17" spans="1:72" x14ac:dyDescent="0.2">
      <c r="A17" s="1" t="s">
        <v>55</v>
      </c>
      <c r="B17" s="1">
        <v>0</v>
      </c>
      <c r="C17" s="1">
        <v>0</v>
      </c>
      <c r="F17" s="3" t="s">
        <v>33</v>
      </c>
      <c r="G17" s="1">
        <v>0</v>
      </c>
      <c r="H17" s="1">
        <v>0</v>
      </c>
      <c r="K17" s="3" t="s">
        <v>28</v>
      </c>
      <c r="L17">
        <v>0</v>
      </c>
      <c r="M17">
        <v>0</v>
      </c>
      <c r="P17" s="3" t="s">
        <v>76</v>
      </c>
      <c r="Q17" s="1">
        <v>0</v>
      </c>
      <c r="R17" s="1">
        <v>0</v>
      </c>
      <c r="U17" s="5" t="s">
        <v>55</v>
      </c>
      <c r="V17" s="5">
        <v>0</v>
      </c>
      <c r="W17" s="5">
        <v>0</v>
      </c>
      <c r="Z17" s="3" t="s">
        <v>27</v>
      </c>
      <c r="AA17" s="1">
        <v>0</v>
      </c>
      <c r="AB17" s="1">
        <v>0</v>
      </c>
      <c r="AJ17" s="1" t="s">
        <v>74</v>
      </c>
      <c r="AK17" s="1">
        <v>7</v>
      </c>
      <c r="AL17" s="1">
        <v>0</v>
      </c>
      <c r="AO17" s="1" t="s">
        <v>86</v>
      </c>
      <c r="AP17" s="1">
        <v>0</v>
      </c>
      <c r="AQ17" s="1">
        <v>0</v>
      </c>
      <c r="AT17" s="3" t="s">
        <v>54</v>
      </c>
      <c r="AU17" s="1">
        <v>0</v>
      </c>
      <c r="AV17" s="1">
        <v>0</v>
      </c>
      <c r="AY17" s="3" t="s">
        <v>30</v>
      </c>
      <c r="AZ17">
        <v>32</v>
      </c>
      <c r="BA17">
        <v>1</v>
      </c>
      <c r="BI17" s="3" t="s">
        <v>5</v>
      </c>
      <c r="BJ17" s="1">
        <v>24</v>
      </c>
      <c r="BK17" s="1">
        <v>0</v>
      </c>
      <c r="BN17" s="1" t="s">
        <v>86</v>
      </c>
      <c r="BO17" s="1">
        <v>0</v>
      </c>
      <c r="BP17" s="1">
        <v>0</v>
      </c>
      <c r="BS17" s="4" t="s">
        <v>53</v>
      </c>
      <c r="BT17" s="4">
        <v>0</v>
      </c>
    </row>
    <row r="18" spans="1:72" x14ac:dyDescent="0.2">
      <c r="A18" t="s">
        <v>59</v>
      </c>
      <c r="B18">
        <v>0</v>
      </c>
      <c r="C18">
        <v>0</v>
      </c>
      <c r="F18" s="2" t="s">
        <v>43</v>
      </c>
      <c r="G18">
        <v>0</v>
      </c>
      <c r="H18">
        <v>0</v>
      </c>
      <c r="K18" s="2" t="s">
        <v>38</v>
      </c>
      <c r="L18">
        <v>0</v>
      </c>
      <c r="M18">
        <v>0</v>
      </c>
      <c r="P18" s="2" t="s">
        <v>81</v>
      </c>
      <c r="Q18">
        <v>0</v>
      </c>
      <c r="R18">
        <v>0</v>
      </c>
      <c r="U18" s="7" t="s">
        <v>59</v>
      </c>
      <c r="V18" s="6">
        <v>0</v>
      </c>
      <c r="W18" s="6">
        <v>0</v>
      </c>
      <c r="Z18" s="2" t="s">
        <v>37</v>
      </c>
      <c r="AA18">
        <v>0</v>
      </c>
      <c r="AB18">
        <v>0</v>
      </c>
      <c r="AJ18" s="4" t="s">
        <v>79</v>
      </c>
      <c r="AK18">
        <v>0</v>
      </c>
      <c r="AL18">
        <v>0</v>
      </c>
      <c r="AO18" s="4" t="s">
        <v>87</v>
      </c>
      <c r="AP18">
        <v>2</v>
      </c>
      <c r="AQ18">
        <v>9</v>
      </c>
      <c r="AT18" s="2" t="s">
        <v>58</v>
      </c>
      <c r="AU18" s="4">
        <v>0</v>
      </c>
      <c r="AV18" s="4">
        <v>0</v>
      </c>
      <c r="AY18" s="2" t="s">
        <v>40</v>
      </c>
      <c r="AZ18">
        <v>6</v>
      </c>
      <c r="BA18">
        <v>0</v>
      </c>
      <c r="BI18" s="2" t="s">
        <v>16</v>
      </c>
      <c r="BJ18" s="4">
        <v>0</v>
      </c>
      <c r="BK18" s="4">
        <v>0</v>
      </c>
      <c r="BN18" s="4" t="s">
        <v>87</v>
      </c>
      <c r="BO18" s="4">
        <v>0</v>
      </c>
      <c r="BP18" s="4">
        <v>0</v>
      </c>
      <c r="BS18" s="4" t="s">
        <v>57</v>
      </c>
      <c r="BT18" s="4">
        <v>0</v>
      </c>
    </row>
    <row r="19" spans="1:72" x14ac:dyDescent="0.2">
      <c r="A19" t="s">
        <v>12</v>
      </c>
      <c r="B19" t="s">
        <v>6</v>
      </c>
      <c r="C19" s="1">
        <v>5</v>
      </c>
      <c r="F19" s="2" t="s">
        <v>5</v>
      </c>
      <c r="G19" t="s">
        <v>45</v>
      </c>
      <c r="H19" s="1">
        <v>2</v>
      </c>
      <c r="K19" s="1" t="s">
        <v>64</v>
      </c>
      <c r="L19">
        <v>42</v>
      </c>
      <c r="M19">
        <v>0</v>
      </c>
      <c r="P19" s="3" t="s">
        <v>5</v>
      </c>
      <c r="Q19" s="1">
        <v>163</v>
      </c>
      <c r="R19" s="1">
        <v>0</v>
      </c>
      <c r="U19" s="3" t="s">
        <v>46</v>
      </c>
      <c r="V19" s="1">
        <v>0</v>
      </c>
      <c r="W19" s="1">
        <v>0</v>
      </c>
      <c r="Z19" s="3" t="s">
        <v>13</v>
      </c>
      <c r="AA19" s="1">
        <v>0</v>
      </c>
      <c r="AB19" s="1">
        <v>0</v>
      </c>
      <c r="AJ19" s="3" t="s">
        <v>5</v>
      </c>
      <c r="AK19" s="1">
        <v>46</v>
      </c>
      <c r="AL19" s="1">
        <v>0</v>
      </c>
      <c r="AO19" s="2" t="s">
        <v>48</v>
      </c>
      <c r="AP19" t="s">
        <v>45</v>
      </c>
      <c r="AQ19" s="1">
        <v>1</v>
      </c>
      <c r="AT19" s="2" t="s">
        <v>5</v>
      </c>
      <c r="AU19" s="4" t="s">
        <v>45</v>
      </c>
      <c r="AV19" s="1">
        <v>1</v>
      </c>
      <c r="AY19" s="3" t="s">
        <v>46</v>
      </c>
      <c r="AZ19">
        <v>4</v>
      </c>
      <c r="BA19">
        <v>0</v>
      </c>
      <c r="BI19" s="3" t="s">
        <v>26</v>
      </c>
      <c r="BJ19" s="1">
        <v>0</v>
      </c>
      <c r="BK19" s="1">
        <v>0</v>
      </c>
      <c r="BN19" s="1" t="s">
        <v>62</v>
      </c>
      <c r="BO19" s="1">
        <v>107</v>
      </c>
      <c r="BP19" s="1">
        <v>2</v>
      </c>
      <c r="BS19" s="2" t="s">
        <v>66</v>
      </c>
      <c r="BT19" s="4">
        <v>43</v>
      </c>
    </row>
    <row r="20" spans="1:72" x14ac:dyDescent="0.2">
      <c r="A20" s="1" t="s">
        <v>22</v>
      </c>
      <c r="B20" s="1">
        <v>234</v>
      </c>
      <c r="C20">
        <v>0</v>
      </c>
      <c r="F20" s="3" t="s">
        <v>16</v>
      </c>
      <c r="G20" s="1">
        <v>55</v>
      </c>
      <c r="H20">
        <v>0</v>
      </c>
      <c r="K20" t="s">
        <v>69</v>
      </c>
      <c r="L20">
        <v>1</v>
      </c>
      <c r="M20">
        <v>0</v>
      </c>
      <c r="P20" s="2" t="s">
        <v>16</v>
      </c>
      <c r="Q20">
        <v>6</v>
      </c>
      <c r="R20">
        <v>0</v>
      </c>
      <c r="U20" s="2" t="s">
        <v>50</v>
      </c>
      <c r="V20">
        <v>0</v>
      </c>
      <c r="W20">
        <v>0</v>
      </c>
      <c r="Z20" s="2" t="s">
        <v>23</v>
      </c>
      <c r="AA20">
        <v>0</v>
      </c>
      <c r="AB20">
        <v>0</v>
      </c>
      <c r="AJ20" s="2" t="s">
        <v>16</v>
      </c>
      <c r="AK20">
        <v>0</v>
      </c>
      <c r="AL20">
        <v>0</v>
      </c>
      <c r="AO20" s="3" t="s">
        <v>52</v>
      </c>
      <c r="AP20" s="1">
        <v>44</v>
      </c>
      <c r="AQ20">
        <v>0</v>
      </c>
      <c r="AT20" s="3" t="s">
        <v>16</v>
      </c>
      <c r="AU20" s="1">
        <v>42</v>
      </c>
      <c r="AV20" s="4">
        <v>0</v>
      </c>
      <c r="AY20" s="2" t="s">
        <v>50</v>
      </c>
      <c r="AZ20">
        <v>0</v>
      </c>
      <c r="BA20">
        <v>0</v>
      </c>
      <c r="BI20" s="2" t="s">
        <v>36</v>
      </c>
      <c r="BJ20" s="4">
        <v>0</v>
      </c>
      <c r="BK20" s="4">
        <v>0</v>
      </c>
      <c r="BN20" s="4" t="s">
        <v>68</v>
      </c>
      <c r="BO20" s="4">
        <v>8</v>
      </c>
      <c r="BP20" s="4">
        <v>0</v>
      </c>
      <c r="BS20" s="2" t="s">
        <v>71</v>
      </c>
      <c r="BT20" s="4">
        <v>3</v>
      </c>
    </row>
    <row r="21" spans="1:72" x14ac:dyDescent="0.2">
      <c r="A21" s="1" t="s">
        <v>32</v>
      </c>
      <c r="B21" s="1">
        <v>6</v>
      </c>
      <c r="C21" s="1">
        <v>0</v>
      </c>
      <c r="F21" s="3" t="s">
        <v>26</v>
      </c>
      <c r="G21" s="1">
        <v>0</v>
      </c>
      <c r="H21" s="1">
        <v>0</v>
      </c>
      <c r="K21" s="1" t="s">
        <v>74</v>
      </c>
      <c r="L21">
        <v>64</v>
      </c>
      <c r="M21" s="1">
        <v>0</v>
      </c>
      <c r="P21" s="3" t="s">
        <v>26</v>
      </c>
      <c r="Q21" s="1">
        <v>1</v>
      </c>
      <c r="R21" s="1">
        <v>0</v>
      </c>
      <c r="U21" s="3" t="s">
        <v>54</v>
      </c>
      <c r="V21" s="1">
        <v>0</v>
      </c>
      <c r="W21" s="1">
        <v>0</v>
      </c>
      <c r="Z21" s="3" t="s">
        <v>33</v>
      </c>
      <c r="AA21" s="1">
        <v>0</v>
      </c>
      <c r="AB21" s="1">
        <v>0</v>
      </c>
      <c r="AJ21" s="3" t="s">
        <v>26</v>
      </c>
      <c r="AK21" s="1">
        <v>0</v>
      </c>
      <c r="AL21" s="1">
        <v>0</v>
      </c>
      <c r="AO21" s="3" t="s">
        <v>56</v>
      </c>
      <c r="AP21" s="1">
        <v>0</v>
      </c>
      <c r="AQ21" s="1">
        <v>0</v>
      </c>
      <c r="AT21" s="3" t="s">
        <v>26</v>
      </c>
      <c r="AU21" s="1">
        <v>0</v>
      </c>
      <c r="AV21" s="1">
        <v>0</v>
      </c>
      <c r="AY21" s="3" t="s">
        <v>54</v>
      </c>
      <c r="AZ21">
        <v>2</v>
      </c>
      <c r="BA21">
        <v>0</v>
      </c>
      <c r="BI21" s="3" t="s">
        <v>66</v>
      </c>
      <c r="BJ21" s="1">
        <v>61</v>
      </c>
      <c r="BK21" s="1">
        <v>0</v>
      </c>
      <c r="BN21" s="1" t="s">
        <v>73</v>
      </c>
      <c r="BO21" s="1">
        <v>1</v>
      </c>
      <c r="BP21" s="1">
        <v>0</v>
      </c>
      <c r="BS21" s="2" t="s">
        <v>76</v>
      </c>
      <c r="BT21" s="4" t="s">
        <v>45</v>
      </c>
    </row>
    <row r="22" spans="1:72" x14ac:dyDescent="0.2">
      <c r="A22" t="s">
        <v>42</v>
      </c>
      <c r="B22">
        <v>0</v>
      </c>
      <c r="C22">
        <v>0</v>
      </c>
      <c r="F22" s="2" t="s">
        <v>36</v>
      </c>
      <c r="G22">
        <v>0</v>
      </c>
      <c r="H22">
        <v>0</v>
      </c>
      <c r="K22" t="s">
        <v>79</v>
      </c>
      <c r="L22">
        <v>0</v>
      </c>
      <c r="M22">
        <v>0</v>
      </c>
      <c r="P22" s="2" t="s">
        <v>36</v>
      </c>
      <c r="Q22">
        <v>3</v>
      </c>
      <c r="R22">
        <v>0</v>
      </c>
      <c r="U22" s="2" t="s">
        <v>58</v>
      </c>
      <c r="V22">
        <v>0</v>
      </c>
      <c r="W22">
        <v>0</v>
      </c>
      <c r="Z22" s="2" t="s">
        <v>43</v>
      </c>
      <c r="AA22">
        <v>0</v>
      </c>
      <c r="AB22">
        <v>0</v>
      </c>
      <c r="AJ22" s="2" t="s">
        <v>36</v>
      </c>
      <c r="AK22">
        <v>0</v>
      </c>
      <c r="AL22">
        <v>0</v>
      </c>
      <c r="AO22" s="2" t="s">
        <v>60</v>
      </c>
      <c r="AP22" s="4">
        <v>1</v>
      </c>
      <c r="AQ22" s="4">
        <v>0</v>
      </c>
      <c r="AT22" s="2" t="s">
        <v>36</v>
      </c>
      <c r="AU22" s="4">
        <v>0</v>
      </c>
      <c r="AV22" s="4">
        <v>0</v>
      </c>
      <c r="AY22" s="2" t="s">
        <v>58</v>
      </c>
      <c r="AZ22">
        <v>0</v>
      </c>
      <c r="BA22">
        <v>0</v>
      </c>
      <c r="BI22" s="2" t="s">
        <v>71</v>
      </c>
      <c r="BJ22" s="4">
        <v>6</v>
      </c>
      <c r="BK22" s="4">
        <v>0</v>
      </c>
      <c r="BN22" s="4" t="s">
        <v>78</v>
      </c>
      <c r="BO22" s="4">
        <v>0</v>
      </c>
      <c r="BP22" s="4">
        <v>0</v>
      </c>
      <c r="BS22" s="2" t="s">
        <v>81</v>
      </c>
      <c r="BT22" s="4">
        <v>45</v>
      </c>
    </row>
    <row r="23" spans="1:72" x14ac:dyDescent="0.2">
      <c r="A23" s="1" t="s">
        <v>65</v>
      </c>
      <c r="B23" s="1">
        <v>222</v>
      </c>
      <c r="C23" s="1">
        <v>22</v>
      </c>
      <c r="F23" s="2" t="s">
        <v>8</v>
      </c>
      <c r="G23" t="s">
        <v>6</v>
      </c>
      <c r="H23" s="1">
        <v>2</v>
      </c>
      <c r="K23" s="1" t="s">
        <v>82</v>
      </c>
      <c r="L23">
        <v>14</v>
      </c>
      <c r="M23">
        <v>2</v>
      </c>
      <c r="P23" s="3" t="s">
        <v>8</v>
      </c>
      <c r="Q23" s="1">
        <v>32</v>
      </c>
      <c r="R23" s="1">
        <v>0</v>
      </c>
      <c r="U23" s="3" t="s">
        <v>13</v>
      </c>
      <c r="V23" s="1">
        <v>0</v>
      </c>
      <c r="W23" s="1">
        <v>0</v>
      </c>
      <c r="Z23" s="4" t="s">
        <v>3</v>
      </c>
      <c r="AA23" t="s">
        <v>6</v>
      </c>
      <c r="AB23" s="1">
        <v>4</v>
      </c>
      <c r="AJ23" s="3" t="s">
        <v>9</v>
      </c>
      <c r="AK23" s="1">
        <v>66</v>
      </c>
      <c r="AL23" s="1">
        <v>71</v>
      </c>
      <c r="AO23" s="1" t="s">
        <v>47</v>
      </c>
      <c r="AP23" s="1">
        <v>25</v>
      </c>
      <c r="AQ23" s="1">
        <v>0</v>
      </c>
      <c r="AT23" s="1" t="s">
        <v>4</v>
      </c>
      <c r="AU23" s="1">
        <v>118</v>
      </c>
      <c r="AV23" s="1">
        <v>0</v>
      </c>
      <c r="BI23" s="3" t="s">
        <v>76</v>
      </c>
      <c r="BJ23" s="1">
        <v>85</v>
      </c>
      <c r="BK23" s="1">
        <v>1</v>
      </c>
      <c r="BN23" s="3" t="s">
        <v>5</v>
      </c>
      <c r="BO23" s="1">
        <v>21</v>
      </c>
      <c r="BP23" s="1">
        <v>0</v>
      </c>
    </row>
    <row r="24" spans="1:72" x14ac:dyDescent="0.2">
      <c r="A24" t="s">
        <v>70</v>
      </c>
      <c r="B24">
        <v>17</v>
      </c>
      <c r="C24">
        <v>1</v>
      </c>
      <c r="F24" s="3" t="s">
        <v>18</v>
      </c>
      <c r="G24" s="1">
        <v>231</v>
      </c>
      <c r="H24">
        <v>0</v>
      </c>
      <c r="K24" t="s">
        <v>84</v>
      </c>
      <c r="L24">
        <v>1</v>
      </c>
      <c r="M24">
        <v>0</v>
      </c>
      <c r="P24" s="2" t="s">
        <v>18</v>
      </c>
      <c r="Q24">
        <v>2</v>
      </c>
      <c r="R24">
        <v>0</v>
      </c>
      <c r="U24" s="2" t="s">
        <v>23</v>
      </c>
      <c r="V24">
        <v>0</v>
      </c>
      <c r="W24">
        <v>0</v>
      </c>
      <c r="Z24" s="1" t="s">
        <v>14</v>
      </c>
      <c r="AA24" s="1">
        <v>25</v>
      </c>
      <c r="AB24">
        <v>0</v>
      </c>
      <c r="AJ24" s="2" t="s">
        <v>19</v>
      </c>
      <c r="AK24">
        <v>69</v>
      </c>
      <c r="AL24">
        <v>5</v>
      </c>
      <c r="AO24" s="4" t="s">
        <v>51</v>
      </c>
      <c r="AP24" s="4">
        <v>1</v>
      </c>
      <c r="AQ24" s="4">
        <v>0</v>
      </c>
      <c r="AT24" s="4" t="s">
        <v>15</v>
      </c>
      <c r="AU24" s="4">
        <v>20</v>
      </c>
      <c r="AV24" s="4">
        <v>0</v>
      </c>
      <c r="BI24" s="2" t="s">
        <v>81</v>
      </c>
      <c r="BJ24" s="4">
        <v>22</v>
      </c>
      <c r="BK24" s="4">
        <v>0</v>
      </c>
      <c r="BN24" s="2" t="s">
        <v>16</v>
      </c>
      <c r="BO24" s="4">
        <v>0</v>
      </c>
      <c r="BP24" s="4">
        <v>0</v>
      </c>
    </row>
    <row r="25" spans="1:72" x14ac:dyDescent="0.2">
      <c r="A25" s="1" t="s">
        <v>75</v>
      </c>
      <c r="B25" s="1">
        <v>0</v>
      </c>
      <c r="C25" s="1">
        <v>0</v>
      </c>
      <c r="F25" s="3" t="s">
        <v>28</v>
      </c>
      <c r="G25" s="1">
        <v>0</v>
      </c>
      <c r="H25" s="1">
        <v>0</v>
      </c>
      <c r="K25" s="1" t="s">
        <v>86</v>
      </c>
      <c r="L25">
        <v>0</v>
      </c>
      <c r="M25" s="1">
        <v>0</v>
      </c>
      <c r="P25" s="3" t="s">
        <v>28</v>
      </c>
      <c r="Q25" s="1">
        <v>0</v>
      </c>
      <c r="R25" s="1">
        <v>0</v>
      </c>
      <c r="U25" s="3" t="s">
        <v>33</v>
      </c>
      <c r="V25" s="1">
        <v>0</v>
      </c>
      <c r="W25" s="1">
        <v>0</v>
      </c>
      <c r="Z25" s="1" t="s">
        <v>24</v>
      </c>
      <c r="AA25" s="1">
        <v>83</v>
      </c>
      <c r="AB25" s="1">
        <v>3</v>
      </c>
      <c r="AJ25" s="3" t="s">
        <v>29</v>
      </c>
      <c r="AK25" s="1">
        <v>0</v>
      </c>
      <c r="AL25" s="1">
        <v>0</v>
      </c>
      <c r="AO25" s="4" t="s">
        <v>55</v>
      </c>
      <c r="AP25" s="7">
        <v>0</v>
      </c>
      <c r="AQ25" s="7">
        <v>0</v>
      </c>
      <c r="AT25" s="1" t="s">
        <v>25</v>
      </c>
      <c r="AU25" s="1">
        <v>0</v>
      </c>
      <c r="AV25" s="1">
        <v>0</v>
      </c>
      <c r="BI25" s="4" t="s">
        <v>44</v>
      </c>
      <c r="BJ25" s="4" t="s">
        <v>6</v>
      </c>
      <c r="BK25" s="1">
        <v>4</v>
      </c>
      <c r="BN25" s="3" t="s">
        <v>26</v>
      </c>
      <c r="BO25" s="1">
        <v>0</v>
      </c>
      <c r="BP25" s="1">
        <v>0</v>
      </c>
    </row>
    <row r="26" spans="1:72" x14ac:dyDescent="0.2">
      <c r="A26" t="s">
        <v>80</v>
      </c>
      <c r="B26">
        <v>0</v>
      </c>
      <c r="C26">
        <v>0</v>
      </c>
      <c r="F26" s="2" t="s">
        <v>38</v>
      </c>
      <c r="G26">
        <v>0</v>
      </c>
      <c r="H26">
        <v>0</v>
      </c>
      <c r="K26" t="s">
        <v>87</v>
      </c>
      <c r="L26">
        <v>0</v>
      </c>
      <c r="M26">
        <v>0</v>
      </c>
      <c r="P26" s="2" t="s">
        <v>38</v>
      </c>
      <c r="Q26">
        <v>2</v>
      </c>
      <c r="R26">
        <v>0</v>
      </c>
      <c r="U26" s="2" t="s">
        <v>43</v>
      </c>
      <c r="V26">
        <v>0</v>
      </c>
      <c r="W26">
        <v>0</v>
      </c>
      <c r="Z26" s="4" t="s">
        <v>34</v>
      </c>
      <c r="AA26">
        <v>20</v>
      </c>
      <c r="AB26">
        <v>0</v>
      </c>
      <c r="AJ26" s="2" t="s">
        <v>39</v>
      </c>
      <c r="AK26">
        <v>0</v>
      </c>
      <c r="AL26">
        <v>0</v>
      </c>
      <c r="AO26" s="4" t="s">
        <v>59</v>
      </c>
      <c r="AP26" s="7">
        <v>0</v>
      </c>
      <c r="AQ26" s="7">
        <v>0</v>
      </c>
      <c r="AT26" s="4" t="s">
        <v>35</v>
      </c>
      <c r="AU26" s="4">
        <v>0</v>
      </c>
      <c r="AV26" s="4">
        <v>0</v>
      </c>
      <c r="BI26" s="1" t="s">
        <v>49</v>
      </c>
      <c r="BJ26" s="1">
        <v>37</v>
      </c>
      <c r="BK26" s="4">
        <v>0</v>
      </c>
      <c r="BN26" s="2" t="s">
        <v>36</v>
      </c>
      <c r="BO26" s="4">
        <v>0</v>
      </c>
      <c r="BP26" s="4">
        <v>0</v>
      </c>
    </row>
    <row r="27" spans="1:72" x14ac:dyDescent="0.2">
      <c r="A27" s="1" t="s">
        <v>82</v>
      </c>
      <c r="B27" s="1">
        <v>10</v>
      </c>
      <c r="C27" s="1">
        <v>4</v>
      </c>
      <c r="F27" s="2" t="s">
        <v>9</v>
      </c>
      <c r="G27" t="s">
        <v>45</v>
      </c>
      <c r="H27" s="1">
        <v>6</v>
      </c>
      <c r="K27" s="4" t="s">
        <v>65</v>
      </c>
      <c r="L27" t="s">
        <v>6</v>
      </c>
      <c r="M27" s="1">
        <v>0</v>
      </c>
      <c r="P27" s="1" t="s">
        <v>44</v>
      </c>
      <c r="Q27" s="1">
        <v>29</v>
      </c>
      <c r="R27" s="1">
        <v>0</v>
      </c>
      <c r="U27" s="1" t="s">
        <v>11</v>
      </c>
      <c r="V27" s="1">
        <v>96</v>
      </c>
      <c r="W27" s="1">
        <v>2</v>
      </c>
      <c r="Z27" s="1" t="s">
        <v>65</v>
      </c>
      <c r="AA27" s="1">
        <v>254</v>
      </c>
      <c r="AB27" s="1">
        <v>0</v>
      </c>
      <c r="AJ27" s="1" t="s">
        <v>61</v>
      </c>
      <c r="AK27" s="1">
        <v>62</v>
      </c>
      <c r="AL27" s="1">
        <v>3</v>
      </c>
      <c r="AO27" s="4" t="s">
        <v>65</v>
      </c>
      <c r="AP27" s="4" t="s">
        <v>45</v>
      </c>
      <c r="AQ27" s="1">
        <v>0</v>
      </c>
      <c r="AT27" s="1" t="s">
        <v>12</v>
      </c>
      <c r="AU27" s="1">
        <v>73</v>
      </c>
      <c r="AV27" s="1">
        <v>0</v>
      </c>
      <c r="BI27" s="1" t="s">
        <v>53</v>
      </c>
      <c r="BJ27" s="1">
        <v>99</v>
      </c>
      <c r="BK27" s="1">
        <v>0</v>
      </c>
      <c r="BN27" s="3" t="s">
        <v>46</v>
      </c>
      <c r="BO27" s="1">
        <v>179</v>
      </c>
      <c r="BP27" s="1">
        <v>0</v>
      </c>
    </row>
    <row r="28" spans="1:72" x14ac:dyDescent="0.2">
      <c r="A28" t="s">
        <v>84</v>
      </c>
      <c r="B28">
        <v>5</v>
      </c>
      <c r="C28">
        <v>0</v>
      </c>
      <c r="F28" s="3" t="s">
        <v>19</v>
      </c>
      <c r="G28" s="1">
        <v>35</v>
      </c>
      <c r="H28">
        <v>0</v>
      </c>
      <c r="K28" s="1" t="s">
        <v>70</v>
      </c>
      <c r="L28" s="1">
        <v>27</v>
      </c>
      <c r="M28">
        <v>0</v>
      </c>
      <c r="P28" s="4" t="s">
        <v>49</v>
      </c>
      <c r="Q28">
        <v>8</v>
      </c>
      <c r="R28">
        <v>0</v>
      </c>
      <c r="U28" s="4" t="s">
        <v>21</v>
      </c>
      <c r="V28">
        <v>80</v>
      </c>
      <c r="W28">
        <v>0</v>
      </c>
      <c r="Z28" s="4" t="s">
        <v>70</v>
      </c>
      <c r="AA28">
        <v>27</v>
      </c>
      <c r="AB28">
        <v>0</v>
      </c>
      <c r="AJ28" s="4" t="s">
        <v>67</v>
      </c>
      <c r="AK28">
        <v>5</v>
      </c>
      <c r="AL28">
        <v>0</v>
      </c>
      <c r="AO28" s="1" t="s">
        <v>70</v>
      </c>
      <c r="AP28" s="1">
        <v>20</v>
      </c>
      <c r="AQ28" s="4">
        <v>0</v>
      </c>
      <c r="AT28" s="4" t="s">
        <v>22</v>
      </c>
      <c r="AU28" s="4">
        <v>8</v>
      </c>
      <c r="AV28" s="4">
        <v>0</v>
      </c>
      <c r="BI28" s="4" t="s">
        <v>57</v>
      </c>
      <c r="BJ28" s="4">
        <v>15</v>
      </c>
      <c r="BK28" s="4">
        <v>0</v>
      </c>
      <c r="BN28" s="2" t="s">
        <v>50</v>
      </c>
      <c r="BO28" s="4">
        <v>14</v>
      </c>
      <c r="BP28" s="4">
        <v>0</v>
      </c>
    </row>
    <row r="29" spans="1:72" x14ac:dyDescent="0.2">
      <c r="A29" s="1" t="s">
        <v>86</v>
      </c>
      <c r="B29" s="1">
        <v>0</v>
      </c>
      <c r="C29" s="1">
        <v>0</v>
      </c>
      <c r="F29" s="2" t="s">
        <v>29</v>
      </c>
      <c r="G29" s="8"/>
      <c r="H29" s="8"/>
      <c r="K29" s="1" t="s">
        <v>75</v>
      </c>
      <c r="L29">
        <v>56</v>
      </c>
      <c r="M29">
        <v>0</v>
      </c>
      <c r="P29" s="1" t="s">
        <v>53</v>
      </c>
      <c r="Q29" s="1">
        <v>30</v>
      </c>
      <c r="R29" s="1">
        <v>0</v>
      </c>
      <c r="U29" s="1" t="s">
        <v>31</v>
      </c>
      <c r="V29" s="1">
        <v>0</v>
      </c>
      <c r="W29" s="1">
        <v>0</v>
      </c>
      <c r="Z29" s="4" t="s">
        <v>75</v>
      </c>
      <c r="AA29" t="s">
        <v>88</v>
      </c>
      <c r="AB29" s="1">
        <v>3</v>
      </c>
      <c r="AJ29" s="1" t="s">
        <v>72</v>
      </c>
      <c r="AK29" s="1">
        <v>46</v>
      </c>
      <c r="AL29" s="1">
        <v>0</v>
      </c>
      <c r="AO29" s="1" t="s">
        <v>75</v>
      </c>
      <c r="AP29" s="1">
        <v>0</v>
      </c>
      <c r="AQ29" s="1">
        <v>0</v>
      </c>
      <c r="AT29" s="1" t="s">
        <v>32</v>
      </c>
      <c r="AU29" s="1">
        <v>57</v>
      </c>
      <c r="AV29" s="1">
        <v>0</v>
      </c>
      <c r="BI29" s="1" t="s">
        <v>12</v>
      </c>
      <c r="BJ29" s="1">
        <v>125</v>
      </c>
      <c r="BK29" s="1">
        <v>0</v>
      </c>
      <c r="BN29" s="3" t="s">
        <v>54</v>
      </c>
      <c r="BO29" s="1">
        <v>121</v>
      </c>
      <c r="BP29" s="1">
        <v>0</v>
      </c>
    </row>
    <row r="30" spans="1:72" x14ac:dyDescent="0.2">
      <c r="A30" t="s">
        <v>87</v>
      </c>
      <c r="B30">
        <v>0</v>
      </c>
      <c r="C30">
        <v>0</v>
      </c>
      <c r="F30" s="2" t="s">
        <v>39</v>
      </c>
      <c r="G30" s="8"/>
      <c r="H30" s="8"/>
      <c r="K30" t="s">
        <v>80</v>
      </c>
      <c r="L30">
        <v>10</v>
      </c>
      <c r="M30">
        <v>0</v>
      </c>
      <c r="P30" s="4" t="s">
        <v>57</v>
      </c>
      <c r="Q30">
        <v>0</v>
      </c>
      <c r="R30">
        <v>0</v>
      </c>
      <c r="U30" s="4" t="s">
        <v>41</v>
      </c>
      <c r="V30">
        <v>2</v>
      </c>
      <c r="W30">
        <v>0</v>
      </c>
      <c r="Z30" s="1" t="s">
        <v>80</v>
      </c>
      <c r="AA30" s="1">
        <v>27</v>
      </c>
      <c r="AB30">
        <v>0</v>
      </c>
      <c r="AJ30" s="4" t="s">
        <v>77</v>
      </c>
      <c r="AK30">
        <v>5</v>
      </c>
      <c r="AL30">
        <v>0</v>
      </c>
      <c r="AO30" s="4" t="s">
        <v>80</v>
      </c>
      <c r="AP30" s="4">
        <v>0</v>
      </c>
      <c r="AQ30" s="4">
        <v>0</v>
      </c>
      <c r="AT30" s="4" t="s">
        <v>42</v>
      </c>
      <c r="AU30" s="4">
        <v>8</v>
      </c>
      <c r="AV30" s="4">
        <v>0</v>
      </c>
      <c r="BI30" s="4" t="s">
        <v>22</v>
      </c>
      <c r="BJ30" s="4">
        <v>9</v>
      </c>
      <c r="BK30" s="4">
        <v>0</v>
      </c>
      <c r="BN30" s="2" t="s">
        <v>58</v>
      </c>
      <c r="BO30" s="4">
        <v>1</v>
      </c>
      <c r="BP30" s="4">
        <v>0</v>
      </c>
    </row>
    <row r="31" spans="1:72" x14ac:dyDescent="0.2">
      <c r="A31" s="1" t="s">
        <v>64</v>
      </c>
      <c r="B31" s="1">
        <v>71</v>
      </c>
      <c r="C31" s="1">
        <v>74</v>
      </c>
      <c r="F31" s="3" t="s">
        <v>10</v>
      </c>
      <c r="G31" s="1">
        <v>173</v>
      </c>
      <c r="H31" s="1">
        <v>12</v>
      </c>
      <c r="K31" s="1" t="s">
        <v>3</v>
      </c>
      <c r="L31" t="s">
        <v>6</v>
      </c>
      <c r="M31">
        <v>86</v>
      </c>
      <c r="P31" s="3" t="s">
        <v>48</v>
      </c>
      <c r="Q31" s="1">
        <v>18</v>
      </c>
      <c r="R31" s="1">
        <v>1</v>
      </c>
      <c r="U31" s="3" t="s">
        <v>62</v>
      </c>
      <c r="V31" s="1">
        <v>30</v>
      </c>
      <c r="W31" s="1">
        <v>1</v>
      </c>
      <c r="Z31" s="3" t="s">
        <v>66</v>
      </c>
      <c r="AA31" s="1">
        <v>46</v>
      </c>
      <c r="AB31" s="1">
        <v>0</v>
      </c>
      <c r="AJ31" s="1" t="s">
        <v>4</v>
      </c>
      <c r="AK31" s="1">
        <v>41</v>
      </c>
      <c r="AL31" s="1">
        <v>1</v>
      </c>
      <c r="AO31" s="3" t="s">
        <v>13</v>
      </c>
      <c r="AP31" s="1">
        <v>70</v>
      </c>
      <c r="AQ31" s="1">
        <v>0</v>
      </c>
      <c r="AT31" s="3" t="s">
        <v>7</v>
      </c>
      <c r="AU31" s="1">
        <v>72</v>
      </c>
      <c r="AV31" s="1">
        <v>3</v>
      </c>
      <c r="BI31" s="1" t="s">
        <v>32</v>
      </c>
      <c r="BJ31" s="1">
        <v>19</v>
      </c>
      <c r="BK31" s="1">
        <v>0</v>
      </c>
      <c r="BN31" s="4" t="s">
        <v>64</v>
      </c>
      <c r="BO31" s="4" t="s">
        <v>6</v>
      </c>
      <c r="BP31" s="1">
        <v>0</v>
      </c>
    </row>
    <row r="32" spans="1:72" x14ac:dyDescent="0.2">
      <c r="A32" t="s">
        <v>69</v>
      </c>
      <c r="B32">
        <v>25</v>
      </c>
      <c r="C32">
        <v>1</v>
      </c>
      <c r="F32" s="2" t="s">
        <v>20</v>
      </c>
      <c r="G32">
        <v>5</v>
      </c>
      <c r="H32">
        <v>0</v>
      </c>
      <c r="K32" t="s">
        <v>14</v>
      </c>
      <c r="L32">
        <v>300</v>
      </c>
      <c r="M32">
        <v>1</v>
      </c>
      <c r="P32" s="2" t="s">
        <v>52</v>
      </c>
      <c r="Q32">
        <v>29</v>
      </c>
      <c r="R32">
        <v>0</v>
      </c>
      <c r="U32" s="2" t="s">
        <v>68</v>
      </c>
      <c r="V32">
        <v>18</v>
      </c>
      <c r="W32">
        <v>0</v>
      </c>
      <c r="Z32" s="2" t="s">
        <v>71</v>
      </c>
      <c r="AA32">
        <v>1</v>
      </c>
      <c r="AB32">
        <v>0</v>
      </c>
      <c r="AJ32" s="4" t="s">
        <v>15</v>
      </c>
      <c r="AK32">
        <v>31</v>
      </c>
      <c r="AL32">
        <v>0</v>
      </c>
      <c r="AO32" s="2" t="s">
        <v>23</v>
      </c>
      <c r="AP32" s="4">
        <v>2</v>
      </c>
      <c r="AQ32" s="4">
        <v>0</v>
      </c>
      <c r="AT32" s="2" t="s">
        <v>17</v>
      </c>
      <c r="AU32" s="4">
        <v>9</v>
      </c>
      <c r="AV32" s="4">
        <v>0</v>
      </c>
      <c r="BI32" s="4" t="s">
        <v>42</v>
      </c>
      <c r="BJ32" s="4">
        <v>2</v>
      </c>
      <c r="BK32" s="4">
        <v>0</v>
      </c>
      <c r="BN32" s="1" t="s">
        <v>69</v>
      </c>
      <c r="BO32" s="1">
        <v>21</v>
      </c>
      <c r="BP32" s="4">
        <v>0</v>
      </c>
    </row>
    <row r="33" spans="1:68" x14ac:dyDescent="0.2">
      <c r="A33" s="1" t="s">
        <v>74</v>
      </c>
      <c r="B33" s="1">
        <v>7</v>
      </c>
      <c r="C33" s="1">
        <v>0</v>
      </c>
      <c r="F33" s="3" t="s">
        <v>30</v>
      </c>
      <c r="G33" s="1">
        <v>0</v>
      </c>
      <c r="H33" s="1">
        <v>0</v>
      </c>
      <c r="K33" s="1" t="s">
        <v>24</v>
      </c>
      <c r="L33">
        <v>0</v>
      </c>
      <c r="M33" s="1">
        <v>0</v>
      </c>
      <c r="P33" s="3" t="s">
        <v>56</v>
      </c>
      <c r="Q33" s="1">
        <v>0</v>
      </c>
      <c r="R33" s="1">
        <v>0</v>
      </c>
      <c r="U33" s="2" t="s">
        <v>73</v>
      </c>
      <c r="V33" t="s">
        <v>89</v>
      </c>
      <c r="W33" s="1">
        <v>1</v>
      </c>
      <c r="Z33" s="3" t="s">
        <v>76</v>
      </c>
      <c r="AA33" s="1">
        <v>0</v>
      </c>
      <c r="AB33" s="1">
        <v>38</v>
      </c>
      <c r="AJ33" s="1" t="s">
        <v>25</v>
      </c>
      <c r="AK33" s="1">
        <v>36</v>
      </c>
      <c r="AL33" s="1">
        <v>0</v>
      </c>
      <c r="AO33" s="2" t="s">
        <v>33</v>
      </c>
      <c r="AP33" s="9"/>
      <c r="AQ33" s="9"/>
      <c r="AT33" s="3" t="s">
        <v>27</v>
      </c>
      <c r="AU33" s="1">
        <v>0</v>
      </c>
      <c r="AV33" s="1">
        <v>0</v>
      </c>
      <c r="BI33" s="1" t="s">
        <v>82</v>
      </c>
      <c r="BJ33" s="1">
        <v>19</v>
      </c>
      <c r="BK33" s="1">
        <v>1</v>
      </c>
      <c r="BN33" s="1" t="s">
        <v>74</v>
      </c>
      <c r="BO33" s="1">
        <v>15</v>
      </c>
      <c r="BP33" s="1">
        <v>0</v>
      </c>
    </row>
    <row r="34" spans="1:68" x14ac:dyDescent="0.2">
      <c r="A34" t="s">
        <v>79</v>
      </c>
      <c r="B34">
        <v>0</v>
      </c>
      <c r="C34">
        <v>0</v>
      </c>
      <c r="F34" s="2" t="s">
        <v>40</v>
      </c>
      <c r="G34">
        <v>1</v>
      </c>
      <c r="H34">
        <v>0</v>
      </c>
      <c r="K34" t="s">
        <v>34</v>
      </c>
      <c r="L34">
        <v>0</v>
      </c>
      <c r="M34">
        <v>0</v>
      </c>
      <c r="P34" s="2" t="s">
        <v>60</v>
      </c>
      <c r="Q34">
        <v>0</v>
      </c>
      <c r="R34">
        <v>0</v>
      </c>
      <c r="U34" s="3" t="s">
        <v>78</v>
      </c>
      <c r="V34" s="1">
        <v>82</v>
      </c>
      <c r="W34">
        <v>0</v>
      </c>
      <c r="Z34" s="2" t="s">
        <v>81</v>
      </c>
      <c r="AA34" t="s">
        <v>45</v>
      </c>
      <c r="AB34">
        <v>1</v>
      </c>
      <c r="AJ34" s="4" t="s">
        <v>35</v>
      </c>
      <c r="AK34">
        <v>0</v>
      </c>
      <c r="AL34">
        <v>0</v>
      </c>
      <c r="AO34" s="2" t="s">
        <v>43</v>
      </c>
      <c r="AP34" s="9"/>
      <c r="AQ34" s="9"/>
      <c r="AT34" s="2" t="s">
        <v>37</v>
      </c>
      <c r="AU34" s="4">
        <v>0</v>
      </c>
      <c r="AV34" s="4">
        <v>0</v>
      </c>
      <c r="BI34" s="4" t="s">
        <v>84</v>
      </c>
      <c r="BJ34" s="4">
        <v>2</v>
      </c>
      <c r="BK34" s="4">
        <v>0</v>
      </c>
      <c r="BN34" s="4" t="s">
        <v>79</v>
      </c>
      <c r="BO34" s="4">
        <v>0</v>
      </c>
      <c r="BP34" s="4">
        <v>0</v>
      </c>
    </row>
    <row r="35" spans="1:68" x14ac:dyDescent="0.2">
      <c r="F35" s="3" t="s">
        <v>46</v>
      </c>
      <c r="G35" s="1">
        <v>13</v>
      </c>
      <c r="H35" s="1">
        <v>0</v>
      </c>
      <c r="K35" s="1" t="s">
        <v>47</v>
      </c>
      <c r="L35">
        <v>177</v>
      </c>
      <c r="M35" s="1">
        <v>6</v>
      </c>
      <c r="P35" s="4" t="s">
        <v>61</v>
      </c>
      <c r="Q35" t="s">
        <v>6</v>
      </c>
      <c r="R35" s="1">
        <v>0</v>
      </c>
      <c r="U35" s="1" t="s">
        <v>4</v>
      </c>
      <c r="V35" s="1">
        <v>33</v>
      </c>
      <c r="W35" s="1">
        <v>4</v>
      </c>
      <c r="Z35" s="1" t="s">
        <v>82</v>
      </c>
      <c r="AA35" s="1">
        <v>191</v>
      </c>
      <c r="AB35" s="1">
        <v>0</v>
      </c>
      <c r="AJ35" s="3" t="s">
        <v>66</v>
      </c>
      <c r="AK35" s="1">
        <v>5</v>
      </c>
      <c r="AL35" s="1">
        <v>0</v>
      </c>
      <c r="AO35" s="3" t="s">
        <v>8</v>
      </c>
      <c r="AP35" s="1">
        <v>25</v>
      </c>
      <c r="AQ35" s="1">
        <v>1</v>
      </c>
      <c r="AT35" s="4" t="s">
        <v>61</v>
      </c>
      <c r="AU35" s="4" t="s">
        <v>45</v>
      </c>
      <c r="AV35" s="1">
        <v>1</v>
      </c>
      <c r="BI35" s="1" t="s">
        <v>86</v>
      </c>
      <c r="BJ35" s="1">
        <v>0</v>
      </c>
      <c r="BK35" s="1">
        <v>0</v>
      </c>
      <c r="BN35" s="3" t="s">
        <v>13</v>
      </c>
      <c r="BO35" s="1">
        <v>215</v>
      </c>
      <c r="BP35" s="1">
        <v>3</v>
      </c>
    </row>
    <row r="36" spans="1:68" x14ac:dyDescent="0.2">
      <c r="F36" s="2" t="s">
        <v>50</v>
      </c>
      <c r="G36">
        <v>0</v>
      </c>
      <c r="H36">
        <v>0</v>
      </c>
      <c r="K36" t="s">
        <v>51</v>
      </c>
      <c r="L36">
        <v>6</v>
      </c>
      <c r="M36">
        <v>0</v>
      </c>
      <c r="P36" s="1" t="s">
        <v>67</v>
      </c>
      <c r="Q36" s="1">
        <v>108</v>
      </c>
      <c r="R36">
        <v>2</v>
      </c>
      <c r="U36" s="4" t="s">
        <v>15</v>
      </c>
      <c r="V36">
        <v>0</v>
      </c>
      <c r="W36">
        <v>0</v>
      </c>
      <c r="Z36" s="4" t="s">
        <v>84</v>
      </c>
      <c r="AA36">
        <v>46</v>
      </c>
      <c r="AB36">
        <v>0</v>
      </c>
      <c r="AJ36" s="2" t="s">
        <v>71</v>
      </c>
      <c r="AK36">
        <v>1</v>
      </c>
      <c r="AL36">
        <v>0</v>
      </c>
      <c r="AO36" s="2" t="s">
        <v>18</v>
      </c>
      <c r="AP36" s="4">
        <v>4</v>
      </c>
      <c r="AQ36" s="4">
        <v>0</v>
      </c>
      <c r="AT36" s="1" t="s">
        <v>67</v>
      </c>
      <c r="AU36" s="1">
        <v>42</v>
      </c>
      <c r="AV36" s="4">
        <v>0</v>
      </c>
      <c r="BI36" s="4" t="s">
        <v>87</v>
      </c>
      <c r="BJ36" s="4">
        <v>2</v>
      </c>
      <c r="BK36" s="4">
        <v>0</v>
      </c>
      <c r="BN36" s="2" t="s">
        <v>23</v>
      </c>
      <c r="BO36" s="4">
        <v>24</v>
      </c>
      <c r="BP36" s="4">
        <v>0</v>
      </c>
    </row>
    <row r="37" spans="1:68" x14ac:dyDescent="0.2">
      <c r="F37" s="3" t="s">
        <v>54</v>
      </c>
      <c r="G37" s="1">
        <v>0</v>
      </c>
      <c r="H37" s="1">
        <v>0</v>
      </c>
      <c r="K37" s="1" t="s">
        <v>55</v>
      </c>
      <c r="L37">
        <v>0</v>
      </c>
      <c r="M37" s="1">
        <v>5</v>
      </c>
      <c r="P37" s="4" t="s">
        <v>72</v>
      </c>
      <c r="Q37" t="s">
        <v>6</v>
      </c>
      <c r="R37">
        <v>0</v>
      </c>
      <c r="U37" s="1" t="s">
        <v>25</v>
      </c>
      <c r="V37" s="1">
        <v>0</v>
      </c>
      <c r="W37" s="1">
        <v>0</v>
      </c>
      <c r="Z37" s="1" t="s">
        <v>86</v>
      </c>
      <c r="AA37" s="1">
        <v>0</v>
      </c>
      <c r="AB37" s="1">
        <v>0</v>
      </c>
      <c r="AJ37" s="2" t="s">
        <v>76</v>
      </c>
      <c r="AK37" t="s">
        <v>6</v>
      </c>
      <c r="AL37" s="1">
        <v>0</v>
      </c>
      <c r="AO37" s="3" t="s">
        <v>28</v>
      </c>
      <c r="AP37" s="1">
        <v>18</v>
      </c>
      <c r="AQ37" s="1">
        <v>0</v>
      </c>
      <c r="AT37" s="1" t="s">
        <v>72</v>
      </c>
      <c r="AU37" s="1">
        <v>139</v>
      </c>
      <c r="AV37" s="1">
        <v>1</v>
      </c>
      <c r="BI37" s="4" t="s">
        <v>3</v>
      </c>
      <c r="BJ37" s="4" t="s">
        <v>6</v>
      </c>
      <c r="BK37" s="1">
        <v>20</v>
      </c>
      <c r="BN37" s="3" t="s">
        <v>33</v>
      </c>
      <c r="BO37" s="1">
        <v>0</v>
      </c>
      <c r="BP37" s="1">
        <v>0</v>
      </c>
    </row>
    <row r="38" spans="1:68" x14ac:dyDescent="0.2">
      <c r="F38" s="2" t="s">
        <v>58</v>
      </c>
      <c r="G38">
        <v>0</v>
      </c>
      <c r="H38">
        <v>0</v>
      </c>
      <c r="K38" t="s">
        <v>59</v>
      </c>
      <c r="L38">
        <v>11</v>
      </c>
      <c r="M38">
        <v>0</v>
      </c>
      <c r="P38" s="1" t="s">
        <v>77</v>
      </c>
      <c r="Q38" s="1">
        <v>41</v>
      </c>
      <c r="R38" s="1">
        <v>0</v>
      </c>
      <c r="U38" s="4" t="s">
        <v>35</v>
      </c>
      <c r="V38">
        <v>1</v>
      </c>
      <c r="W38">
        <v>0</v>
      </c>
      <c r="Z38" s="4" t="s">
        <v>87</v>
      </c>
      <c r="AA38">
        <v>0</v>
      </c>
      <c r="AB38">
        <v>0</v>
      </c>
      <c r="AJ38" s="3" t="s">
        <v>81</v>
      </c>
      <c r="AK38" s="1">
        <v>21</v>
      </c>
      <c r="AL38">
        <v>0</v>
      </c>
      <c r="AO38" s="2" t="s">
        <v>38</v>
      </c>
      <c r="AP38" s="4">
        <v>0</v>
      </c>
      <c r="AQ38" s="4">
        <v>0</v>
      </c>
      <c r="AT38" s="4" t="s">
        <v>77</v>
      </c>
      <c r="AU38" s="4">
        <v>8</v>
      </c>
      <c r="AV38" s="4">
        <v>0</v>
      </c>
      <c r="BI38" s="1" t="s">
        <v>14</v>
      </c>
      <c r="BJ38" s="1">
        <v>259</v>
      </c>
      <c r="BK38" s="4">
        <v>0</v>
      </c>
      <c r="BN38" s="2" t="s">
        <v>43</v>
      </c>
      <c r="BO38" s="4">
        <v>0</v>
      </c>
      <c r="BP38" s="4">
        <v>0</v>
      </c>
    </row>
    <row r="39" spans="1:68" x14ac:dyDescent="0.2">
      <c r="F39" s="3" t="s">
        <v>66</v>
      </c>
      <c r="G39" s="1">
        <v>20</v>
      </c>
      <c r="H39" s="1">
        <v>13</v>
      </c>
      <c r="K39" t="s">
        <v>44</v>
      </c>
      <c r="L39" t="s">
        <v>45</v>
      </c>
      <c r="M39" s="1">
        <v>0</v>
      </c>
      <c r="P39" s="1" t="s">
        <v>11</v>
      </c>
      <c r="Q39" s="1">
        <v>148</v>
      </c>
      <c r="R39" s="1">
        <v>3</v>
      </c>
      <c r="U39" s="2" t="s">
        <v>48</v>
      </c>
      <c r="V39" t="s">
        <v>89</v>
      </c>
      <c r="W39" s="1">
        <v>19</v>
      </c>
      <c r="Z39" s="4" t="s">
        <v>44</v>
      </c>
      <c r="AA39" t="s">
        <v>6</v>
      </c>
      <c r="AB39" s="1">
        <v>3</v>
      </c>
      <c r="AJ39" s="1" t="s">
        <v>62</v>
      </c>
      <c r="AK39" s="1">
        <v>61</v>
      </c>
      <c r="AL39" s="1">
        <v>0</v>
      </c>
      <c r="AT39" s="1" t="s">
        <v>64</v>
      </c>
      <c r="AU39" s="1">
        <v>0</v>
      </c>
      <c r="AV39" s="1">
        <v>0</v>
      </c>
      <c r="BI39" s="4" t="s">
        <v>24</v>
      </c>
      <c r="BJ39" s="7">
        <v>0</v>
      </c>
      <c r="BK39" s="7">
        <v>0</v>
      </c>
      <c r="BN39" s="3" t="s">
        <v>8</v>
      </c>
      <c r="BO39" s="1">
        <v>55</v>
      </c>
      <c r="BP39" s="1">
        <v>0</v>
      </c>
    </row>
    <row r="40" spans="1:68" x14ac:dyDescent="0.2">
      <c r="F40" s="2" t="s">
        <v>71</v>
      </c>
      <c r="G40">
        <v>169</v>
      </c>
      <c r="H40">
        <v>0</v>
      </c>
      <c r="K40" s="1" t="s">
        <v>49</v>
      </c>
      <c r="L40" s="1">
        <v>46</v>
      </c>
      <c r="M40">
        <v>1</v>
      </c>
      <c r="P40" s="4" t="s">
        <v>21</v>
      </c>
      <c r="Q40">
        <v>31</v>
      </c>
      <c r="R40">
        <v>0</v>
      </c>
      <c r="U40" s="3" t="s">
        <v>52</v>
      </c>
      <c r="V40" s="1">
        <v>97</v>
      </c>
      <c r="W40">
        <v>0</v>
      </c>
      <c r="Z40" s="1" t="s">
        <v>49</v>
      </c>
      <c r="AA40" s="1">
        <v>81</v>
      </c>
      <c r="AB40">
        <v>0</v>
      </c>
      <c r="AJ40" s="4" t="s">
        <v>68</v>
      </c>
      <c r="AK40">
        <v>9</v>
      </c>
      <c r="AL40">
        <v>0</v>
      </c>
      <c r="AT40" s="4" t="s">
        <v>69</v>
      </c>
      <c r="AU40" s="4">
        <v>0</v>
      </c>
      <c r="AV40" s="4">
        <v>0</v>
      </c>
      <c r="BI40" s="4" t="s">
        <v>34</v>
      </c>
      <c r="BJ40" s="7">
        <v>0</v>
      </c>
      <c r="BK40" s="7">
        <v>0</v>
      </c>
      <c r="BN40" s="2" t="s">
        <v>18</v>
      </c>
      <c r="BO40" s="4">
        <v>4</v>
      </c>
      <c r="BP40" s="4">
        <v>0</v>
      </c>
    </row>
    <row r="41" spans="1:68" x14ac:dyDescent="0.2">
      <c r="F41" s="2" t="s">
        <v>76</v>
      </c>
      <c r="G41" s="6">
        <v>0</v>
      </c>
      <c r="H41" s="6">
        <v>0</v>
      </c>
      <c r="K41" s="1" t="s">
        <v>53</v>
      </c>
      <c r="L41">
        <v>5</v>
      </c>
      <c r="M41" s="1">
        <v>0</v>
      </c>
      <c r="P41" s="1" t="s">
        <v>31</v>
      </c>
      <c r="Q41" s="1">
        <v>0</v>
      </c>
      <c r="R41" s="1">
        <v>0</v>
      </c>
      <c r="U41" s="2" t="s">
        <v>56</v>
      </c>
      <c r="V41" t="s">
        <v>6</v>
      </c>
      <c r="W41" s="1">
        <v>0</v>
      </c>
      <c r="Z41" s="1" t="s">
        <v>53</v>
      </c>
      <c r="AA41" s="1">
        <v>62</v>
      </c>
      <c r="AB41" s="1">
        <v>0</v>
      </c>
      <c r="AJ41" s="4" t="s">
        <v>73</v>
      </c>
      <c r="AK41">
        <v>290</v>
      </c>
      <c r="AL41" s="1">
        <v>3</v>
      </c>
      <c r="AT41" s="4" t="s">
        <v>74</v>
      </c>
      <c r="AU41" s="7">
        <v>146</v>
      </c>
      <c r="AV41" s="7">
        <v>0</v>
      </c>
      <c r="BI41" s="1" t="s">
        <v>64</v>
      </c>
      <c r="BJ41" s="1">
        <v>6</v>
      </c>
      <c r="BK41" s="1">
        <v>0</v>
      </c>
      <c r="BN41" s="3" t="s">
        <v>28</v>
      </c>
      <c r="BO41" s="1">
        <v>0</v>
      </c>
      <c r="BP41" s="1">
        <v>0</v>
      </c>
    </row>
    <row r="42" spans="1:68" x14ac:dyDescent="0.2">
      <c r="F42" s="2" t="s">
        <v>81</v>
      </c>
      <c r="G42" s="6">
        <v>1</v>
      </c>
      <c r="H42" s="6">
        <v>1</v>
      </c>
      <c r="K42" t="s">
        <v>57</v>
      </c>
      <c r="L42">
        <v>0</v>
      </c>
      <c r="M42">
        <v>0</v>
      </c>
      <c r="P42" s="4" t="s">
        <v>41</v>
      </c>
      <c r="Q42">
        <v>1</v>
      </c>
      <c r="R42">
        <v>0</v>
      </c>
      <c r="U42" s="3" t="s">
        <v>60</v>
      </c>
      <c r="V42" s="1">
        <v>16</v>
      </c>
      <c r="W42">
        <v>0</v>
      </c>
      <c r="Z42" s="4" t="s">
        <v>57</v>
      </c>
      <c r="AA42">
        <v>2</v>
      </c>
      <c r="AB42">
        <v>0</v>
      </c>
      <c r="AJ42" s="4" t="s">
        <v>78</v>
      </c>
      <c r="AK42">
        <v>153</v>
      </c>
      <c r="AL42">
        <v>0</v>
      </c>
      <c r="AT42" s="4" t="s">
        <v>79</v>
      </c>
      <c r="AU42" s="7">
        <v>1</v>
      </c>
      <c r="AV42" s="7">
        <v>0</v>
      </c>
      <c r="BI42" s="4" t="s">
        <v>69</v>
      </c>
      <c r="BJ42" s="4">
        <v>57</v>
      </c>
      <c r="BK42" s="4">
        <v>0</v>
      </c>
      <c r="BN42" s="2" t="s">
        <v>38</v>
      </c>
      <c r="BO42" s="4">
        <v>1</v>
      </c>
      <c r="BP42" s="4">
        <v>0</v>
      </c>
    </row>
    <row r="43" spans="1:68" x14ac:dyDescent="0.2">
      <c r="F43" s="3" t="s">
        <v>48</v>
      </c>
      <c r="G43" s="1">
        <v>33</v>
      </c>
      <c r="H43" s="1">
        <v>6</v>
      </c>
      <c r="K43" s="1" t="s">
        <v>61</v>
      </c>
      <c r="L43" s="10"/>
      <c r="M43" s="10"/>
      <c r="P43" s="3" t="s">
        <v>13</v>
      </c>
      <c r="Q43" s="1">
        <v>14</v>
      </c>
      <c r="R43" s="1">
        <v>0</v>
      </c>
      <c r="U43" s="1" t="s">
        <v>82</v>
      </c>
      <c r="V43" s="1">
        <v>2</v>
      </c>
      <c r="W43" s="1">
        <v>1</v>
      </c>
      <c r="Z43" s="3" t="s">
        <v>5</v>
      </c>
      <c r="AA43" s="1">
        <v>1</v>
      </c>
      <c r="AB43" s="1">
        <v>0</v>
      </c>
      <c r="AJ43" s="1" t="s">
        <v>47</v>
      </c>
      <c r="AK43" s="1">
        <v>40</v>
      </c>
      <c r="AL43" s="1">
        <v>1</v>
      </c>
      <c r="AT43" s="2" t="s">
        <v>66</v>
      </c>
      <c r="AU43" s="4" t="s">
        <v>45</v>
      </c>
      <c r="AV43" s="4" t="s">
        <v>45</v>
      </c>
      <c r="BI43" s="1" t="s">
        <v>74</v>
      </c>
      <c r="BJ43" s="1">
        <v>10</v>
      </c>
      <c r="BK43" s="1">
        <v>0</v>
      </c>
      <c r="BN43" s="1" t="s">
        <v>47</v>
      </c>
      <c r="BO43" s="1">
        <v>44</v>
      </c>
      <c r="BP43" s="1">
        <v>0</v>
      </c>
    </row>
    <row r="44" spans="1:68" x14ac:dyDescent="0.2">
      <c r="F44" s="2" t="s">
        <v>52</v>
      </c>
      <c r="G44">
        <v>2</v>
      </c>
      <c r="H44">
        <v>0</v>
      </c>
      <c r="K44" t="s">
        <v>67</v>
      </c>
      <c r="L44">
        <v>18</v>
      </c>
      <c r="M44">
        <v>0</v>
      </c>
      <c r="P44" s="11" t="s">
        <v>23</v>
      </c>
      <c r="Q44" s="6">
        <v>1</v>
      </c>
      <c r="R44" s="6">
        <v>0</v>
      </c>
      <c r="U44" s="4" t="s">
        <v>84</v>
      </c>
      <c r="V44">
        <v>3</v>
      </c>
      <c r="W44">
        <v>0</v>
      </c>
      <c r="Z44" s="2" t="s">
        <v>16</v>
      </c>
      <c r="AA44">
        <v>0</v>
      </c>
      <c r="AB44">
        <v>0</v>
      </c>
      <c r="AJ44" s="4" t="s">
        <v>51</v>
      </c>
      <c r="AK44">
        <v>0</v>
      </c>
      <c r="AL44">
        <v>0</v>
      </c>
      <c r="AT44" s="3" t="s">
        <v>71</v>
      </c>
      <c r="AU44" s="1">
        <v>1</v>
      </c>
      <c r="AV44" s="1">
        <v>2</v>
      </c>
      <c r="BI44" s="4" t="s">
        <v>79</v>
      </c>
      <c r="BJ44" s="4">
        <v>0</v>
      </c>
      <c r="BK44" s="4">
        <v>0</v>
      </c>
      <c r="BN44" s="4" t="s">
        <v>51</v>
      </c>
      <c r="BO44" s="4">
        <v>0</v>
      </c>
      <c r="BP44" s="4">
        <v>0</v>
      </c>
    </row>
    <row r="45" spans="1:68" x14ac:dyDescent="0.2">
      <c r="F45" s="3" t="s">
        <v>56</v>
      </c>
      <c r="G45" s="1">
        <v>0</v>
      </c>
      <c r="H45" s="1">
        <v>0</v>
      </c>
      <c r="K45" s="1" t="s">
        <v>72</v>
      </c>
      <c r="L45" s="1">
        <v>136</v>
      </c>
      <c r="M45" s="1">
        <v>0</v>
      </c>
      <c r="P45" s="11" t="s">
        <v>33</v>
      </c>
      <c r="Q45" s="6">
        <v>0</v>
      </c>
      <c r="R45" s="6">
        <v>0</v>
      </c>
      <c r="U45" s="1" t="s">
        <v>86</v>
      </c>
      <c r="V45" s="1">
        <v>0</v>
      </c>
      <c r="W45" s="1">
        <v>0</v>
      </c>
      <c r="Z45" s="3" t="s">
        <v>26</v>
      </c>
      <c r="AA45" s="1">
        <v>0</v>
      </c>
      <c r="AB45" s="1">
        <v>0</v>
      </c>
      <c r="AJ45" s="1" t="s">
        <v>55</v>
      </c>
      <c r="AK45" s="1">
        <v>0</v>
      </c>
      <c r="AL45" s="1">
        <v>0</v>
      </c>
      <c r="AT45" s="2" t="s">
        <v>76</v>
      </c>
      <c r="AU45" s="4" t="s">
        <v>6</v>
      </c>
      <c r="AV45" s="1">
        <v>0</v>
      </c>
      <c r="BI45" s="1" t="s">
        <v>4</v>
      </c>
      <c r="BJ45" s="1">
        <v>112</v>
      </c>
      <c r="BK45" s="1">
        <v>0</v>
      </c>
      <c r="BN45" s="1" t="s">
        <v>55</v>
      </c>
      <c r="BO45" s="1">
        <v>0</v>
      </c>
      <c r="BP45" s="1">
        <v>0</v>
      </c>
    </row>
    <row r="46" spans="1:68" x14ac:dyDescent="0.2">
      <c r="F46" s="2" t="s">
        <v>60</v>
      </c>
      <c r="G46">
        <v>0</v>
      </c>
      <c r="H46">
        <v>0</v>
      </c>
      <c r="K46" t="s">
        <v>77</v>
      </c>
      <c r="L46">
        <v>28</v>
      </c>
      <c r="M46">
        <v>0</v>
      </c>
      <c r="P46" s="11" t="s">
        <v>43</v>
      </c>
      <c r="Q46" s="6">
        <v>0</v>
      </c>
      <c r="R46" s="6">
        <v>0</v>
      </c>
      <c r="U46" s="4" t="s">
        <v>87</v>
      </c>
      <c r="V46">
        <v>0</v>
      </c>
      <c r="W46">
        <v>0</v>
      </c>
      <c r="Z46" s="2" t="s">
        <v>36</v>
      </c>
      <c r="AA46">
        <v>1</v>
      </c>
      <c r="AB46">
        <v>0</v>
      </c>
      <c r="AJ46" s="4" t="s">
        <v>59</v>
      </c>
      <c r="AK46">
        <v>0</v>
      </c>
      <c r="AL46">
        <v>0</v>
      </c>
      <c r="AT46" s="3" t="s">
        <v>81</v>
      </c>
      <c r="AU46" s="1">
        <v>77</v>
      </c>
      <c r="AV46" s="4">
        <v>1</v>
      </c>
      <c r="BI46" s="4" t="s">
        <v>15</v>
      </c>
      <c r="BJ46" s="4">
        <v>14</v>
      </c>
      <c r="BK46" s="4">
        <v>0</v>
      </c>
      <c r="BN46" s="4" t="s">
        <v>59</v>
      </c>
      <c r="BO46" s="4">
        <v>0</v>
      </c>
      <c r="BP46" s="4">
        <v>0</v>
      </c>
    </row>
    <row r="47" spans="1:68" x14ac:dyDescent="0.2">
      <c r="F47" s="3" t="s">
        <v>7</v>
      </c>
      <c r="G47" s="1">
        <v>44</v>
      </c>
      <c r="H47" s="1">
        <v>5</v>
      </c>
      <c r="Z47" s="1" t="s">
        <v>61</v>
      </c>
      <c r="AA47" s="1">
        <v>218</v>
      </c>
      <c r="AB47" s="1">
        <v>4</v>
      </c>
      <c r="AJ47" s="3" t="s">
        <v>8</v>
      </c>
      <c r="AK47" s="1">
        <v>29</v>
      </c>
      <c r="AL47" s="1">
        <v>0</v>
      </c>
      <c r="AT47" s="1" t="s">
        <v>62</v>
      </c>
      <c r="AU47" s="1">
        <v>106</v>
      </c>
      <c r="AV47" s="1">
        <v>1</v>
      </c>
      <c r="BI47" s="4" t="s">
        <v>25</v>
      </c>
      <c r="BJ47" s="7">
        <v>14</v>
      </c>
      <c r="BK47" s="7">
        <v>1</v>
      </c>
      <c r="BN47" s="3" t="s">
        <v>9</v>
      </c>
      <c r="BO47" s="1">
        <v>44</v>
      </c>
      <c r="BP47" s="1">
        <v>1</v>
      </c>
    </row>
    <row r="48" spans="1:68" x14ac:dyDescent="0.2">
      <c r="F48" s="2" t="s">
        <v>17</v>
      </c>
      <c r="G48">
        <v>42</v>
      </c>
      <c r="H48">
        <v>0</v>
      </c>
      <c r="Z48" s="4" t="s">
        <v>67</v>
      </c>
      <c r="AA48">
        <v>19</v>
      </c>
      <c r="AB48">
        <v>0</v>
      </c>
      <c r="AJ48" s="2" t="s">
        <v>18</v>
      </c>
      <c r="AK48">
        <v>4</v>
      </c>
      <c r="AL48">
        <v>0</v>
      </c>
      <c r="AT48" s="4" t="s">
        <v>68</v>
      </c>
      <c r="AU48" s="4">
        <v>20</v>
      </c>
      <c r="AV48" s="4">
        <v>0</v>
      </c>
      <c r="BI48" s="4" t="s">
        <v>35</v>
      </c>
      <c r="BJ48" s="7">
        <v>1</v>
      </c>
      <c r="BK48" s="7">
        <v>0</v>
      </c>
      <c r="BN48" s="2" t="s">
        <v>19</v>
      </c>
      <c r="BO48" s="4">
        <v>4</v>
      </c>
      <c r="BP48" s="4">
        <v>0</v>
      </c>
    </row>
    <row r="49" spans="1:68" x14ac:dyDescent="0.2">
      <c r="F49" s="3" t="s">
        <v>27</v>
      </c>
      <c r="G49" s="1">
        <v>20</v>
      </c>
      <c r="H49" s="1">
        <v>0</v>
      </c>
      <c r="Z49" s="1" t="s">
        <v>72</v>
      </c>
      <c r="AA49" s="1">
        <v>56</v>
      </c>
      <c r="AB49" s="1">
        <v>1</v>
      </c>
      <c r="AJ49" s="3" t="s">
        <v>28</v>
      </c>
      <c r="AK49" s="1">
        <v>0</v>
      </c>
      <c r="AL49" s="1">
        <v>0</v>
      </c>
      <c r="AT49" s="4" t="s">
        <v>73</v>
      </c>
      <c r="AU49" s="4" t="s">
        <v>45</v>
      </c>
      <c r="AV49" s="1">
        <v>0</v>
      </c>
      <c r="BI49" s="1" t="s">
        <v>62</v>
      </c>
      <c r="BJ49" s="1">
        <v>18</v>
      </c>
      <c r="BK49" s="1">
        <v>2</v>
      </c>
      <c r="BN49" s="3" t="s">
        <v>29</v>
      </c>
      <c r="BO49" s="1">
        <v>27</v>
      </c>
      <c r="BP49" s="1">
        <v>0</v>
      </c>
    </row>
    <row r="50" spans="1:68" x14ac:dyDescent="0.2">
      <c r="F50" s="2" t="s">
        <v>37</v>
      </c>
      <c r="G50">
        <v>0</v>
      </c>
      <c r="H50">
        <v>0</v>
      </c>
      <c r="Z50" s="4" t="s">
        <v>77</v>
      </c>
      <c r="AA50">
        <v>9</v>
      </c>
      <c r="AB50">
        <v>0</v>
      </c>
      <c r="AJ50" s="2" t="s">
        <v>38</v>
      </c>
      <c r="AK50">
        <v>0</v>
      </c>
      <c r="AL50">
        <v>0</v>
      </c>
      <c r="AT50" s="1" t="s">
        <v>78</v>
      </c>
      <c r="AU50" s="1" t="s">
        <v>45</v>
      </c>
      <c r="AV50" s="4">
        <v>0</v>
      </c>
      <c r="BI50" s="4" t="s">
        <v>68</v>
      </c>
      <c r="BJ50" s="4">
        <v>5</v>
      </c>
      <c r="BK50" s="4">
        <v>0</v>
      </c>
      <c r="BN50" s="2" t="s">
        <v>39</v>
      </c>
      <c r="BO50" s="4">
        <v>0</v>
      </c>
      <c r="BP50" s="4">
        <v>0</v>
      </c>
    </row>
    <row r="51" spans="1:68" x14ac:dyDescent="0.2">
      <c r="F51" s="1" t="s">
        <v>3</v>
      </c>
      <c r="G51" s="1">
        <v>52</v>
      </c>
      <c r="H51" s="1">
        <v>0</v>
      </c>
      <c r="Z51" s="1" t="s">
        <v>62</v>
      </c>
      <c r="AA51" s="1">
        <v>117</v>
      </c>
      <c r="AB51" s="1">
        <v>3</v>
      </c>
      <c r="AJ51" s="3" t="s">
        <v>46</v>
      </c>
      <c r="AK51" s="1">
        <v>0</v>
      </c>
      <c r="AL51" s="1">
        <v>0</v>
      </c>
      <c r="AT51" s="4" t="s">
        <v>44</v>
      </c>
      <c r="AU51" s="4">
        <v>128</v>
      </c>
      <c r="AV51" s="1">
        <v>1</v>
      </c>
      <c r="BI51" s="1" t="s">
        <v>73</v>
      </c>
      <c r="BJ51" s="1">
        <v>0</v>
      </c>
      <c r="BK51" s="1">
        <v>0</v>
      </c>
      <c r="BN51" s="3" t="s">
        <v>48</v>
      </c>
      <c r="BO51" s="1">
        <v>53</v>
      </c>
      <c r="BP51" s="1">
        <v>1</v>
      </c>
    </row>
    <row r="52" spans="1:68" x14ac:dyDescent="0.2">
      <c r="F52" s="4" t="s">
        <v>14</v>
      </c>
      <c r="G52">
        <v>3</v>
      </c>
      <c r="H52">
        <v>0</v>
      </c>
      <c r="Z52" s="4" t="s">
        <v>68</v>
      </c>
      <c r="AA52">
        <v>23</v>
      </c>
      <c r="AB52">
        <v>0</v>
      </c>
      <c r="AJ52" s="2" t="s">
        <v>50</v>
      </c>
      <c r="AK52">
        <v>0</v>
      </c>
      <c r="AL52">
        <v>0</v>
      </c>
      <c r="AT52" s="1" t="s">
        <v>49</v>
      </c>
      <c r="AU52" s="1">
        <v>20</v>
      </c>
      <c r="AV52" s="4">
        <v>0</v>
      </c>
      <c r="BI52" s="4" t="s">
        <v>78</v>
      </c>
      <c r="BJ52" s="4">
        <v>0</v>
      </c>
      <c r="BK52" s="4">
        <v>0</v>
      </c>
      <c r="BN52" s="2" t="s">
        <v>52</v>
      </c>
      <c r="BO52" s="4">
        <v>17</v>
      </c>
      <c r="BP52" s="4">
        <v>0</v>
      </c>
    </row>
    <row r="53" spans="1:68" x14ac:dyDescent="0.2">
      <c r="F53" s="1" t="s">
        <v>24</v>
      </c>
      <c r="G53" s="1">
        <v>0</v>
      </c>
      <c r="H53" s="1">
        <v>0</v>
      </c>
      <c r="Z53" s="4" t="s">
        <v>73</v>
      </c>
      <c r="AA53" t="s">
        <v>6</v>
      </c>
      <c r="AB53" s="1">
        <v>0</v>
      </c>
      <c r="AJ53" s="2" t="s">
        <v>54</v>
      </c>
      <c r="AK53" s="6">
        <v>1</v>
      </c>
      <c r="AL53" s="6">
        <v>0</v>
      </c>
      <c r="AT53" s="1" t="s">
        <v>53</v>
      </c>
      <c r="AU53" s="1">
        <v>0</v>
      </c>
      <c r="AV53" s="1">
        <v>0</v>
      </c>
      <c r="BI53" s="1" t="s">
        <v>47</v>
      </c>
      <c r="BJ53" s="1">
        <v>19</v>
      </c>
      <c r="BK53" s="1">
        <v>0</v>
      </c>
      <c r="BN53" s="3" t="s">
        <v>56</v>
      </c>
      <c r="BO53" s="1">
        <v>0</v>
      </c>
      <c r="BP53" s="1">
        <v>0</v>
      </c>
    </row>
    <row r="54" spans="1:68" x14ac:dyDescent="0.2">
      <c r="F54" s="4" t="s">
        <v>34</v>
      </c>
      <c r="G54">
        <v>0</v>
      </c>
      <c r="H54">
        <v>0</v>
      </c>
      <c r="Z54" s="1" t="s">
        <v>78</v>
      </c>
      <c r="AA54" s="1">
        <v>37</v>
      </c>
      <c r="AB54">
        <v>0</v>
      </c>
      <c r="AJ54" s="2" t="s">
        <v>58</v>
      </c>
      <c r="AK54" s="6">
        <v>0</v>
      </c>
      <c r="AL54" s="6">
        <v>0</v>
      </c>
      <c r="AT54" s="4" t="s">
        <v>57</v>
      </c>
      <c r="AU54" s="4">
        <v>0</v>
      </c>
      <c r="AV54" s="4">
        <v>0</v>
      </c>
      <c r="BI54" s="4" t="s">
        <v>51</v>
      </c>
      <c r="BJ54" s="4">
        <v>4</v>
      </c>
      <c r="BK54" s="4">
        <v>0</v>
      </c>
      <c r="BN54" s="2" t="s">
        <v>60</v>
      </c>
      <c r="BO54" s="4">
        <v>0</v>
      </c>
      <c r="BP54" s="4">
        <v>0</v>
      </c>
    </row>
    <row r="55" spans="1:68" x14ac:dyDescent="0.2">
      <c r="Z55" s="4" t="s">
        <v>48</v>
      </c>
      <c r="AA55" s="6">
        <v>150</v>
      </c>
      <c r="AB55" s="6">
        <v>3</v>
      </c>
      <c r="AJ55" s="1" t="s">
        <v>82</v>
      </c>
      <c r="AK55" s="1">
        <v>29</v>
      </c>
      <c r="AL55" s="1">
        <v>0</v>
      </c>
      <c r="BI55" s="1" t="s">
        <v>55</v>
      </c>
      <c r="BJ55" s="1">
        <v>0</v>
      </c>
      <c r="BK55" s="1">
        <v>0</v>
      </c>
      <c r="BN55" s="1" t="s">
        <v>65</v>
      </c>
      <c r="BO55" s="1">
        <v>52</v>
      </c>
      <c r="BP55" s="1">
        <v>1</v>
      </c>
    </row>
    <row r="56" spans="1:68" x14ac:dyDescent="0.2">
      <c r="Z56" s="4" t="s">
        <v>52</v>
      </c>
      <c r="AA56" s="6">
        <v>19</v>
      </c>
      <c r="AB56" s="6">
        <v>0</v>
      </c>
      <c r="AJ56" s="4" t="s">
        <v>84</v>
      </c>
      <c r="AK56">
        <v>5</v>
      </c>
      <c r="AL56">
        <v>0</v>
      </c>
      <c r="BI56" s="4" t="s">
        <v>59</v>
      </c>
      <c r="BJ56" s="4">
        <v>0</v>
      </c>
      <c r="BK56" s="4">
        <v>0</v>
      </c>
      <c r="BN56" s="4" t="s">
        <v>70</v>
      </c>
      <c r="BO56" s="7">
        <v>11</v>
      </c>
      <c r="BP56" s="7">
        <v>0</v>
      </c>
    </row>
    <row r="57" spans="1:68" x14ac:dyDescent="0.2">
      <c r="A57" s="26">
        <v>43872</v>
      </c>
      <c r="B57" s="26"/>
      <c r="C57" s="26"/>
      <c r="Z57" s="1" t="s">
        <v>56</v>
      </c>
      <c r="AA57" s="1">
        <v>22</v>
      </c>
      <c r="AB57" s="1">
        <v>0</v>
      </c>
      <c r="AJ57" s="1" t="s">
        <v>86</v>
      </c>
      <c r="AK57" s="1">
        <v>0</v>
      </c>
      <c r="AL57" s="1">
        <v>0</v>
      </c>
      <c r="BI57" s="3" t="s">
        <v>8</v>
      </c>
      <c r="BJ57" s="1">
        <v>25</v>
      </c>
      <c r="BK57" s="1">
        <v>0</v>
      </c>
      <c r="BN57" s="4" t="s">
        <v>75</v>
      </c>
      <c r="BO57" s="7">
        <v>0</v>
      </c>
      <c r="BP57" s="7">
        <v>0</v>
      </c>
    </row>
    <row r="58" spans="1:68" x14ac:dyDescent="0.2">
      <c r="A58" t="s">
        <v>90</v>
      </c>
      <c r="B58" t="s">
        <v>91</v>
      </c>
      <c r="C58" t="s">
        <v>92</v>
      </c>
      <c r="D58" t="s">
        <v>93</v>
      </c>
      <c r="E58" t="s">
        <v>94</v>
      </c>
      <c r="F58" t="s">
        <v>95</v>
      </c>
      <c r="G58" t="s">
        <v>93</v>
      </c>
      <c r="Z58" s="4" t="s">
        <v>60</v>
      </c>
      <c r="AA58">
        <v>0</v>
      </c>
      <c r="AB58">
        <v>0</v>
      </c>
      <c r="AJ58" s="4" t="s">
        <v>87</v>
      </c>
      <c r="AK58">
        <v>0</v>
      </c>
      <c r="AL58">
        <v>0</v>
      </c>
      <c r="BI58" s="2" t="s">
        <v>18</v>
      </c>
      <c r="BJ58" s="4">
        <v>0</v>
      </c>
      <c r="BK58" s="4">
        <v>0</v>
      </c>
      <c r="BN58" s="4" t="s">
        <v>80</v>
      </c>
      <c r="BO58" s="7">
        <v>0</v>
      </c>
      <c r="BP58" s="7">
        <v>0</v>
      </c>
    </row>
    <row r="59" spans="1:68" x14ac:dyDescent="0.2">
      <c r="A59">
        <v>3</v>
      </c>
      <c r="B59" s="1">
        <v>48</v>
      </c>
      <c r="C59">
        <v>0</v>
      </c>
      <c r="D59">
        <f>LOG(B59)-LOG(1)</f>
        <v>1.6812412373755872</v>
      </c>
      <c r="E59" s="1">
        <v>0</v>
      </c>
      <c r="F59">
        <v>0</v>
      </c>
      <c r="G59">
        <f>LOG(1)-LOG(1)</f>
        <v>0</v>
      </c>
      <c r="AJ59" s="3" t="s">
        <v>48</v>
      </c>
      <c r="AK59" s="1">
        <v>113</v>
      </c>
      <c r="AL59" s="1">
        <v>0</v>
      </c>
      <c r="BI59" s="3" t="s">
        <v>28</v>
      </c>
      <c r="BJ59" s="1">
        <v>0</v>
      </c>
      <c r="BK59" s="1">
        <v>0</v>
      </c>
    </row>
    <row r="60" spans="1:68" x14ac:dyDescent="0.2">
      <c r="A60">
        <v>4</v>
      </c>
      <c r="B60" s="1">
        <f>B8*100</f>
        <v>3400</v>
      </c>
      <c r="C60">
        <v>3</v>
      </c>
      <c r="D60">
        <f>LOG(B60)-LOG(C60)</f>
        <v>3.0543576623225923</v>
      </c>
      <c r="E60" s="1">
        <v>2</v>
      </c>
      <c r="F60">
        <v>0</v>
      </c>
      <c r="G60">
        <f>LOG(E60)-LOG(1)</f>
        <v>0.3010299956639812</v>
      </c>
      <c r="AJ60" s="2" t="s">
        <v>52</v>
      </c>
      <c r="AK60">
        <v>5</v>
      </c>
      <c r="AL60">
        <v>1</v>
      </c>
      <c r="BI60" s="2" t="s">
        <v>38</v>
      </c>
      <c r="BJ60" s="4">
        <v>0</v>
      </c>
      <c r="BK60" s="4">
        <v>0</v>
      </c>
    </row>
    <row r="61" spans="1:68" x14ac:dyDescent="0.2">
      <c r="A61">
        <v>5</v>
      </c>
      <c r="B61" s="1">
        <v>158</v>
      </c>
      <c r="C61">
        <v>0</v>
      </c>
      <c r="D61">
        <f>LOG(B61)-LOG(1)</f>
        <v>2.1986570869544226</v>
      </c>
      <c r="E61">
        <v>1</v>
      </c>
      <c r="F61">
        <v>0</v>
      </c>
      <c r="G61">
        <f t="shared" ref="G61:G66" si="0">LOG(E61)-LOG(1)</f>
        <v>0</v>
      </c>
      <c r="AJ61" s="3" t="s">
        <v>56</v>
      </c>
      <c r="AK61" s="1">
        <v>0</v>
      </c>
      <c r="AL61" s="1">
        <v>0</v>
      </c>
    </row>
    <row r="62" spans="1:68" x14ac:dyDescent="0.2">
      <c r="A62">
        <v>6</v>
      </c>
      <c r="B62" s="1">
        <v>197</v>
      </c>
      <c r="C62">
        <v>0</v>
      </c>
      <c r="D62">
        <f>LOG(B62)-LOG(1)</f>
        <v>2.2944662261615929</v>
      </c>
      <c r="E62">
        <v>3</v>
      </c>
      <c r="F62">
        <v>0</v>
      </c>
      <c r="G62">
        <f t="shared" si="0"/>
        <v>0.47712125471966244</v>
      </c>
      <c r="AJ62" s="2" t="s">
        <v>60</v>
      </c>
      <c r="AK62">
        <v>0</v>
      </c>
      <c r="AL62">
        <v>0</v>
      </c>
    </row>
    <row r="63" spans="1:68" x14ac:dyDescent="0.2">
      <c r="A63">
        <v>7</v>
      </c>
      <c r="B63">
        <f>234*100</f>
        <v>23400</v>
      </c>
      <c r="C63">
        <v>6</v>
      </c>
      <c r="D63">
        <f>LOG(B63)-LOG(C63)</f>
        <v>3.5910646070264987</v>
      </c>
      <c r="E63">
        <v>5</v>
      </c>
      <c r="F63">
        <v>0</v>
      </c>
      <c r="G63">
        <f t="shared" si="0"/>
        <v>0.69897000433601886</v>
      </c>
      <c r="AJ63" s="1" t="s">
        <v>12</v>
      </c>
      <c r="AK63" s="1">
        <v>62</v>
      </c>
      <c r="AL63" s="1">
        <v>3</v>
      </c>
    </row>
    <row r="64" spans="1:68" x14ac:dyDescent="0.2">
      <c r="A64">
        <v>8</v>
      </c>
      <c r="B64" s="1">
        <v>222</v>
      </c>
      <c r="C64">
        <v>0</v>
      </c>
      <c r="D64">
        <f>LOG(B64)-LOG(1)</f>
        <v>2.3463529744506388</v>
      </c>
      <c r="E64">
        <v>22</v>
      </c>
      <c r="F64">
        <v>0</v>
      </c>
      <c r="G64">
        <f t="shared" si="0"/>
        <v>1.3424226808222062</v>
      </c>
      <c r="AJ64" s="4" t="s">
        <v>22</v>
      </c>
      <c r="AK64">
        <v>5</v>
      </c>
      <c r="AL64">
        <v>0</v>
      </c>
    </row>
    <row r="65" spans="1:38" x14ac:dyDescent="0.2">
      <c r="A65">
        <v>9</v>
      </c>
      <c r="B65" s="1">
        <v>10</v>
      </c>
      <c r="C65" s="1">
        <v>0</v>
      </c>
      <c r="D65">
        <f>LOG(B65)-LOG(1)</f>
        <v>1</v>
      </c>
      <c r="E65">
        <v>4</v>
      </c>
      <c r="F65">
        <v>0</v>
      </c>
      <c r="G65">
        <f t="shared" si="0"/>
        <v>0.6020599913279624</v>
      </c>
      <c r="AJ65" s="1" t="s">
        <v>32</v>
      </c>
      <c r="AK65" s="1">
        <v>73</v>
      </c>
      <c r="AL65" s="1">
        <v>0</v>
      </c>
    </row>
    <row r="66" spans="1:38" x14ac:dyDescent="0.2">
      <c r="A66">
        <v>10</v>
      </c>
      <c r="B66" s="1">
        <v>71</v>
      </c>
      <c r="C66">
        <v>7</v>
      </c>
      <c r="D66">
        <f>LOG(B66)-LOG(C66)</f>
        <v>1.0061603087048185</v>
      </c>
      <c r="E66">
        <v>74</v>
      </c>
      <c r="F66">
        <v>0</v>
      </c>
      <c r="G66">
        <f t="shared" si="0"/>
        <v>1.8692317197309762</v>
      </c>
      <c r="AJ66" s="4" t="s">
        <v>42</v>
      </c>
      <c r="AK66">
        <v>3</v>
      </c>
      <c r="AL66">
        <v>0</v>
      </c>
    </row>
    <row r="70" spans="1:38" x14ac:dyDescent="0.2">
      <c r="A70" s="26">
        <v>43873</v>
      </c>
      <c r="B70" s="26"/>
      <c r="C70" s="26"/>
    </row>
    <row r="72" spans="1:38" x14ac:dyDescent="0.2">
      <c r="A72" t="s">
        <v>90</v>
      </c>
      <c r="B72" t="s">
        <v>91</v>
      </c>
      <c r="C72" t="s">
        <v>92</v>
      </c>
      <c r="D72" t="s">
        <v>93</v>
      </c>
      <c r="E72" t="s">
        <v>94</v>
      </c>
      <c r="F72" t="s">
        <v>95</v>
      </c>
      <c r="G72" t="s">
        <v>93</v>
      </c>
    </row>
    <row r="73" spans="1:38" x14ac:dyDescent="0.2">
      <c r="A73">
        <v>11</v>
      </c>
      <c r="B73" s="1">
        <v>32</v>
      </c>
      <c r="C73" s="1">
        <v>0</v>
      </c>
      <c r="D73">
        <f>LOG(B73)-LOG(1)</f>
        <v>1.505149978319906</v>
      </c>
      <c r="E73">
        <v>0</v>
      </c>
      <c r="F73">
        <v>0</v>
      </c>
      <c r="G73">
        <f>LOG(1)-LOG(1)</f>
        <v>0</v>
      </c>
    </row>
    <row r="74" spans="1:38" x14ac:dyDescent="0.2">
      <c r="A74">
        <v>18</v>
      </c>
      <c r="B74" s="1">
        <v>265</v>
      </c>
      <c r="C74">
        <v>0</v>
      </c>
      <c r="D74">
        <f t="shared" ref="D74:D85" si="1">LOG(B74)-LOG(1)</f>
        <v>2.4232458739368079</v>
      </c>
      <c r="E74" s="1">
        <v>9</v>
      </c>
      <c r="F74">
        <v>0</v>
      </c>
      <c r="G74">
        <f>LOG(E74)-LOG(1)</f>
        <v>0.95424250943932487</v>
      </c>
    </row>
    <row r="75" spans="1:38" x14ac:dyDescent="0.2">
      <c r="A75">
        <v>16</v>
      </c>
      <c r="B75">
        <f>G12*100</f>
        <v>3200</v>
      </c>
      <c r="C75">
        <v>0</v>
      </c>
      <c r="D75">
        <f t="shared" si="1"/>
        <v>3.5051499783199058</v>
      </c>
      <c r="E75">
        <f>H12*100</f>
        <v>1600</v>
      </c>
      <c r="F75">
        <v>0</v>
      </c>
      <c r="G75">
        <f>LOG(E75)-LOG(1)</f>
        <v>3.2041199826559246</v>
      </c>
    </row>
    <row r="76" spans="1:38" x14ac:dyDescent="0.2">
      <c r="A76">
        <v>15</v>
      </c>
      <c r="B76">
        <v>6</v>
      </c>
      <c r="C76">
        <v>0</v>
      </c>
      <c r="D76">
        <f t="shared" si="1"/>
        <v>0.77815125038364363</v>
      </c>
      <c r="E76">
        <v>0</v>
      </c>
      <c r="F76">
        <v>0</v>
      </c>
      <c r="G76">
        <f>LOG(1)-LOG(1)</f>
        <v>0</v>
      </c>
    </row>
    <row r="77" spans="1:38" x14ac:dyDescent="0.2">
      <c r="A77">
        <v>13</v>
      </c>
      <c r="B77">
        <f>G20*100</f>
        <v>5500</v>
      </c>
      <c r="C77">
        <v>0</v>
      </c>
      <c r="D77">
        <f t="shared" si="1"/>
        <v>3.7403626894942437</v>
      </c>
      <c r="E77">
        <v>2</v>
      </c>
      <c r="F77">
        <v>0</v>
      </c>
      <c r="G77">
        <f>LOG(E77)-LOG(1)</f>
        <v>0.3010299956639812</v>
      </c>
    </row>
    <row r="78" spans="1:38" x14ac:dyDescent="0.2">
      <c r="A78">
        <v>17</v>
      </c>
      <c r="B78">
        <f>G24*100</f>
        <v>23100</v>
      </c>
      <c r="C78">
        <v>0</v>
      </c>
      <c r="D78">
        <f t="shared" si="1"/>
        <v>4.363611979892144</v>
      </c>
      <c r="E78">
        <v>2</v>
      </c>
      <c r="F78">
        <v>0</v>
      </c>
      <c r="G78">
        <f>LOG(E78)-LOG(1)</f>
        <v>0.3010299956639812</v>
      </c>
    </row>
    <row r="79" spans="1:38" x14ac:dyDescent="0.2">
      <c r="A79">
        <v>14</v>
      </c>
      <c r="B79">
        <f>G28*100</f>
        <v>3500</v>
      </c>
      <c r="C79" s="8"/>
      <c r="D79" s="8"/>
      <c r="E79">
        <v>6</v>
      </c>
      <c r="F79" s="8"/>
      <c r="G79">
        <f>LOG(E79)-LOG(1)</f>
        <v>0.77815125038364363</v>
      </c>
    </row>
    <row r="80" spans="1:38" x14ac:dyDescent="0.2">
      <c r="A80">
        <v>1</v>
      </c>
      <c r="B80">
        <v>173</v>
      </c>
      <c r="C80">
        <v>0</v>
      </c>
      <c r="D80">
        <f t="shared" si="1"/>
        <v>2.2380461031287955</v>
      </c>
      <c r="E80">
        <v>12</v>
      </c>
      <c r="F80">
        <v>0</v>
      </c>
      <c r="G80">
        <f>LOG(E80)-LOG(1)</f>
        <v>1.0791812460476249</v>
      </c>
    </row>
    <row r="81" spans="1:7" x14ac:dyDescent="0.2">
      <c r="A81">
        <v>12</v>
      </c>
      <c r="B81">
        <v>13</v>
      </c>
      <c r="C81">
        <v>0</v>
      </c>
      <c r="D81">
        <f t="shared" si="1"/>
        <v>1.1139433523068367</v>
      </c>
      <c r="E81">
        <v>0</v>
      </c>
      <c r="F81">
        <v>0</v>
      </c>
      <c r="G81">
        <f>LOG(1)-LOG(1)</f>
        <v>0</v>
      </c>
    </row>
    <row r="82" spans="1:7" x14ac:dyDescent="0.2">
      <c r="A82">
        <v>2</v>
      </c>
      <c r="B82">
        <v>20</v>
      </c>
      <c r="C82" s="6">
        <v>0</v>
      </c>
      <c r="D82" s="6">
        <f t="shared" si="1"/>
        <v>1.3010299956639813</v>
      </c>
      <c r="E82" s="6">
        <v>13</v>
      </c>
      <c r="F82" s="6">
        <v>0</v>
      </c>
      <c r="G82">
        <f>LOG(E82)-LOG(1)</f>
        <v>1.1139433523068367</v>
      </c>
    </row>
    <row r="83" spans="1:7" x14ac:dyDescent="0.2">
      <c r="A83">
        <v>19</v>
      </c>
      <c r="B83">
        <v>33</v>
      </c>
      <c r="C83">
        <v>0</v>
      </c>
      <c r="D83">
        <f t="shared" si="1"/>
        <v>1.5185139398778875</v>
      </c>
      <c r="E83">
        <v>6</v>
      </c>
      <c r="F83">
        <v>0</v>
      </c>
      <c r="G83">
        <f>LOG(E83)-LOG(1)</f>
        <v>0.77815125038364363</v>
      </c>
    </row>
    <row r="84" spans="1:7" x14ac:dyDescent="0.2">
      <c r="A84">
        <v>20</v>
      </c>
      <c r="B84">
        <v>44</v>
      </c>
      <c r="C84">
        <v>20</v>
      </c>
      <c r="D84">
        <f>LOG(B84)-LOG(C84)</f>
        <v>0.34242268082220617</v>
      </c>
      <c r="E84">
        <v>5</v>
      </c>
      <c r="F84">
        <v>0</v>
      </c>
      <c r="G84">
        <f>LOG(E84)-LOG(1)</f>
        <v>0.69897000433601886</v>
      </c>
    </row>
    <row r="85" spans="1:7" x14ac:dyDescent="0.2">
      <c r="A85">
        <v>3</v>
      </c>
      <c r="B85">
        <v>52</v>
      </c>
      <c r="C85">
        <v>0</v>
      </c>
      <c r="D85">
        <f t="shared" si="1"/>
        <v>1.7160033436347992</v>
      </c>
      <c r="E85">
        <v>0</v>
      </c>
      <c r="F85">
        <v>0</v>
      </c>
      <c r="G85">
        <f>LOG(1)-LOG(1)</f>
        <v>0</v>
      </c>
    </row>
    <row r="87" spans="1:7" x14ac:dyDescent="0.2">
      <c r="A87" s="26">
        <v>43878</v>
      </c>
      <c r="B87" s="26"/>
      <c r="C87" s="26"/>
    </row>
    <row r="88" spans="1:7" x14ac:dyDescent="0.2">
      <c r="A88" t="s">
        <v>90</v>
      </c>
      <c r="B88" t="s">
        <v>91</v>
      </c>
      <c r="C88" t="s">
        <v>92</v>
      </c>
      <c r="D88" t="s">
        <v>93</v>
      </c>
      <c r="E88" t="s">
        <v>94</v>
      </c>
      <c r="F88" t="s">
        <v>95</v>
      </c>
      <c r="G88" t="s">
        <v>93</v>
      </c>
    </row>
    <row r="89" spans="1:7" x14ac:dyDescent="0.2">
      <c r="A89">
        <v>13</v>
      </c>
      <c r="B89" s="6">
        <v>9</v>
      </c>
      <c r="C89" s="6">
        <v>0</v>
      </c>
      <c r="D89" s="6">
        <f>LOG(B89)-LOG(1)</f>
        <v>0.95424250943932487</v>
      </c>
      <c r="E89" s="6">
        <v>0</v>
      </c>
      <c r="F89" s="6">
        <v>0</v>
      </c>
      <c r="G89" s="6">
        <f>LOG(1)-LOG(1)</f>
        <v>0</v>
      </c>
    </row>
    <row r="90" spans="1:7" x14ac:dyDescent="0.2">
      <c r="A90">
        <v>12</v>
      </c>
      <c r="B90" s="6">
        <v>114</v>
      </c>
      <c r="C90" s="6">
        <v>0</v>
      </c>
      <c r="D90" s="6">
        <f>LOG(B90)-LOG(1)</f>
        <v>2.0569048513364727</v>
      </c>
      <c r="E90" s="6">
        <v>0</v>
      </c>
      <c r="F90" s="6">
        <v>0</v>
      </c>
      <c r="G90" s="6">
        <f>LOG(1)-LOG(1)</f>
        <v>0</v>
      </c>
    </row>
    <row r="91" spans="1:7" x14ac:dyDescent="0.2">
      <c r="A91">
        <v>11</v>
      </c>
      <c r="B91" s="6">
        <v>147</v>
      </c>
      <c r="C91" s="6">
        <v>0</v>
      </c>
      <c r="D91" s="6">
        <f>LOG(B91)-LOG(1)</f>
        <v>2.167317334748176</v>
      </c>
      <c r="E91" s="6">
        <v>0</v>
      </c>
      <c r="F91" s="6">
        <v>0</v>
      </c>
      <c r="G91" s="6">
        <f t="shared" ref="G91:G99" si="2">LOG(1)-LOG(1)</f>
        <v>0</v>
      </c>
    </row>
    <row r="92" spans="1:7" x14ac:dyDescent="0.2">
      <c r="A92">
        <v>17</v>
      </c>
      <c r="B92" s="6">
        <v>80</v>
      </c>
      <c r="C92" s="6">
        <v>0</v>
      </c>
      <c r="D92" s="6">
        <f>LOG(B92)-LOG(1)</f>
        <v>1.9030899869919435</v>
      </c>
      <c r="E92" s="6">
        <v>0</v>
      </c>
      <c r="F92" s="6">
        <v>0</v>
      </c>
      <c r="G92" s="6">
        <f t="shared" si="2"/>
        <v>0</v>
      </c>
    </row>
    <row r="93" spans="1:7" x14ac:dyDescent="0.2">
      <c r="A93">
        <v>10</v>
      </c>
      <c r="B93">
        <v>42</v>
      </c>
      <c r="C93">
        <v>64</v>
      </c>
      <c r="D93">
        <f t="shared" ref="D93:D99" si="3">LOG(B93)-LOG(C93)</f>
        <v>-0.18293068358598652</v>
      </c>
      <c r="E93">
        <v>0</v>
      </c>
      <c r="F93">
        <v>0</v>
      </c>
      <c r="G93">
        <f t="shared" si="2"/>
        <v>0</v>
      </c>
    </row>
    <row r="94" spans="1:7" x14ac:dyDescent="0.2">
      <c r="A94">
        <v>9</v>
      </c>
      <c r="B94">
        <v>14</v>
      </c>
      <c r="C94">
        <v>0</v>
      </c>
      <c r="D94">
        <f>LOG(B94)-LOG(1)</f>
        <v>1.146128035678238</v>
      </c>
      <c r="E94">
        <v>2</v>
      </c>
      <c r="F94">
        <v>0</v>
      </c>
      <c r="G94">
        <f t="shared" si="2"/>
        <v>0</v>
      </c>
    </row>
    <row r="95" spans="1:7" x14ac:dyDescent="0.2">
      <c r="A95">
        <v>8</v>
      </c>
      <c r="B95">
        <f>L28*100</f>
        <v>2700</v>
      </c>
      <c r="C95">
        <v>56</v>
      </c>
      <c r="D95">
        <f>LOG(B95)-LOG(C95)</f>
        <v>1.6831757371527869</v>
      </c>
      <c r="E95">
        <v>0</v>
      </c>
      <c r="F95">
        <v>0</v>
      </c>
      <c r="G95">
        <f t="shared" si="2"/>
        <v>0</v>
      </c>
    </row>
    <row r="96" spans="1:7" x14ac:dyDescent="0.2">
      <c r="A96">
        <v>3</v>
      </c>
      <c r="B96">
        <f>L32*100</f>
        <v>30000</v>
      </c>
      <c r="C96">
        <v>0</v>
      </c>
      <c r="D96">
        <f>LOG(B96)-LOG(1)</f>
        <v>4.4771212547196626</v>
      </c>
      <c r="E96">
        <v>86</v>
      </c>
      <c r="F96">
        <v>0</v>
      </c>
      <c r="G96">
        <f>LOG(E96)-LOG(1)</f>
        <v>1.9344984512435677</v>
      </c>
    </row>
    <row r="97" spans="1:7" x14ac:dyDescent="0.2">
      <c r="A97">
        <v>6</v>
      </c>
      <c r="B97">
        <v>177</v>
      </c>
      <c r="C97">
        <v>0</v>
      </c>
      <c r="D97">
        <f>LOG(B97)-LOG(1)</f>
        <v>2.2479732663618068</v>
      </c>
      <c r="E97">
        <v>6</v>
      </c>
      <c r="F97">
        <v>5</v>
      </c>
      <c r="G97">
        <f>LOG(E97)-LOG(F97)</f>
        <v>7.9181246047624776E-2</v>
      </c>
    </row>
    <row r="98" spans="1:7" x14ac:dyDescent="0.2">
      <c r="A98">
        <v>4</v>
      </c>
      <c r="B98">
        <f>L40*100</f>
        <v>4600</v>
      </c>
      <c r="C98">
        <v>5</v>
      </c>
      <c r="D98">
        <f t="shared" si="3"/>
        <v>2.9637878273455551</v>
      </c>
      <c r="E98">
        <v>0</v>
      </c>
      <c r="F98">
        <v>0</v>
      </c>
      <c r="G98">
        <f t="shared" si="2"/>
        <v>0</v>
      </c>
    </row>
    <row r="99" spans="1:7" x14ac:dyDescent="0.2">
      <c r="A99">
        <v>5</v>
      </c>
      <c r="B99">
        <f>L44*100</f>
        <v>1800</v>
      </c>
      <c r="C99">
        <v>28</v>
      </c>
      <c r="D99">
        <f t="shared" si="3"/>
        <v>1.8081144737610868</v>
      </c>
      <c r="E99">
        <v>0</v>
      </c>
      <c r="F99">
        <v>0</v>
      </c>
      <c r="G99">
        <f t="shared" si="2"/>
        <v>0</v>
      </c>
    </row>
    <row r="102" spans="1:7" x14ac:dyDescent="0.2">
      <c r="A102" s="26">
        <v>43879</v>
      </c>
      <c r="B102" s="26"/>
      <c r="C102" s="26"/>
    </row>
    <row r="103" spans="1:7" x14ac:dyDescent="0.2">
      <c r="A103" t="s">
        <v>90</v>
      </c>
      <c r="B103" t="s">
        <v>91</v>
      </c>
      <c r="C103" t="s">
        <v>92</v>
      </c>
      <c r="D103" t="s">
        <v>93</v>
      </c>
      <c r="E103" t="s">
        <v>94</v>
      </c>
      <c r="F103" t="s">
        <v>95</v>
      </c>
      <c r="G103" t="s">
        <v>93</v>
      </c>
    </row>
    <row r="104" spans="1:7" x14ac:dyDescent="0.2">
      <c r="A104">
        <v>20</v>
      </c>
      <c r="B104">
        <v>55</v>
      </c>
      <c r="C104">
        <v>192</v>
      </c>
      <c r="D104">
        <f>LOG(B104)-LOG(C104)</f>
        <v>-0.54293853920930579</v>
      </c>
      <c r="E104">
        <v>0</v>
      </c>
      <c r="F104">
        <v>9</v>
      </c>
      <c r="G104">
        <f>LOG(1)-LOG(F104)</f>
        <v>-0.95424250943932487</v>
      </c>
    </row>
    <row r="105" spans="1:7" x14ac:dyDescent="0.2">
      <c r="A105">
        <v>14</v>
      </c>
      <c r="B105">
        <v>210</v>
      </c>
      <c r="C105">
        <v>0</v>
      </c>
      <c r="D105">
        <f>LOG(B105)-LOG(1)</f>
        <v>2.3222192947339191</v>
      </c>
      <c r="E105">
        <v>2</v>
      </c>
      <c r="F105">
        <v>0</v>
      </c>
      <c r="G105">
        <f>LOG(E105)-LOG(1)</f>
        <v>0.3010299956639812</v>
      </c>
    </row>
    <row r="106" spans="1:7" x14ac:dyDescent="0.2">
      <c r="A106">
        <v>1</v>
      </c>
      <c r="B106">
        <v>76</v>
      </c>
      <c r="C106">
        <v>57</v>
      </c>
      <c r="D106">
        <f t="shared" ref="D106:D112" si="4">LOG(B106)-LOG(C106)</f>
        <v>0.12493873660829991</v>
      </c>
      <c r="E106">
        <v>2</v>
      </c>
      <c r="F106">
        <v>14</v>
      </c>
      <c r="G106">
        <f>LOG(E106)-LOG(F106)</f>
        <v>-0.8450980400142567</v>
      </c>
    </row>
    <row r="107" spans="1:7" x14ac:dyDescent="0.2">
      <c r="A107">
        <v>2</v>
      </c>
      <c r="B107">
        <v>4</v>
      </c>
      <c r="C107">
        <v>0</v>
      </c>
      <c r="D107">
        <f>LOG(B107)-LOG(1)</f>
        <v>0.6020599913279624</v>
      </c>
      <c r="E107">
        <v>0</v>
      </c>
      <c r="F107">
        <v>0</v>
      </c>
      <c r="G107">
        <f>LOG(1)-LOG(1)</f>
        <v>0</v>
      </c>
    </row>
    <row r="108" spans="1:7" x14ac:dyDescent="0.2">
      <c r="A108">
        <v>13</v>
      </c>
      <c r="B108">
        <v>163</v>
      </c>
      <c r="C108">
        <v>1</v>
      </c>
      <c r="D108">
        <f t="shared" si="4"/>
        <v>2.2121876044039577</v>
      </c>
      <c r="E108">
        <v>0</v>
      </c>
      <c r="F108">
        <v>0</v>
      </c>
      <c r="G108">
        <f>LOG(1)-LOG(1)</f>
        <v>0</v>
      </c>
    </row>
    <row r="109" spans="1:7" x14ac:dyDescent="0.2">
      <c r="A109">
        <v>17</v>
      </c>
      <c r="B109">
        <v>32</v>
      </c>
      <c r="C109">
        <v>0</v>
      </c>
      <c r="D109">
        <f>LOG(B109)-LOG(1)</f>
        <v>1.505149978319906</v>
      </c>
      <c r="E109">
        <v>0</v>
      </c>
      <c r="F109">
        <v>0</v>
      </c>
      <c r="G109">
        <f>LOG(1)-LOG(1)</f>
        <v>0</v>
      </c>
    </row>
    <row r="110" spans="1:7" x14ac:dyDescent="0.2">
      <c r="A110">
        <v>4</v>
      </c>
      <c r="B110">
        <v>29</v>
      </c>
      <c r="C110">
        <v>30</v>
      </c>
      <c r="D110">
        <f t="shared" si="4"/>
        <v>-1.4723256820706299E-2</v>
      </c>
      <c r="E110">
        <v>0</v>
      </c>
      <c r="F110">
        <v>0</v>
      </c>
      <c r="G110">
        <f>LOG(1)-LOG(1)</f>
        <v>0</v>
      </c>
    </row>
    <row r="111" spans="1:7" x14ac:dyDescent="0.2">
      <c r="A111">
        <v>19</v>
      </c>
      <c r="B111">
        <v>18</v>
      </c>
      <c r="C111">
        <v>0</v>
      </c>
      <c r="D111">
        <f>LOG(B111)-LOG(1)</f>
        <v>1.255272505103306</v>
      </c>
      <c r="E111">
        <v>1</v>
      </c>
      <c r="F111">
        <v>0</v>
      </c>
      <c r="G111">
        <f>LOG(E111)-LOG(1)</f>
        <v>0</v>
      </c>
    </row>
    <row r="112" spans="1:7" x14ac:dyDescent="0.2">
      <c r="A112">
        <v>5</v>
      </c>
      <c r="B112">
        <f>Q36*100</f>
        <v>10800</v>
      </c>
      <c r="C112">
        <f>Q38*100</f>
        <v>4100</v>
      </c>
      <c r="D112">
        <f t="shared" si="4"/>
        <v>0.42063989876721397</v>
      </c>
      <c r="E112">
        <v>0</v>
      </c>
      <c r="F112">
        <v>0</v>
      </c>
      <c r="G112">
        <f>LOG(1)-LOG(1)</f>
        <v>0</v>
      </c>
    </row>
    <row r="113" spans="1:7" x14ac:dyDescent="0.2">
      <c r="A113">
        <v>18</v>
      </c>
      <c r="B113">
        <v>148</v>
      </c>
      <c r="C113">
        <v>0</v>
      </c>
      <c r="D113">
        <f>LOG(B113)-LOG(1)</f>
        <v>2.1702617153949575</v>
      </c>
      <c r="E113">
        <v>3</v>
      </c>
      <c r="F113">
        <v>0</v>
      </c>
      <c r="G113">
        <f>LOG(E113)-LOG(1)</f>
        <v>0.47712125471966244</v>
      </c>
    </row>
    <row r="114" spans="1:7" x14ac:dyDescent="0.2">
      <c r="A114">
        <v>15</v>
      </c>
      <c r="B114">
        <v>14</v>
      </c>
      <c r="C114" s="6">
        <v>0</v>
      </c>
      <c r="D114" s="6">
        <f>LOG(B114)-LOG(1)</f>
        <v>1.146128035678238</v>
      </c>
      <c r="E114" s="6">
        <v>0</v>
      </c>
      <c r="F114" s="6">
        <v>0</v>
      </c>
      <c r="G114" s="6">
        <f>LOG(1)-LOG(1)</f>
        <v>0</v>
      </c>
    </row>
    <row r="117" spans="1:7" x14ac:dyDescent="0.2">
      <c r="A117" s="26">
        <v>43880</v>
      </c>
      <c r="B117" s="26"/>
      <c r="C117" s="26"/>
    </row>
    <row r="118" spans="1:7" x14ac:dyDescent="0.2">
      <c r="A118" t="s">
        <v>90</v>
      </c>
      <c r="B118" t="s">
        <v>91</v>
      </c>
      <c r="C118" t="s">
        <v>92</v>
      </c>
      <c r="D118" t="s">
        <v>93</v>
      </c>
      <c r="E118" t="s">
        <v>94</v>
      </c>
      <c r="F118" t="s">
        <v>95</v>
      </c>
      <c r="G118" t="s">
        <v>93</v>
      </c>
    </row>
    <row r="119" spans="1:7" x14ac:dyDescent="0.2">
      <c r="A119">
        <v>17</v>
      </c>
      <c r="B119">
        <v>102</v>
      </c>
      <c r="C119">
        <v>0</v>
      </c>
      <c r="D119">
        <f>LOG(B119)-LOG(1)</f>
        <v>2.0086001717619175</v>
      </c>
      <c r="E119">
        <v>0</v>
      </c>
      <c r="F119">
        <v>0</v>
      </c>
      <c r="G119">
        <f>LOG(1)-LOG(1)</f>
        <v>0</v>
      </c>
    </row>
    <row r="120" spans="1:7" x14ac:dyDescent="0.2">
      <c r="A120">
        <v>7</v>
      </c>
      <c r="B120">
        <f>V8*100</f>
        <v>15400</v>
      </c>
      <c r="C120">
        <v>169</v>
      </c>
      <c r="D120">
        <f>LOG(B120)-LOG(C120)</f>
        <v>1.9596340162227892</v>
      </c>
      <c r="E120">
        <v>1</v>
      </c>
      <c r="F120">
        <v>0</v>
      </c>
      <c r="G120">
        <f>LOG(E120)-LOG(1)</f>
        <v>0</v>
      </c>
    </row>
    <row r="121" spans="1:7" x14ac:dyDescent="0.2">
      <c r="A121">
        <v>10</v>
      </c>
      <c r="B121">
        <v>0</v>
      </c>
      <c r="C121">
        <v>49</v>
      </c>
      <c r="D121">
        <f>LOG(1)-LOG(C121)</f>
        <v>-1.6901960800285136</v>
      </c>
      <c r="E121">
        <v>0</v>
      </c>
      <c r="F121">
        <v>0</v>
      </c>
      <c r="G121">
        <f>LOG(1)-LOG(1)</f>
        <v>0</v>
      </c>
    </row>
    <row r="122" spans="1:7" x14ac:dyDescent="0.2">
      <c r="A122">
        <v>6</v>
      </c>
      <c r="B122">
        <v>70</v>
      </c>
      <c r="C122">
        <v>0</v>
      </c>
      <c r="D122">
        <f>LOG(B122)-LOG(1)</f>
        <v>1.8450980400142569</v>
      </c>
      <c r="E122">
        <v>5</v>
      </c>
      <c r="F122">
        <v>0</v>
      </c>
      <c r="G122">
        <f>LOG(E122)-LOG(1)</f>
        <v>0.69897000433601886</v>
      </c>
    </row>
    <row r="123" spans="1:7" x14ac:dyDescent="0.2">
      <c r="A123">
        <v>12</v>
      </c>
      <c r="B123">
        <v>0</v>
      </c>
      <c r="C123">
        <v>0</v>
      </c>
      <c r="D123">
        <f>LOG(1)-LOG(1)</f>
        <v>0</v>
      </c>
      <c r="E123">
        <v>0</v>
      </c>
      <c r="F123">
        <v>0</v>
      </c>
      <c r="G123">
        <f>LOG(1)-LOG(1)</f>
        <v>0</v>
      </c>
    </row>
    <row r="124" spans="1:7" x14ac:dyDescent="0.2">
      <c r="A124">
        <v>15</v>
      </c>
      <c r="B124">
        <v>0</v>
      </c>
      <c r="C124">
        <v>0</v>
      </c>
      <c r="D124">
        <f>LOG(1)-LOG(1)</f>
        <v>0</v>
      </c>
      <c r="E124">
        <v>0</v>
      </c>
      <c r="F124">
        <v>0</v>
      </c>
      <c r="G124">
        <f>LOG(1)-LOG(1)</f>
        <v>0</v>
      </c>
    </row>
    <row r="125" spans="1:7" x14ac:dyDescent="0.2">
      <c r="A125">
        <v>18</v>
      </c>
      <c r="B125" s="1">
        <v>96</v>
      </c>
      <c r="C125" s="1">
        <v>0</v>
      </c>
      <c r="D125">
        <f>LOG(B125)-LOG(1)</f>
        <v>1.9822712330395684</v>
      </c>
      <c r="E125">
        <v>2</v>
      </c>
      <c r="F125">
        <v>0</v>
      </c>
      <c r="G125">
        <f>LOG(E125)-LOG(1)</f>
        <v>0.3010299956639812</v>
      </c>
    </row>
    <row r="126" spans="1:7" x14ac:dyDescent="0.2">
      <c r="A126">
        <v>16</v>
      </c>
      <c r="B126">
        <v>30</v>
      </c>
      <c r="C126">
        <f>82*100</f>
        <v>8200</v>
      </c>
      <c r="D126">
        <f>LOG(B126)-LOG(C126)</f>
        <v>-2.4366925976640541</v>
      </c>
      <c r="E126">
        <v>1</v>
      </c>
      <c r="F126">
        <v>1</v>
      </c>
      <c r="G126">
        <f>LOG(1)-LOG(1)</f>
        <v>0</v>
      </c>
    </row>
    <row r="127" spans="1:7" x14ac:dyDescent="0.2">
      <c r="A127">
        <v>11</v>
      </c>
      <c r="B127" s="1">
        <v>33</v>
      </c>
      <c r="C127" s="1">
        <v>0</v>
      </c>
      <c r="D127">
        <f>LOG(B127)-LOG(1)</f>
        <v>1.5185139398778875</v>
      </c>
      <c r="E127">
        <v>4</v>
      </c>
      <c r="F127">
        <v>0</v>
      </c>
      <c r="G127">
        <f>LOG(E127)-LOG(1)</f>
        <v>0.6020599913279624</v>
      </c>
    </row>
    <row r="128" spans="1:7" x14ac:dyDescent="0.2">
      <c r="A128">
        <v>19</v>
      </c>
      <c r="B128">
        <f>97*100</f>
        <v>9700</v>
      </c>
      <c r="C128">
        <f>16*100</f>
        <v>1600</v>
      </c>
      <c r="D128">
        <f>LOG(B128)-LOG(C128)</f>
        <v>0.78265175161032019</v>
      </c>
      <c r="E128">
        <v>19</v>
      </c>
      <c r="F128">
        <v>0</v>
      </c>
      <c r="G128">
        <f>LOG(E128)-LOG(1)</f>
        <v>1.2787536009528289</v>
      </c>
    </row>
    <row r="129" spans="1:7" x14ac:dyDescent="0.2">
      <c r="A129">
        <v>9</v>
      </c>
      <c r="B129" s="1">
        <v>2</v>
      </c>
      <c r="C129" s="1">
        <v>0</v>
      </c>
      <c r="D129">
        <f>LOG(B129)-LOG(1)</f>
        <v>0.3010299956639812</v>
      </c>
      <c r="E129">
        <v>1</v>
      </c>
      <c r="F129">
        <v>0</v>
      </c>
      <c r="G129">
        <f>LOG(E129)-LOG(1)</f>
        <v>0</v>
      </c>
    </row>
    <row r="131" spans="1:7" x14ac:dyDescent="0.2">
      <c r="A131" s="26">
        <v>43881</v>
      </c>
      <c r="B131" s="26"/>
      <c r="C131" s="26"/>
    </row>
    <row r="132" spans="1:7" x14ac:dyDescent="0.2">
      <c r="A132" t="s">
        <v>90</v>
      </c>
      <c r="B132" t="s">
        <v>91</v>
      </c>
      <c r="C132" t="s">
        <v>92</v>
      </c>
      <c r="D132" t="s">
        <v>93</v>
      </c>
      <c r="E132" t="s">
        <v>94</v>
      </c>
      <c r="F132" t="s">
        <v>95</v>
      </c>
      <c r="G132" t="s">
        <v>93</v>
      </c>
    </row>
    <row r="133" spans="1:7" x14ac:dyDescent="0.2">
      <c r="A133">
        <v>14</v>
      </c>
      <c r="B133">
        <v>92</v>
      </c>
      <c r="C133">
        <v>0</v>
      </c>
      <c r="D133">
        <f>LOG(B133)-LOG(1)</f>
        <v>1.9637878273455553</v>
      </c>
      <c r="E133">
        <v>4</v>
      </c>
      <c r="F133">
        <v>0</v>
      </c>
      <c r="G133">
        <f>LOG(E133)-LOG(1)</f>
        <v>0.6020599913279624</v>
      </c>
    </row>
    <row r="134" spans="1:7" x14ac:dyDescent="0.2">
      <c r="A134">
        <v>6</v>
      </c>
      <c r="B134">
        <v>33</v>
      </c>
      <c r="C134">
        <v>0</v>
      </c>
      <c r="D134">
        <f>LOG(B134)-LOG(1)</f>
        <v>1.5185139398778875</v>
      </c>
      <c r="E134">
        <v>0</v>
      </c>
      <c r="F134">
        <v>0</v>
      </c>
      <c r="G134">
        <f>LOG(1)-LOG(1)</f>
        <v>0</v>
      </c>
    </row>
    <row r="135" spans="1:7" x14ac:dyDescent="0.2">
      <c r="A135">
        <v>10</v>
      </c>
      <c r="B135">
        <v>49</v>
      </c>
      <c r="C135">
        <v>65</v>
      </c>
      <c r="D135">
        <f>LOG(B135)-LOG(C135)</f>
        <v>-0.12271727661434184</v>
      </c>
      <c r="E135">
        <v>0</v>
      </c>
      <c r="F135">
        <v>0</v>
      </c>
      <c r="G135">
        <f>LOG(1)-LOG(1)</f>
        <v>0</v>
      </c>
    </row>
    <row r="136" spans="1:7" x14ac:dyDescent="0.2">
      <c r="A136">
        <v>20</v>
      </c>
      <c r="B136">
        <v>20</v>
      </c>
      <c r="C136">
        <v>0</v>
      </c>
      <c r="D136">
        <f>LOG(B136)-LOG(1)</f>
        <v>1.3010299956639813</v>
      </c>
      <c r="E136">
        <v>1</v>
      </c>
      <c r="F136">
        <v>0</v>
      </c>
      <c r="G136">
        <f>LOG(E136)-LOG(1)</f>
        <v>0</v>
      </c>
    </row>
    <row r="137" spans="1:7" x14ac:dyDescent="0.2">
      <c r="A137">
        <v>15</v>
      </c>
      <c r="B137" s="1">
        <v>0</v>
      </c>
      <c r="C137" s="1">
        <v>0</v>
      </c>
      <c r="D137">
        <f>LOG(1)-LOG(1)</f>
        <v>0</v>
      </c>
      <c r="E137">
        <v>0</v>
      </c>
      <c r="F137">
        <v>0</v>
      </c>
      <c r="G137">
        <f>LOG(1)-LOG(1)</f>
        <v>0</v>
      </c>
    </row>
    <row r="138" spans="1:7" x14ac:dyDescent="0.2">
      <c r="A138">
        <v>3</v>
      </c>
      <c r="B138">
        <f>AA24*100</f>
        <v>2500</v>
      </c>
      <c r="C138">
        <v>83</v>
      </c>
      <c r="D138">
        <f t="shared" ref="D138:D145" si="5">LOG(B138)-LOG(C138)</f>
        <v>1.4788619162959635</v>
      </c>
      <c r="E138">
        <v>4</v>
      </c>
      <c r="F138">
        <v>3</v>
      </c>
      <c r="G138">
        <f>LOG(E138)-LOG(F138)</f>
        <v>0.12493873660829996</v>
      </c>
    </row>
    <row r="139" spans="1:7" x14ac:dyDescent="0.2">
      <c r="A139">
        <v>8</v>
      </c>
      <c r="B139" s="1">
        <v>254</v>
      </c>
      <c r="C139">
        <f>AA30*100</f>
        <v>2700</v>
      </c>
      <c r="D139">
        <f t="shared" si="5"/>
        <v>-1.0265300475390493</v>
      </c>
      <c r="E139">
        <v>0</v>
      </c>
      <c r="F139">
        <v>3</v>
      </c>
      <c r="G139">
        <f>LOG(1)-LOG(F139)</f>
        <v>-0.47712125471966244</v>
      </c>
    </row>
    <row r="140" spans="1:7" x14ac:dyDescent="0.2">
      <c r="A140">
        <v>2</v>
      </c>
      <c r="B140">
        <v>46</v>
      </c>
      <c r="C140">
        <v>0</v>
      </c>
      <c r="D140">
        <f>LOG(B140)-LOG(1)</f>
        <v>1.6627578316815741</v>
      </c>
      <c r="E140">
        <v>0</v>
      </c>
      <c r="F140">
        <v>38</v>
      </c>
      <c r="G140">
        <f>LOG(1)-LOG(F140)</f>
        <v>-1.5797835966168101</v>
      </c>
    </row>
    <row r="141" spans="1:7" x14ac:dyDescent="0.2">
      <c r="A141">
        <v>9</v>
      </c>
      <c r="B141" s="1">
        <v>191</v>
      </c>
      <c r="C141" s="1">
        <v>0</v>
      </c>
      <c r="D141">
        <f>LOG(B141)-LOG(1)</f>
        <v>2.2810333672477277</v>
      </c>
      <c r="E141">
        <v>0</v>
      </c>
      <c r="F141">
        <v>0</v>
      </c>
      <c r="G141">
        <f>LOG(1)-LOG(1)</f>
        <v>0</v>
      </c>
    </row>
    <row r="142" spans="1:7" x14ac:dyDescent="0.2">
      <c r="A142">
        <v>4</v>
      </c>
      <c r="B142">
        <f>AA40*100</f>
        <v>8100</v>
      </c>
      <c r="C142">
        <v>62</v>
      </c>
      <c r="D142">
        <f t="shared" si="5"/>
        <v>2.1160933293803961</v>
      </c>
      <c r="E142">
        <v>3</v>
      </c>
      <c r="F142">
        <v>0</v>
      </c>
      <c r="G142">
        <f>LOG(E142)-LOG(1)</f>
        <v>0.47712125471966244</v>
      </c>
    </row>
    <row r="143" spans="1:7" x14ac:dyDescent="0.2">
      <c r="A143">
        <v>13</v>
      </c>
      <c r="B143" s="1">
        <v>1</v>
      </c>
      <c r="C143" s="1">
        <v>0</v>
      </c>
      <c r="D143">
        <f>LOG(B143)-LOG(1)</f>
        <v>0</v>
      </c>
      <c r="E143">
        <v>0</v>
      </c>
      <c r="F143">
        <v>0</v>
      </c>
      <c r="G143">
        <f>LOG(1)-LOG(1)</f>
        <v>0</v>
      </c>
    </row>
    <row r="144" spans="1:7" x14ac:dyDescent="0.2">
      <c r="A144">
        <v>5</v>
      </c>
      <c r="B144">
        <v>218</v>
      </c>
      <c r="C144">
        <v>56</v>
      </c>
      <c r="D144">
        <f t="shared" si="5"/>
        <v>0.59026846659840415</v>
      </c>
      <c r="E144">
        <v>4</v>
      </c>
      <c r="F144">
        <v>1</v>
      </c>
      <c r="G144">
        <f>LOG(E144)-LOG(F144)</f>
        <v>0.6020599913279624</v>
      </c>
    </row>
    <row r="145" spans="1:7" x14ac:dyDescent="0.2">
      <c r="A145">
        <v>16</v>
      </c>
      <c r="B145" s="1">
        <v>117</v>
      </c>
      <c r="C145">
        <f>AA54*100</f>
        <v>3700</v>
      </c>
      <c r="D145">
        <f t="shared" si="5"/>
        <v>-1.5000158623208333</v>
      </c>
      <c r="E145">
        <v>3</v>
      </c>
      <c r="F145">
        <f>AB53</f>
        <v>0</v>
      </c>
      <c r="G145">
        <f>LOG(E145)-LOG(1)</f>
        <v>0.47712125471966244</v>
      </c>
    </row>
    <row r="146" spans="1:7" x14ac:dyDescent="0.2">
      <c r="A146">
        <v>19</v>
      </c>
      <c r="B146" s="6">
        <v>150</v>
      </c>
      <c r="C146" s="6">
        <v>22</v>
      </c>
      <c r="D146">
        <f>LOG(B146)-LOG(C146)</f>
        <v>0.83366857823347518</v>
      </c>
      <c r="E146" s="6">
        <v>3</v>
      </c>
      <c r="F146">
        <v>0</v>
      </c>
      <c r="G146">
        <f>LOG(E146)-LOG(1)</f>
        <v>0.47712125471966244</v>
      </c>
    </row>
    <row r="148" spans="1:7" x14ac:dyDescent="0.2">
      <c r="A148" s="26">
        <v>43882</v>
      </c>
      <c r="B148" s="26"/>
      <c r="C148" s="26"/>
    </row>
    <row r="149" spans="1:7" x14ac:dyDescent="0.2">
      <c r="A149" t="s">
        <v>90</v>
      </c>
      <c r="B149" t="s">
        <v>91</v>
      </c>
      <c r="C149" t="s">
        <v>92</v>
      </c>
      <c r="D149" t="s">
        <v>93</v>
      </c>
      <c r="E149" t="s">
        <v>94</v>
      </c>
      <c r="F149" t="s">
        <v>95</v>
      </c>
      <c r="G149" t="s">
        <v>93</v>
      </c>
    </row>
    <row r="150" spans="1:7" x14ac:dyDescent="0.2">
      <c r="A150" s="4">
        <v>1</v>
      </c>
      <c r="B150" s="4">
        <v>23</v>
      </c>
      <c r="C150" s="4">
        <v>1</v>
      </c>
      <c r="D150">
        <f>LOG(B150)-LOG(C150)</f>
        <v>1.3617278360175928</v>
      </c>
      <c r="E150" s="4">
        <v>2</v>
      </c>
      <c r="F150" s="4">
        <v>0</v>
      </c>
      <c r="G150">
        <f>LOG(E150)-LOG(1)</f>
        <v>0.3010299956639812</v>
      </c>
    </row>
    <row r="151" spans="1:7" x14ac:dyDescent="0.2">
      <c r="A151" s="4">
        <v>11</v>
      </c>
      <c r="B151" s="4">
        <v>62</v>
      </c>
      <c r="C151" s="4">
        <v>62</v>
      </c>
      <c r="D151">
        <f>LOG(B151)-LOG(C151)</f>
        <v>0</v>
      </c>
      <c r="E151" s="4">
        <v>2</v>
      </c>
      <c r="F151" s="4">
        <v>0</v>
      </c>
      <c r="G151">
        <f>LOG(E151)-LOG(1)</f>
        <v>0.3010299956639812</v>
      </c>
    </row>
    <row r="152" spans="1:7" x14ac:dyDescent="0.2">
      <c r="A152" s="4">
        <v>16</v>
      </c>
      <c r="B152" s="4">
        <v>266</v>
      </c>
      <c r="C152" s="4">
        <v>16</v>
      </c>
      <c r="D152">
        <f>LOG(B152)-LOG(C152)</f>
        <v>1.2207616539751422</v>
      </c>
      <c r="E152" s="4">
        <v>3</v>
      </c>
      <c r="F152" s="4">
        <v>0</v>
      </c>
      <c r="G152">
        <f>LOG(E152)-LOG(1)</f>
        <v>0.47712125471966244</v>
      </c>
    </row>
    <row r="154" spans="1:7" x14ac:dyDescent="0.2">
      <c r="A154" s="26">
        <v>43885</v>
      </c>
      <c r="B154" s="26"/>
      <c r="C154" s="26"/>
    </row>
    <row r="155" spans="1:7" x14ac:dyDescent="0.2">
      <c r="A155" t="s">
        <v>90</v>
      </c>
      <c r="B155" t="s">
        <v>91</v>
      </c>
      <c r="C155" t="s">
        <v>92</v>
      </c>
      <c r="D155" t="s">
        <v>93</v>
      </c>
      <c r="E155" t="s">
        <v>94</v>
      </c>
      <c r="F155" t="s">
        <v>95</v>
      </c>
      <c r="G155" t="s">
        <v>93</v>
      </c>
    </row>
    <row r="156" spans="1:7" x14ac:dyDescent="0.2">
      <c r="A156">
        <v>18</v>
      </c>
      <c r="B156">
        <f>AK4*100</f>
        <v>2500</v>
      </c>
      <c r="C156">
        <v>0</v>
      </c>
      <c r="D156">
        <f>LOG(B156)-LOG(1)</f>
        <v>3.3979400086720375</v>
      </c>
      <c r="E156">
        <v>0</v>
      </c>
      <c r="F156">
        <v>0</v>
      </c>
      <c r="G156">
        <f>LOG(1)-LOG(1)</f>
        <v>0</v>
      </c>
    </row>
    <row r="157" spans="1:7" x14ac:dyDescent="0.2">
      <c r="A157">
        <v>4</v>
      </c>
      <c r="B157">
        <v>71</v>
      </c>
      <c r="C157">
        <v>117</v>
      </c>
      <c r="D157">
        <f t="shared" ref="D157:D171" si="6">LOG(B157)-LOG(C157)</f>
        <v>-0.21692751302708646</v>
      </c>
      <c r="E157">
        <v>5</v>
      </c>
      <c r="F157">
        <v>0</v>
      </c>
      <c r="G157">
        <f>LOG(E157)-LOG(1)</f>
        <v>0.69897000433601886</v>
      </c>
    </row>
    <row r="158" spans="1:7" x14ac:dyDescent="0.2">
      <c r="A158">
        <v>8</v>
      </c>
      <c r="B158">
        <f>43*100</f>
        <v>4300</v>
      </c>
      <c r="C158">
        <v>159</v>
      </c>
      <c r="D158">
        <f t="shared" si="6"/>
        <v>1.4320713312591353</v>
      </c>
      <c r="E158">
        <v>0</v>
      </c>
      <c r="F158">
        <v>0</v>
      </c>
      <c r="G158">
        <f>LOG(1)-LOG(1)</f>
        <v>0</v>
      </c>
    </row>
    <row r="159" spans="1:7" x14ac:dyDescent="0.2">
      <c r="A159">
        <v>10</v>
      </c>
      <c r="B159">
        <v>17</v>
      </c>
      <c r="C159">
        <v>7</v>
      </c>
      <c r="D159">
        <f t="shared" si="6"/>
        <v>0.38535088136401707</v>
      </c>
      <c r="E159">
        <v>0</v>
      </c>
      <c r="F159">
        <v>0</v>
      </c>
      <c r="G159">
        <f>LOG(1)-LOG(1)</f>
        <v>0</v>
      </c>
    </row>
    <row r="160" spans="1:7" x14ac:dyDescent="0.2">
      <c r="A160">
        <v>13</v>
      </c>
      <c r="B160" s="4">
        <v>46</v>
      </c>
      <c r="C160" s="4">
        <v>0</v>
      </c>
      <c r="D160">
        <f>LOG(B160)-LOG(1)</f>
        <v>1.6627578316815741</v>
      </c>
      <c r="E160">
        <v>0</v>
      </c>
      <c r="F160">
        <v>0</v>
      </c>
      <c r="G160">
        <f>LOG(1)-LOG(1)</f>
        <v>0</v>
      </c>
    </row>
    <row r="161" spans="1:7" x14ac:dyDescent="0.2">
      <c r="A161">
        <v>14</v>
      </c>
      <c r="B161" s="4">
        <v>66</v>
      </c>
      <c r="C161" s="4">
        <v>0</v>
      </c>
      <c r="D161">
        <f>LOG(B161)-LOG(1)</f>
        <v>1.8195439355418688</v>
      </c>
      <c r="E161">
        <v>71</v>
      </c>
      <c r="F161">
        <v>0</v>
      </c>
      <c r="G161">
        <f>LOG(E161)-LOG(1)</f>
        <v>1.8512583487190752</v>
      </c>
    </row>
    <row r="162" spans="1:7" x14ac:dyDescent="0.2">
      <c r="A162">
        <v>5</v>
      </c>
      <c r="B162" s="1">
        <v>62</v>
      </c>
      <c r="C162" s="1">
        <v>46</v>
      </c>
      <c r="D162">
        <f t="shared" si="6"/>
        <v>0.1296338578166798</v>
      </c>
      <c r="E162">
        <v>3</v>
      </c>
      <c r="F162">
        <v>0</v>
      </c>
      <c r="G162">
        <f>LOG(E162)-LOG(1)</f>
        <v>0.47712125471966244</v>
      </c>
    </row>
    <row r="163" spans="1:7" x14ac:dyDescent="0.2">
      <c r="A163">
        <v>11</v>
      </c>
      <c r="B163" s="4">
        <v>41</v>
      </c>
      <c r="C163" s="4">
        <v>36</v>
      </c>
      <c r="D163">
        <f t="shared" si="6"/>
        <v>5.6481355952448187E-2</v>
      </c>
      <c r="E163">
        <v>1</v>
      </c>
      <c r="F163">
        <v>0</v>
      </c>
      <c r="G163">
        <f>LOG(E163)-LOG(1)</f>
        <v>0</v>
      </c>
    </row>
    <row r="164" spans="1:7" x14ac:dyDescent="0.2">
      <c r="A164">
        <v>2</v>
      </c>
      <c r="B164" s="4">
        <v>5</v>
      </c>
      <c r="C164">
        <f>AK38*100</f>
        <v>2100</v>
      </c>
      <c r="D164">
        <f t="shared" si="6"/>
        <v>-2.6232492903979003</v>
      </c>
      <c r="E164">
        <v>0</v>
      </c>
      <c r="F164">
        <v>0</v>
      </c>
      <c r="G164">
        <f>LOG(1)-LOG(1)</f>
        <v>0</v>
      </c>
    </row>
    <row r="165" spans="1:7" x14ac:dyDescent="0.2">
      <c r="A165" s="6">
        <v>16</v>
      </c>
      <c r="B165" s="7">
        <v>61</v>
      </c>
      <c r="C165" s="6">
        <v>290</v>
      </c>
      <c r="D165" s="6">
        <f t="shared" si="6"/>
        <v>-0.67706816288818894</v>
      </c>
      <c r="E165" s="6">
        <v>0</v>
      </c>
      <c r="F165" s="6">
        <v>3</v>
      </c>
      <c r="G165" s="6">
        <f>LOG(1)-LOG(F165)</f>
        <v>-0.47712125471966244</v>
      </c>
    </row>
    <row r="166" spans="1:7" x14ac:dyDescent="0.2">
      <c r="A166">
        <v>6</v>
      </c>
      <c r="B166" s="1">
        <v>40</v>
      </c>
      <c r="C166" s="1">
        <v>0</v>
      </c>
      <c r="D166">
        <f>LOG(B166)-LOG(1)</f>
        <v>1.6020599913279623</v>
      </c>
      <c r="E166">
        <v>1</v>
      </c>
      <c r="F166">
        <v>0</v>
      </c>
      <c r="G166">
        <f>LOG(E166)-LOG(1)</f>
        <v>0</v>
      </c>
    </row>
    <row r="167" spans="1:7" x14ac:dyDescent="0.2">
      <c r="A167">
        <v>17</v>
      </c>
      <c r="B167" s="4">
        <v>29</v>
      </c>
      <c r="C167" s="4">
        <v>0</v>
      </c>
      <c r="D167">
        <f>LOG(B167)-LOG(1)</f>
        <v>1.4623979978989561</v>
      </c>
      <c r="E167">
        <v>0</v>
      </c>
      <c r="F167">
        <v>0</v>
      </c>
      <c r="G167">
        <f>LOG(1)-LOG(1)</f>
        <v>0</v>
      </c>
    </row>
    <row r="168" spans="1:7" x14ac:dyDescent="0.2">
      <c r="A168">
        <v>12</v>
      </c>
      <c r="B168" s="1">
        <v>0</v>
      </c>
      <c r="C168" s="6">
        <v>1</v>
      </c>
      <c r="D168">
        <f>LOG(1)-LOG(1)</f>
        <v>0</v>
      </c>
      <c r="E168">
        <v>0</v>
      </c>
      <c r="F168" s="6">
        <v>0</v>
      </c>
      <c r="G168">
        <f>LOG(1)-LOG(1)</f>
        <v>0</v>
      </c>
    </row>
    <row r="169" spans="1:7" x14ac:dyDescent="0.2">
      <c r="A169">
        <v>9</v>
      </c>
      <c r="B169" s="4">
        <v>29</v>
      </c>
      <c r="C169" s="4">
        <v>0</v>
      </c>
      <c r="D169">
        <f>LOG(B169)-LOG(1)</f>
        <v>1.4623979978989561</v>
      </c>
      <c r="E169">
        <v>0</v>
      </c>
      <c r="F169">
        <v>0</v>
      </c>
      <c r="G169">
        <f>LOG(1)-LOG(1)</f>
        <v>0</v>
      </c>
    </row>
    <row r="170" spans="1:7" x14ac:dyDescent="0.2">
      <c r="A170">
        <v>19</v>
      </c>
      <c r="B170" s="1">
        <v>113</v>
      </c>
      <c r="C170" s="1">
        <v>0</v>
      </c>
      <c r="D170">
        <f>LOG(B170)-LOG(1)</f>
        <v>2.0530784434834195</v>
      </c>
      <c r="E170">
        <v>0</v>
      </c>
      <c r="F170">
        <v>0</v>
      </c>
      <c r="G170">
        <f>LOG(1)-LOG(1)</f>
        <v>0</v>
      </c>
    </row>
    <row r="171" spans="1:7" x14ac:dyDescent="0.2">
      <c r="A171">
        <v>7</v>
      </c>
      <c r="B171" s="4">
        <v>62</v>
      </c>
      <c r="C171" s="4">
        <v>73</v>
      </c>
      <c r="D171">
        <f t="shared" si="6"/>
        <v>-7.0931170622202E-2</v>
      </c>
      <c r="E171">
        <v>3</v>
      </c>
      <c r="F171">
        <v>0</v>
      </c>
      <c r="G171">
        <f>LOG(E171)-LOG(1)</f>
        <v>0.47712125471966244</v>
      </c>
    </row>
    <row r="173" spans="1:7" x14ac:dyDescent="0.2">
      <c r="A173" s="26">
        <v>43886</v>
      </c>
      <c r="B173" s="26"/>
      <c r="C173" s="26"/>
    </row>
    <row r="174" spans="1:7" x14ac:dyDescent="0.2">
      <c r="A174" t="s">
        <v>90</v>
      </c>
      <c r="B174" t="s">
        <v>91</v>
      </c>
      <c r="C174" t="s">
        <v>92</v>
      </c>
      <c r="D174" t="s">
        <v>93</v>
      </c>
      <c r="E174" t="s">
        <v>94</v>
      </c>
      <c r="F174" t="s">
        <v>95</v>
      </c>
      <c r="G174" t="s">
        <v>93</v>
      </c>
    </row>
    <row r="175" spans="1:7" x14ac:dyDescent="0.2">
      <c r="A175">
        <v>7</v>
      </c>
      <c r="B175" s="1">
        <v>161</v>
      </c>
      <c r="C175" s="1">
        <v>78</v>
      </c>
      <c r="D175">
        <f>LOG(B175)-LOG(C175)</f>
        <v>0.31473127334136919</v>
      </c>
      <c r="E175">
        <v>0</v>
      </c>
      <c r="F175">
        <v>0</v>
      </c>
      <c r="G175">
        <f>LOG(1)-LOG(1)</f>
        <v>0</v>
      </c>
    </row>
    <row r="176" spans="1:7" x14ac:dyDescent="0.2">
      <c r="A176">
        <v>20</v>
      </c>
      <c r="B176">
        <v>133</v>
      </c>
      <c r="C176">
        <v>292</v>
      </c>
      <c r="D176">
        <f>LOG(B176)-LOG(C176)</f>
        <v>-0.34153121048133261</v>
      </c>
      <c r="E176">
        <v>0</v>
      </c>
      <c r="F176">
        <v>1</v>
      </c>
      <c r="G176" s="6">
        <f>LOG(1)-LOG(F176)</f>
        <v>0</v>
      </c>
    </row>
    <row r="177" spans="1:17" x14ac:dyDescent="0.2">
      <c r="A177">
        <v>14</v>
      </c>
      <c r="B177">
        <f>AP12*100</f>
        <v>6400</v>
      </c>
      <c r="C177">
        <v>0</v>
      </c>
      <c r="D177">
        <f>LOG(B177)-LOG(1)</f>
        <v>3.8061799739838871</v>
      </c>
      <c r="E177">
        <v>141</v>
      </c>
      <c r="F177">
        <v>0</v>
      </c>
      <c r="G177">
        <f>LOG(E177)-LOG(1)</f>
        <v>2.1492191126553797</v>
      </c>
    </row>
    <row r="178" spans="1:17" x14ac:dyDescent="0.2">
      <c r="A178">
        <v>9</v>
      </c>
      <c r="B178">
        <v>39</v>
      </c>
      <c r="C178">
        <v>0</v>
      </c>
      <c r="D178">
        <f>LOG(B178)-LOG(1)</f>
        <v>1.5910646070264991</v>
      </c>
      <c r="E178">
        <v>0</v>
      </c>
      <c r="F178">
        <v>0</v>
      </c>
      <c r="G178">
        <f>LOG(1)-LOG(1)</f>
        <v>0</v>
      </c>
    </row>
    <row r="179" spans="1:17" x14ac:dyDescent="0.2">
      <c r="A179">
        <v>19</v>
      </c>
      <c r="B179">
        <f>AP20*100</f>
        <v>4400</v>
      </c>
      <c r="C179">
        <v>0</v>
      </c>
      <c r="D179">
        <f>LOG(B179)-LOG(1)</f>
        <v>3.6434526764861874</v>
      </c>
      <c r="E179">
        <v>0</v>
      </c>
      <c r="F179">
        <v>0</v>
      </c>
      <c r="G179">
        <f>LOG(1)-LOG(1)</f>
        <v>0</v>
      </c>
    </row>
    <row r="180" spans="1:17" x14ac:dyDescent="0.2">
      <c r="A180">
        <v>6</v>
      </c>
      <c r="B180">
        <f>AP23</f>
        <v>25</v>
      </c>
      <c r="C180" s="6">
        <v>0</v>
      </c>
      <c r="D180" s="6">
        <f>LOG(B180)-LOG(1)</f>
        <v>1.3979400086720377</v>
      </c>
      <c r="E180" s="6">
        <v>0</v>
      </c>
      <c r="F180" s="6">
        <v>0</v>
      </c>
      <c r="G180">
        <f>LOG(1)-LOG(1)</f>
        <v>0</v>
      </c>
    </row>
    <row r="181" spans="1:17" x14ac:dyDescent="0.2">
      <c r="A181">
        <v>8</v>
      </c>
      <c r="B181">
        <f>AP28*100</f>
        <v>2000</v>
      </c>
      <c r="C181">
        <v>0</v>
      </c>
      <c r="D181">
        <f>LOG(B181)-LOG(1)</f>
        <v>3.3010299956639813</v>
      </c>
      <c r="E181">
        <v>0</v>
      </c>
      <c r="F181">
        <v>0</v>
      </c>
      <c r="G181">
        <f>LOG(1)-LOG(1)</f>
        <v>0</v>
      </c>
    </row>
    <row r="182" spans="1:17" x14ac:dyDescent="0.2">
      <c r="A182">
        <v>15</v>
      </c>
      <c r="B182">
        <v>70</v>
      </c>
      <c r="C182" s="8"/>
      <c r="D182" s="8" t="e">
        <f>LOG(B182)-LOG(C182)</f>
        <v>#NUM!</v>
      </c>
      <c r="E182">
        <v>0</v>
      </c>
      <c r="F182" s="8"/>
      <c r="G182" s="8"/>
    </row>
    <row r="183" spans="1:17" x14ac:dyDescent="0.2">
      <c r="A183">
        <v>17</v>
      </c>
      <c r="B183">
        <v>25</v>
      </c>
      <c r="C183">
        <v>18</v>
      </c>
      <c r="D183">
        <f>LOG(B183)-LOG(C183)</f>
        <v>0.1426675035687317</v>
      </c>
      <c r="E183">
        <v>1</v>
      </c>
      <c r="F183">
        <v>0</v>
      </c>
      <c r="G183">
        <f>LOG(E183)-LOG(1)</f>
        <v>0</v>
      </c>
    </row>
    <row r="185" spans="1:17" x14ac:dyDescent="0.2">
      <c r="A185" s="26">
        <v>43887</v>
      </c>
      <c r="B185" s="26"/>
      <c r="C185" s="26"/>
    </row>
    <row r="186" spans="1:17" x14ac:dyDescent="0.2">
      <c r="A186" t="s">
        <v>90</v>
      </c>
      <c r="B186" t="s">
        <v>91</v>
      </c>
      <c r="C186" t="s">
        <v>92</v>
      </c>
      <c r="D186" t="s">
        <v>93</v>
      </c>
      <c r="E186" t="s">
        <v>94</v>
      </c>
      <c r="F186" t="s">
        <v>95</v>
      </c>
      <c r="G186" t="s">
        <v>93</v>
      </c>
    </row>
    <row r="187" spans="1:17" x14ac:dyDescent="0.2">
      <c r="A187">
        <v>1</v>
      </c>
      <c r="B187">
        <f>AU4*100</f>
        <v>1600</v>
      </c>
      <c r="C187">
        <v>132</v>
      </c>
      <c r="D187">
        <f t="shared" ref="D187:D198" si="7">LOG(B187)-LOG(C187)</f>
        <v>1.0835460514500745</v>
      </c>
      <c r="E187">
        <v>20</v>
      </c>
      <c r="F187">
        <v>2</v>
      </c>
      <c r="G187">
        <f>LOG(E187)-LOG(F187)</f>
        <v>1</v>
      </c>
    </row>
    <row r="188" spans="1:17" x14ac:dyDescent="0.2">
      <c r="A188">
        <v>18</v>
      </c>
      <c r="B188">
        <v>74</v>
      </c>
      <c r="C188">
        <v>2</v>
      </c>
      <c r="D188">
        <f t="shared" si="7"/>
        <v>1.568201724066995</v>
      </c>
      <c r="E188">
        <v>0</v>
      </c>
      <c r="F188">
        <v>0</v>
      </c>
      <c r="G188">
        <f t="shared" ref="G188:G193" si="8">LOG(1)-LOG(1)</f>
        <v>0</v>
      </c>
    </row>
    <row r="189" spans="1:17" x14ac:dyDescent="0.2">
      <c r="A189">
        <v>15</v>
      </c>
      <c r="B189" s="1">
        <v>10</v>
      </c>
      <c r="C189" s="1">
        <v>0</v>
      </c>
      <c r="D189">
        <f>LOG(B189)-LOG(1)</f>
        <v>1</v>
      </c>
      <c r="E189">
        <v>0</v>
      </c>
      <c r="F189">
        <v>0</v>
      </c>
      <c r="G189">
        <f t="shared" si="8"/>
        <v>0</v>
      </c>
    </row>
    <row r="190" spans="1:17" x14ac:dyDescent="0.2">
      <c r="A190">
        <v>12</v>
      </c>
      <c r="B190">
        <v>0</v>
      </c>
      <c r="C190">
        <v>0</v>
      </c>
      <c r="D190">
        <f>LOG(1)-LOG(1)</f>
        <v>0</v>
      </c>
      <c r="E190">
        <v>0</v>
      </c>
      <c r="F190">
        <v>0</v>
      </c>
      <c r="G190">
        <f t="shared" si="8"/>
        <v>0</v>
      </c>
    </row>
    <row r="191" spans="1:17" x14ac:dyDescent="0.2">
      <c r="A191">
        <v>13</v>
      </c>
      <c r="B191">
        <f>AU20*100</f>
        <v>4200</v>
      </c>
      <c r="C191">
        <v>0</v>
      </c>
      <c r="D191">
        <f>LOG(B191)-LOG(1)</f>
        <v>3.6232492903979003</v>
      </c>
      <c r="E191">
        <v>1</v>
      </c>
      <c r="F191">
        <v>0</v>
      </c>
      <c r="G191">
        <f t="shared" si="8"/>
        <v>0</v>
      </c>
      <c r="Q191" t="s">
        <v>96</v>
      </c>
    </row>
    <row r="192" spans="1:17" x14ac:dyDescent="0.2">
      <c r="A192">
        <v>11</v>
      </c>
      <c r="B192">
        <v>118</v>
      </c>
      <c r="C192">
        <v>0</v>
      </c>
      <c r="D192">
        <f>LOG(B192)-LOG(1)</f>
        <v>2.0718820073061255</v>
      </c>
      <c r="E192">
        <v>0</v>
      </c>
      <c r="F192">
        <v>0</v>
      </c>
      <c r="G192">
        <f t="shared" si="8"/>
        <v>0</v>
      </c>
    </row>
    <row r="193" spans="1:7" x14ac:dyDescent="0.2">
      <c r="A193">
        <v>7</v>
      </c>
      <c r="B193">
        <v>73</v>
      </c>
      <c r="C193">
        <v>57</v>
      </c>
      <c r="D193">
        <f t="shared" si="7"/>
        <v>0.10744800444796443</v>
      </c>
      <c r="E193">
        <v>0</v>
      </c>
      <c r="F193">
        <v>0</v>
      </c>
      <c r="G193">
        <f t="shared" si="8"/>
        <v>0</v>
      </c>
    </row>
    <row r="194" spans="1:7" x14ac:dyDescent="0.2">
      <c r="A194">
        <v>20</v>
      </c>
      <c r="B194">
        <v>72</v>
      </c>
      <c r="C194">
        <v>0</v>
      </c>
      <c r="D194">
        <f>LOG(B194)-LOG(1)</f>
        <v>1.8573324964312685</v>
      </c>
      <c r="E194">
        <v>3</v>
      </c>
      <c r="F194">
        <v>0</v>
      </c>
      <c r="G194">
        <f>LOG(E194)-LOG(1)</f>
        <v>0.47712125471966244</v>
      </c>
    </row>
    <row r="195" spans="1:7" x14ac:dyDescent="0.2">
      <c r="A195">
        <v>5</v>
      </c>
      <c r="B195">
        <f>AU36*100</f>
        <v>4200</v>
      </c>
      <c r="C195">
        <v>139</v>
      </c>
      <c r="D195">
        <f t="shared" si="7"/>
        <v>1.4802344901438054</v>
      </c>
      <c r="E195">
        <v>1</v>
      </c>
      <c r="F195">
        <v>1</v>
      </c>
      <c r="G195">
        <f>LOG(1)-LOG(1)</f>
        <v>0</v>
      </c>
    </row>
    <row r="196" spans="1:7" x14ac:dyDescent="0.2">
      <c r="A196">
        <v>10</v>
      </c>
      <c r="B196">
        <v>0</v>
      </c>
      <c r="C196" s="6">
        <v>146</v>
      </c>
      <c r="D196" s="6">
        <f>LOG(1)-LOG(C196)</f>
        <v>-2.1643528557844371</v>
      </c>
      <c r="E196" s="6">
        <v>0</v>
      </c>
      <c r="F196" s="6">
        <v>0</v>
      </c>
      <c r="G196" s="6">
        <f>LOG(1)-LOG(1)</f>
        <v>0</v>
      </c>
    </row>
    <row r="197" spans="1:7" x14ac:dyDescent="0.2">
      <c r="A197">
        <v>2</v>
      </c>
      <c r="B197">
        <v>100</v>
      </c>
      <c r="C197">
        <f>77*100</f>
        <v>7700</v>
      </c>
      <c r="D197">
        <f t="shared" si="7"/>
        <v>-1.8864907251724818</v>
      </c>
      <c r="E197">
        <v>200</v>
      </c>
      <c r="F197">
        <v>100</v>
      </c>
      <c r="G197">
        <f>LOG(E197)-LOG(F197)</f>
        <v>0.30102999566398125</v>
      </c>
    </row>
    <row r="198" spans="1:7" x14ac:dyDescent="0.2">
      <c r="A198">
        <v>16</v>
      </c>
      <c r="B198">
        <v>106</v>
      </c>
      <c r="C198">
        <f>300*100</f>
        <v>30000</v>
      </c>
      <c r="D198">
        <f t="shared" si="7"/>
        <v>-2.4518153894548922</v>
      </c>
      <c r="E198">
        <v>1</v>
      </c>
      <c r="F198">
        <v>0</v>
      </c>
      <c r="G198">
        <f>LOG(1)-LOG(1)</f>
        <v>0</v>
      </c>
    </row>
    <row r="199" spans="1:7" x14ac:dyDescent="0.2">
      <c r="A199">
        <v>4</v>
      </c>
      <c r="B199">
        <f>AU52*100</f>
        <v>2000</v>
      </c>
      <c r="C199">
        <v>0</v>
      </c>
      <c r="D199">
        <f>LOG(B199)-LOG(1)</f>
        <v>3.3010299956639813</v>
      </c>
      <c r="E199">
        <v>1</v>
      </c>
      <c r="F199">
        <v>0</v>
      </c>
      <c r="G199">
        <f>LOG(1)-LOG(1)</f>
        <v>0</v>
      </c>
    </row>
    <row r="201" spans="1:7" x14ac:dyDescent="0.2">
      <c r="A201" s="26">
        <v>43888</v>
      </c>
      <c r="B201" s="26"/>
      <c r="C201" s="26"/>
    </row>
    <row r="202" spans="1:7" x14ac:dyDescent="0.2">
      <c r="A202" t="s">
        <v>90</v>
      </c>
      <c r="B202" t="s">
        <v>91</v>
      </c>
      <c r="C202" t="s">
        <v>92</v>
      </c>
      <c r="D202" t="s">
        <v>93</v>
      </c>
      <c r="E202" t="s">
        <v>94</v>
      </c>
      <c r="F202" t="s">
        <v>95</v>
      </c>
    </row>
    <row r="203" spans="1:7" x14ac:dyDescent="0.2">
      <c r="A203">
        <v>20</v>
      </c>
      <c r="B203">
        <v>119</v>
      </c>
      <c r="C203">
        <v>26</v>
      </c>
      <c r="D203">
        <f>LOG(B203)-LOG(C203)</f>
        <v>0.66057361342171261</v>
      </c>
      <c r="E203">
        <v>1</v>
      </c>
      <c r="F203">
        <v>1</v>
      </c>
      <c r="G203">
        <f>LOG(E203)-LOG(F203)</f>
        <v>0</v>
      </c>
    </row>
    <row r="204" spans="1:7" x14ac:dyDescent="0.2">
      <c r="A204">
        <v>18</v>
      </c>
      <c r="B204">
        <f>AZ8*100</f>
        <v>600</v>
      </c>
      <c r="C204">
        <v>31</v>
      </c>
      <c r="D204">
        <f>LOG(B204)-LOG(C204)</f>
        <v>1.2867895565493708</v>
      </c>
      <c r="E204">
        <v>0</v>
      </c>
      <c r="F204">
        <v>0</v>
      </c>
      <c r="G204">
        <f>LOG(1)-LOG(1)</f>
        <v>0</v>
      </c>
    </row>
    <row r="205" spans="1:7" x14ac:dyDescent="0.2">
      <c r="A205">
        <v>2</v>
      </c>
      <c r="B205">
        <v>13</v>
      </c>
      <c r="C205">
        <v>280</v>
      </c>
      <c r="D205">
        <f>LOG(B205)-LOG(C205)</f>
        <v>-1.3332146790353827</v>
      </c>
      <c r="E205">
        <v>102</v>
      </c>
      <c r="F205">
        <v>91</v>
      </c>
      <c r="G205">
        <f>LOG(E205)-LOG(F205)</f>
        <v>4.9558779440823875E-2</v>
      </c>
    </row>
    <row r="206" spans="1:7" x14ac:dyDescent="0.2">
      <c r="A206">
        <v>1</v>
      </c>
      <c r="B206">
        <v>74</v>
      </c>
      <c r="C206">
        <v>32</v>
      </c>
      <c r="D206">
        <f>LOG(B206)-LOG(C206)</f>
        <v>0.36408174141107019</v>
      </c>
      <c r="E206">
        <v>7</v>
      </c>
      <c r="F206">
        <v>1</v>
      </c>
      <c r="G206">
        <f>LOG(E206)-LOG(F206)</f>
        <v>0.84509804001425681</v>
      </c>
    </row>
    <row r="207" spans="1:7" x14ac:dyDescent="0.2">
      <c r="A207">
        <v>12</v>
      </c>
      <c r="B207">
        <v>4</v>
      </c>
      <c r="C207">
        <v>2</v>
      </c>
      <c r="D207">
        <f>LOG(B207)-LOG(C207)</f>
        <v>0.3010299956639812</v>
      </c>
      <c r="E207">
        <v>0</v>
      </c>
      <c r="F207">
        <v>0</v>
      </c>
      <c r="G207">
        <f>LOG(1)-LOG(1)</f>
        <v>0</v>
      </c>
    </row>
    <row r="209" spans="1:7" x14ac:dyDescent="0.2">
      <c r="A209" s="26">
        <v>43889</v>
      </c>
      <c r="B209" s="26"/>
      <c r="C209" s="26"/>
    </row>
    <row r="210" spans="1:7" x14ac:dyDescent="0.2">
      <c r="A210" t="s">
        <v>90</v>
      </c>
      <c r="B210" t="s">
        <v>91</v>
      </c>
      <c r="C210" t="s">
        <v>92</v>
      </c>
      <c r="D210" t="s">
        <v>93</v>
      </c>
      <c r="E210" t="s">
        <v>94</v>
      </c>
      <c r="F210" t="s">
        <v>95</v>
      </c>
      <c r="G210" t="s">
        <v>93</v>
      </c>
    </row>
    <row r="211" spans="1:7" x14ac:dyDescent="0.2">
      <c r="A211">
        <v>15</v>
      </c>
      <c r="B211">
        <v>112</v>
      </c>
      <c r="C211">
        <v>0</v>
      </c>
      <c r="D211">
        <f>LOG(B211)-LOG(1)</f>
        <v>2.0492180226701815</v>
      </c>
      <c r="E211">
        <v>0</v>
      </c>
      <c r="F211">
        <v>0</v>
      </c>
      <c r="G211">
        <f>LOG(1)-LOG(1)</f>
        <v>0</v>
      </c>
    </row>
    <row r="212" spans="1:7" x14ac:dyDescent="0.2">
      <c r="A212">
        <v>14</v>
      </c>
      <c r="B212">
        <v>83</v>
      </c>
      <c r="C212">
        <v>0</v>
      </c>
      <c r="D212">
        <f>LOG(B212)-LOG(1)</f>
        <v>1.919078092376074</v>
      </c>
      <c r="E212">
        <v>32</v>
      </c>
      <c r="F212">
        <v>0</v>
      </c>
      <c r="G212">
        <f>LOG(E212)-LOG(1)</f>
        <v>1.505149978319906</v>
      </c>
    </row>
    <row r="214" spans="1:7" x14ac:dyDescent="0.2">
      <c r="A214" s="26">
        <v>43892</v>
      </c>
      <c r="B214" s="26"/>
      <c r="C214" s="26"/>
    </row>
    <row r="215" spans="1:7" x14ac:dyDescent="0.2">
      <c r="A215" t="s">
        <v>90</v>
      </c>
      <c r="B215" t="s">
        <v>91</v>
      </c>
      <c r="C215" t="s">
        <v>92</v>
      </c>
      <c r="D215" t="s">
        <v>93</v>
      </c>
      <c r="E215" t="s">
        <v>94</v>
      </c>
      <c r="F215" t="s">
        <v>95</v>
      </c>
      <c r="G215" t="s">
        <v>93</v>
      </c>
    </row>
    <row r="216" spans="1:7" x14ac:dyDescent="0.2">
      <c r="A216">
        <v>18</v>
      </c>
      <c r="B216">
        <v>55</v>
      </c>
      <c r="C216">
        <v>14</v>
      </c>
      <c r="D216">
        <f t="shared" ref="D216:D227" si="9">LOG(B216)-LOG(C216)</f>
        <v>0.59423465381600593</v>
      </c>
      <c r="E216">
        <v>0</v>
      </c>
      <c r="F216">
        <v>0</v>
      </c>
      <c r="G216">
        <f>LOG(1)-LOG(1)</f>
        <v>0</v>
      </c>
    </row>
    <row r="217" spans="1:7" x14ac:dyDescent="0.2">
      <c r="A217">
        <v>19</v>
      </c>
      <c r="B217" s="1">
        <v>47</v>
      </c>
      <c r="C217" s="1">
        <v>0</v>
      </c>
      <c r="D217">
        <f>LOG(B217)-LOG(1)</f>
        <v>1.6720978579357175</v>
      </c>
      <c r="E217">
        <v>1</v>
      </c>
      <c r="F217">
        <v>0</v>
      </c>
      <c r="G217">
        <f>LOG(E217)-LOG(1)</f>
        <v>0</v>
      </c>
    </row>
    <row r="218" spans="1:7" x14ac:dyDescent="0.2">
      <c r="A218">
        <v>12</v>
      </c>
      <c r="B218">
        <v>10</v>
      </c>
      <c r="C218">
        <v>0</v>
      </c>
      <c r="D218">
        <f>LOG(B218)-LOG(1)</f>
        <v>1</v>
      </c>
      <c r="E218">
        <v>0</v>
      </c>
      <c r="F218">
        <v>0</v>
      </c>
      <c r="G218">
        <f>LOG(1)-LOG(1)</f>
        <v>0</v>
      </c>
    </row>
    <row r="219" spans="1:7" x14ac:dyDescent="0.2">
      <c r="A219">
        <v>1</v>
      </c>
      <c r="B219">
        <v>77</v>
      </c>
      <c r="C219" s="8"/>
      <c r="D219" s="8" t="e">
        <f t="shared" si="9"/>
        <v>#NUM!</v>
      </c>
      <c r="E219">
        <v>4</v>
      </c>
      <c r="F219" s="8"/>
      <c r="G219" s="8"/>
    </row>
    <row r="220" spans="1:7" x14ac:dyDescent="0.2">
      <c r="A220">
        <v>13</v>
      </c>
      <c r="B220">
        <v>24</v>
      </c>
      <c r="C220">
        <v>0</v>
      </c>
      <c r="D220">
        <f>LOG(B220)-LOG(1)</f>
        <v>1.3802112417116059</v>
      </c>
      <c r="E220">
        <v>0</v>
      </c>
      <c r="F220">
        <v>0</v>
      </c>
      <c r="G220">
        <f>LOG(1)-LOG(1)</f>
        <v>0</v>
      </c>
    </row>
    <row r="221" spans="1:7" x14ac:dyDescent="0.2">
      <c r="A221">
        <v>2</v>
      </c>
      <c r="B221">
        <v>61</v>
      </c>
      <c r="C221">
        <v>85</v>
      </c>
      <c r="D221">
        <f t="shared" si="9"/>
        <v>-0.14408909070352549</v>
      </c>
      <c r="E221">
        <v>0</v>
      </c>
      <c r="F221">
        <v>1</v>
      </c>
      <c r="G221">
        <f>LOG(1)-LOG(1)</f>
        <v>0</v>
      </c>
    </row>
    <row r="222" spans="1:7" x14ac:dyDescent="0.2">
      <c r="A222">
        <v>4</v>
      </c>
      <c r="B222">
        <f>BJ26*100</f>
        <v>3700</v>
      </c>
      <c r="C222">
        <v>99</v>
      </c>
      <c r="D222">
        <f t="shared" si="9"/>
        <v>1.5725665294694451</v>
      </c>
      <c r="E222">
        <v>4</v>
      </c>
      <c r="F222">
        <v>0</v>
      </c>
      <c r="G222">
        <f>LOG(E222)-LOG(1)</f>
        <v>0.6020599913279624</v>
      </c>
    </row>
    <row r="223" spans="1:7" x14ac:dyDescent="0.2">
      <c r="A223">
        <v>7</v>
      </c>
      <c r="B223">
        <v>125</v>
      </c>
      <c r="C223">
        <v>19</v>
      </c>
      <c r="D223">
        <f t="shared" si="9"/>
        <v>0.81815641205522738</v>
      </c>
      <c r="E223">
        <v>0</v>
      </c>
      <c r="F223">
        <v>0</v>
      </c>
      <c r="G223">
        <f>LOG(1)-LOG(1)</f>
        <v>0</v>
      </c>
    </row>
    <row r="224" spans="1:7" x14ac:dyDescent="0.2">
      <c r="A224">
        <v>9</v>
      </c>
      <c r="B224">
        <v>19</v>
      </c>
      <c r="C224">
        <v>0</v>
      </c>
      <c r="D224">
        <f>LOG(B224)-LOG(1)</f>
        <v>1.2787536009528289</v>
      </c>
      <c r="E224">
        <v>1</v>
      </c>
      <c r="F224">
        <v>0</v>
      </c>
      <c r="G224">
        <f>LOG(E224)-LOG(1)</f>
        <v>0</v>
      </c>
    </row>
    <row r="225" spans="1:7" x14ac:dyDescent="0.2">
      <c r="A225">
        <v>3</v>
      </c>
      <c r="B225">
        <f>BJ38*100</f>
        <v>25900</v>
      </c>
      <c r="C225" s="6">
        <v>0</v>
      </c>
      <c r="D225" s="6">
        <f>LOG(B225)-LOG(1)</f>
        <v>4.4132997640812519</v>
      </c>
      <c r="E225">
        <v>20</v>
      </c>
      <c r="F225" s="6">
        <v>0</v>
      </c>
      <c r="G225">
        <f>LOG(E225)-LOG(1)</f>
        <v>1.3010299956639813</v>
      </c>
    </row>
    <row r="226" spans="1:7" x14ac:dyDescent="0.2">
      <c r="A226">
        <v>10</v>
      </c>
      <c r="B226">
        <v>6</v>
      </c>
      <c r="C226">
        <v>10</v>
      </c>
      <c r="D226">
        <f t="shared" si="9"/>
        <v>-0.22184874961635637</v>
      </c>
      <c r="E226">
        <v>0</v>
      </c>
      <c r="F226">
        <v>0</v>
      </c>
      <c r="G226">
        <f>LOG(1)-LOG(1)</f>
        <v>0</v>
      </c>
    </row>
    <row r="227" spans="1:7" x14ac:dyDescent="0.2">
      <c r="A227">
        <v>11</v>
      </c>
      <c r="B227">
        <v>112</v>
      </c>
      <c r="C227" s="6">
        <v>14</v>
      </c>
      <c r="D227" s="6">
        <f t="shared" si="9"/>
        <v>0.90308998699194354</v>
      </c>
      <c r="E227" s="6">
        <v>0</v>
      </c>
      <c r="F227" s="6">
        <v>1</v>
      </c>
      <c r="G227" s="6">
        <f>LOG(1)-LOG(1)</f>
        <v>0</v>
      </c>
    </row>
    <row r="228" spans="1:7" x14ac:dyDescent="0.2">
      <c r="A228">
        <v>16</v>
      </c>
      <c r="B228">
        <v>18</v>
      </c>
      <c r="C228">
        <v>0</v>
      </c>
      <c r="D228">
        <f>LOG(B228)-LOG(1)</f>
        <v>1.255272505103306</v>
      </c>
      <c r="E228">
        <v>2</v>
      </c>
      <c r="F228">
        <v>0</v>
      </c>
      <c r="G228">
        <f>LOG(E228)-LOG(1)</f>
        <v>0.3010299956639812</v>
      </c>
    </row>
    <row r="229" spans="1:7" x14ac:dyDescent="0.2">
      <c r="A229">
        <v>6</v>
      </c>
      <c r="B229">
        <v>19</v>
      </c>
      <c r="C229" s="6">
        <v>0</v>
      </c>
      <c r="D229">
        <f>LOG(B229)-LOG(1)</f>
        <v>1.2787536009528289</v>
      </c>
      <c r="E229">
        <v>0</v>
      </c>
      <c r="F229" s="6">
        <v>0</v>
      </c>
      <c r="G229">
        <f>LOG(1)-LOG(1)</f>
        <v>0</v>
      </c>
    </row>
    <row r="230" spans="1:7" x14ac:dyDescent="0.2">
      <c r="A230">
        <v>17</v>
      </c>
      <c r="B230">
        <v>25</v>
      </c>
      <c r="C230" s="6">
        <v>0</v>
      </c>
      <c r="D230">
        <f>LOG(B230)-LOG(1)</f>
        <v>1.3979400086720377</v>
      </c>
      <c r="E230">
        <v>0</v>
      </c>
      <c r="F230" s="6">
        <v>0</v>
      </c>
      <c r="G230">
        <f>LOG(1)-LOG(1)</f>
        <v>0</v>
      </c>
    </row>
    <row r="232" spans="1:7" x14ac:dyDescent="0.2">
      <c r="A232" s="26">
        <v>43893</v>
      </c>
      <c r="B232" s="26"/>
      <c r="C232" s="26"/>
    </row>
    <row r="233" spans="1:7" x14ac:dyDescent="0.2">
      <c r="A233" t="s">
        <v>90</v>
      </c>
      <c r="B233" t="s">
        <v>91</v>
      </c>
      <c r="C233" t="s">
        <v>92</v>
      </c>
      <c r="D233" t="s">
        <v>93</v>
      </c>
      <c r="E233" t="s">
        <v>94</v>
      </c>
      <c r="F233" t="s">
        <v>95</v>
      </c>
      <c r="G233" t="s">
        <v>93</v>
      </c>
    </row>
    <row r="234" spans="1:7" x14ac:dyDescent="0.2">
      <c r="A234">
        <v>18</v>
      </c>
      <c r="B234" s="1">
        <v>107</v>
      </c>
      <c r="C234" s="1">
        <v>0</v>
      </c>
      <c r="D234">
        <f>LOG(B234)-LOG(1)</f>
        <v>2.0293837776852097</v>
      </c>
      <c r="E234">
        <v>0</v>
      </c>
      <c r="F234">
        <v>0</v>
      </c>
      <c r="G234">
        <f>LOG(1)-LOG(1)</f>
        <v>0</v>
      </c>
    </row>
    <row r="235" spans="1:7" x14ac:dyDescent="0.2">
      <c r="A235">
        <v>7</v>
      </c>
      <c r="B235">
        <v>171</v>
      </c>
      <c r="C235">
        <v>17</v>
      </c>
      <c r="D235">
        <f t="shared" ref="D235:D245" si="10">LOG(B235)-LOG(C235)</f>
        <v>1.0025471890138797</v>
      </c>
      <c r="E235">
        <v>0</v>
      </c>
      <c r="F235">
        <v>0</v>
      </c>
      <c r="G235">
        <f>LOG(1)-LOG(1)</f>
        <v>0</v>
      </c>
    </row>
    <row r="236" spans="1:7" x14ac:dyDescent="0.2">
      <c r="A236">
        <v>5</v>
      </c>
      <c r="B236" s="1">
        <v>79</v>
      </c>
      <c r="C236">
        <f>BO14*100</f>
        <v>1000</v>
      </c>
      <c r="D236">
        <f t="shared" si="10"/>
        <v>-1.1023729087095586</v>
      </c>
      <c r="E236">
        <v>4</v>
      </c>
      <c r="F236">
        <v>3</v>
      </c>
      <c r="G236">
        <f>LOG(E236)-LOG(1)</f>
        <v>0.6020599913279624</v>
      </c>
    </row>
    <row r="237" spans="1:7" x14ac:dyDescent="0.2">
      <c r="A237">
        <v>9</v>
      </c>
      <c r="B237">
        <v>17</v>
      </c>
      <c r="C237">
        <v>0</v>
      </c>
      <c r="D237">
        <f>LOG(B237)-LOG(1)</f>
        <v>1.2304489213782739</v>
      </c>
      <c r="E237">
        <v>4</v>
      </c>
      <c r="F237">
        <v>0</v>
      </c>
      <c r="G237">
        <f>LOG(E237)-LOG(1)</f>
        <v>0.6020599913279624</v>
      </c>
    </row>
    <row r="238" spans="1:7" x14ac:dyDescent="0.2">
      <c r="A238">
        <v>16</v>
      </c>
      <c r="B238" s="1">
        <v>107</v>
      </c>
      <c r="C238" s="1">
        <v>1</v>
      </c>
      <c r="D238">
        <f t="shared" si="10"/>
        <v>2.0293837776852097</v>
      </c>
      <c r="E238">
        <v>2</v>
      </c>
      <c r="F238">
        <v>0</v>
      </c>
      <c r="G238">
        <f>LOG(E238)-LOG(1)</f>
        <v>0.3010299956639812</v>
      </c>
    </row>
    <row r="239" spans="1:7" x14ac:dyDescent="0.2">
      <c r="A239">
        <v>13</v>
      </c>
      <c r="B239">
        <v>21</v>
      </c>
      <c r="C239">
        <v>0</v>
      </c>
      <c r="D239">
        <f>LOG(B239)-LOG(1)</f>
        <v>1.3222192947339193</v>
      </c>
      <c r="E239">
        <v>0</v>
      </c>
      <c r="F239">
        <v>0</v>
      </c>
      <c r="G239">
        <f>LOG(1)-LOG(1)</f>
        <v>0</v>
      </c>
    </row>
    <row r="240" spans="1:7" x14ac:dyDescent="0.2">
      <c r="A240">
        <v>12</v>
      </c>
      <c r="B240" s="1">
        <v>179</v>
      </c>
      <c r="C240" s="1">
        <v>121</v>
      </c>
      <c r="D240">
        <f t="shared" si="10"/>
        <v>0.17006766066344303</v>
      </c>
      <c r="E240">
        <v>0</v>
      </c>
      <c r="F240">
        <v>0</v>
      </c>
      <c r="G240">
        <f>LOG(1)-LOG(1)</f>
        <v>0</v>
      </c>
    </row>
    <row r="241" spans="1:7" x14ac:dyDescent="0.2">
      <c r="A241">
        <v>10</v>
      </c>
      <c r="B241">
        <f>BO32*100</f>
        <v>2100</v>
      </c>
      <c r="C241">
        <v>15</v>
      </c>
      <c r="D241">
        <f t="shared" si="10"/>
        <v>2.1461280356782377</v>
      </c>
      <c r="E241">
        <v>0</v>
      </c>
      <c r="F241">
        <v>0</v>
      </c>
      <c r="G241">
        <f>LOG(1)-LOG(1)</f>
        <v>0</v>
      </c>
    </row>
    <row r="242" spans="1:7" x14ac:dyDescent="0.2">
      <c r="A242">
        <v>15</v>
      </c>
      <c r="B242" s="1">
        <v>215</v>
      </c>
      <c r="C242" s="1">
        <v>0</v>
      </c>
      <c r="D242">
        <f>LOG(B242)-LOG(1)</f>
        <v>2.3324384599156054</v>
      </c>
      <c r="E242">
        <v>3</v>
      </c>
      <c r="F242">
        <v>0</v>
      </c>
      <c r="G242">
        <f>LOG(E242)-LOG(1)</f>
        <v>0.47712125471966244</v>
      </c>
    </row>
    <row r="243" spans="1:7" x14ac:dyDescent="0.2">
      <c r="A243">
        <v>17</v>
      </c>
      <c r="B243">
        <v>55</v>
      </c>
      <c r="C243">
        <v>0</v>
      </c>
      <c r="D243">
        <f>LOG(B243)-LOG(1)</f>
        <v>1.7403626894942439</v>
      </c>
      <c r="E243">
        <v>0</v>
      </c>
      <c r="F243">
        <v>0</v>
      </c>
      <c r="G243">
        <f>LOG(1)-LOG(1)</f>
        <v>0</v>
      </c>
    </row>
    <row r="244" spans="1:7" x14ac:dyDescent="0.2">
      <c r="A244">
        <v>6</v>
      </c>
      <c r="B244" s="1">
        <v>44</v>
      </c>
      <c r="C244" s="1">
        <v>0</v>
      </c>
      <c r="D244">
        <f>LOG(B244)-LOG(1)</f>
        <v>1.6434526764861874</v>
      </c>
      <c r="E244">
        <v>0</v>
      </c>
      <c r="F244">
        <v>0</v>
      </c>
      <c r="G244">
        <f>LOG(1)-LOG(1)</f>
        <v>0</v>
      </c>
    </row>
    <row r="245" spans="1:7" x14ac:dyDescent="0.2">
      <c r="A245">
        <v>14</v>
      </c>
      <c r="B245">
        <v>44</v>
      </c>
      <c r="C245">
        <v>27</v>
      </c>
      <c r="D245">
        <f t="shared" si="10"/>
        <v>0.21208891232720006</v>
      </c>
      <c r="E245">
        <v>1</v>
      </c>
      <c r="F245">
        <v>0</v>
      </c>
      <c r="G245">
        <f>LOG(E245)-LOG(1)</f>
        <v>0</v>
      </c>
    </row>
    <row r="246" spans="1:7" x14ac:dyDescent="0.2">
      <c r="A246">
        <v>19</v>
      </c>
      <c r="B246" s="5">
        <v>53</v>
      </c>
      <c r="C246" s="5">
        <v>0</v>
      </c>
      <c r="D246" s="6">
        <f>LOG(B246)-LOG(1)</f>
        <v>1.7242758696007889</v>
      </c>
      <c r="E246" s="6">
        <v>1</v>
      </c>
      <c r="F246" s="6">
        <v>0</v>
      </c>
      <c r="G246" s="6">
        <f>LOG(E246)-LOG(1)</f>
        <v>0</v>
      </c>
    </row>
    <row r="247" spans="1:7" x14ac:dyDescent="0.2">
      <c r="A247">
        <v>8</v>
      </c>
      <c r="B247" s="6">
        <v>52</v>
      </c>
      <c r="C247" s="6">
        <v>0</v>
      </c>
      <c r="D247" s="6">
        <f>LOG(B247)-LOG(1)</f>
        <v>1.7160033436347992</v>
      </c>
      <c r="E247" s="6">
        <v>1</v>
      </c>
      <c r="F247" s="6">
        <v>0</v>
      </c>
      <c r="G247" s="6">
        <f>LOG(E247)-LOG(1)</f>
        <v>0</v>
      </c>
    </row>
    <row r="249" spans="1:7" x14ac:dyDescent="0.2">
      <c r="A249" s="27">
        <v>43894</v>
      </c>
      <c r="B249" s="27"/>
      <c r="C249" s="27"/>
    </row>
    <row r="250" spans="1:7" x14ac:dyDescent="0.2">
      <c r="A250" t="s">
        <v>90</v>
      </c>
      <c r="B250" t="s">
        <v>91</v>
      </c>
      <c r="C250" t="s">
        <v>92</v>
      </c>
      <c r="D250" t="s">
        <v>93</v>
      </c>
      <c r="E250" t="s">
        <v>94</v>
      </c>
      <c r="F250" t="s">
        <v>95</v>
      </c>
      <c r="G250" t="s">
        <v>93</v>
      </c>
    </row>
    <row r="251" spans="1:7" x14ac:dyDescent="0.2">
      <c r="A251">
        <v>15</v>
      </c>
      <c r="B251">
        <v>14</v>
      </c>
      <c r="C251">
        <v>0</v>
      </c>
      <c r="D251">
        <f>LOG(B251)-LOG(1)</f>
        <v>1.146128035678238</v>
      </c>
      <c r="E251">
        <v>0</v>
      </c>
      <c r="F251">
        <v>0</v>
      </c>
      <c r="G251">
        <f>LOG(1)-LOG(1)</f>
        <v>0</v>
      </c>
    </row>
    <row r="252" spans="1:7" x14ac:dyDescent="0.2">
      <c r="A252">
        <v>11</v>
      </c>
      <c r="B252">
        <v>500</v>
      </c>
      <c r="C252">
        <v>15</v>
      </c>
      <c r="D252">
        <f>LOG(B252)-LOG(C252)</f>
        <v>1.5228787452803374</v>
      </c>
      <c r="E252">
        <v>2</v>
      </c>
      <c r="F252">
        <v>0</v>
      </c>
      <c r="G252">
        <f>LOG(E252)-LOG(1)</f>
        <v>0.3010299956639812</v>
      </c>
    </row>
    <row r="253" spans="1:7" x14ac:dyDescent="0.2">
      <c r="A253">
        <v>20</v>
      </c>
      <c r="B253">
        <v>137</v>
      </c>
      <c r="C253">
        <v>0</v>
      </c>
      <c r="D253">
        <f>LOG(B253)-LOG(1)</f>
        <v>2.1367205671564067</v>
      </c>
      <c r="E253">
        <v>1</v>
      </c>
      <c r="F253">
        <v>0</v>
      </c>
      <c r="G253">
        <f>LOG(E253)-LOG(1)</f>
        <v>0</v>
      </c>
    </row>
    <row r="254" spans="1:7" x14ac:dyDescent="0.2">
      <c r="A254">
        <v>4</v>
      </c>
      <c r="B254">
        <v>108</v>
      </c>
      <c r="C254">
        <v>0</v>
      </c>
      <c r="D254">
        <f>LOG(B254)-LOG(1)</f>
        <v>2.0334237554869499</v>
      </c>
      <c r="E254">
        <v>1</v>
      </c>
      <c r="F254">
        <v>0</v>
      </c>
      <c r="G254">
        <f>LOG(E254)-LOG(1)</f>
        <v>0</v>
      </c>
    </row>
    <row r="255" spans="1:7" x14ac:dyDescent="0.2">
      <c r="A255">
        <v>2</v>
      </c>
      <c r="B255">
        <v>43</v>
      </c>
      <c r="C255">
        <f>45*100</f>
        <v>4500</v>
      </c>
      <c r="D255">
        <f>LOG(B255)-LOG(C255)</f>
        <v>-2.0197440581957569</v>
      </c>
      <c r="E255">
        <v>1</v>
      </c>
      <c r="F255">
        <v>0</v>
      </c>
      <c r="G255">
        <f>LOG(E255)-LOG(1)</f>
        <v>0</v>
      </c>
    </row>
    <row r="257" spans="1:7" x14ac:dyDescent="0.2">
      <c r="A257" s="26">
        <v>43895</v>
      </c>
      <c r="B257" s="26"/>
      <c r="C257" s="26"/>
    </row>
    <row r="258" spans="1:7" x14ac:dyDescent="0.2">
      <c r="A258" t="s">
        <v>90</v>
      </c>
      <c r="B258" t="s">
        <v>91</v>
      </c>
      <c r="C258" t="s">
        <v>92</v>
      </c>
      <c r="D258" t="s">
        <v>93</v>
      </c>
      <c r="E258" t="s">
        <v>94</v>
      </c>
      <c r="F258" t="s">
        <v>95</v>
      </c>
      <c r="G258" t="s">
        <v>93</v>
      </c>
    </row>
    <row r="259" spans="1:7" x14ac:dyDescent="0.2">
      <c r="A259">
        <v>14</v>
      </c>
      <c r="B259">
        <f>300*100</f>
        <v>30000</v>
      </c>
      <c r="C259">
        <v>0</v>
      </c>
      <c r="D259">
        <f>LOG(B259)-LOG(1)</f>
        <v>4.4771212547196626</v>
      </c>
      <c r="E259">
        <v>1</v>
      </c>
      <c r="F259">
        <v>0</v>
      </c>
      <c r="G259">
        <f>LOG(E259)-LOG(1)</f>
        <v>0</v>
      </c>
    </row>
    <row r="260" spans="1:7" x14ac:dyDescent="0.2">
      <c r="A260">
        <v>5</v>
      </c>
      <c r="B260">
        <v>106</v>
      </c>
      <c r="C260">
        <v>17</v>
      </c>
      <c r="D260">
        <f>LOG(B260)-LOG(C260)</f>
        <v>0.79485694388649653</v>
      </c>
      <c r="E260">
        <v>1</v>
      </c>
      <c r="F260">
        <v>1</v>
      </c>
      <c r="G260">
        <f>LOG(E260)-LOG(1)</f>
        <v>0</v>
      </c>
    </row>
    <row r="261" spans="1:7" x14ac:dyDescent="0.2">
      <c r="A261">
        <v>20</v>
      </c>
      <c r="B261">
        <v>176</v>
      </c>
      <c r="C261">
        <v>0</v>
      </c>
      <c r="D261">
        <f>LOG(B261)-LOG(1)</f>
        <v>2.2455126678141499</v>
      </c>
      <c r="E261">
        <v>2</v>
      </c>
      <c r="F261">
        <v>0</v>
      </c>
      <c r="G261">
        <f>LOG(E261)-LOG(1)</f>
        <v>0.3010299956639812</v>
      </c>
    </row>
    <row r="262" spans="1:7" x14ac:dyDescent="0.2">
      <c r="A262">
        <v>8</v>
      </c>
      <c r="B262">
        <v>203</v>
      </c>
      <c r="C262">
        <v>0</v>
      </c>
      <c r="D262">
        <f>LOG(B262)-LOG(1)</f>
        <v>2.307496037913213</v>
      </c>
      <c r="E262">
        <v>0</v>
      </c>
      <c r="F262">
        <v>0</v>
      </c>
      <c r="G262">
        <f>LOG(1)-LOG(1)</f>
        <v>0</v>
      </c>
    </row>
    <row r="263" spans="1:7" x14ac:dyDescent="0.2">
      <c r="A263">
        <v>1</v>
      </c>
      <c r="B263">
        <v>35</v>
      </c>
      <c r="C263">
        <v>91</v>
      </c>
      <c r="D263">
        <f>LOG(B263)-LOG(C263)</f>
        <v>-0.41497334797081797</v>
      </c>
      <c r="E263">
        <v>0</v>
      </c>
      <c r="F263">
        <v>1</v>
      </c>
      <c r="G263">
        <f>LOG(1)-LOG(1)</f>
        <v>0</v>
      </c>
    </row>
  </sheetData>
  <mergeCells count="31">
    <mergeCell ref="A257:C257"/>
    <mergeCell ref="A185:C185"/>
    <mergeCell ref="A201:C201"/>
    <mergeCell ref="A209:C209"/>
    <mergeCell ref="A214:C214"/>
    <mergeCell ref="A232:C232"/>
    <mergeCell ref="A249:C249"/>
    <mergeCell ref="BN2:BP2"/>
    <mergeCell ref="BS2:BT2"/>
    <mergeCell ref="A57:C57"/>
    <mergeCell ref="A70:C70"/>
    <mergeCell ref="A87:C87"/>
    <mergeCell ref="AE2:AG2"/>
    <mergeCell ref="AJ2:AL2"/>
    <mergeCell ref="AO2:AQ2"/>
    <mergeCell ref="AT2:AV2"/>
    <mergeCell ref="AY2:BA2"/>
    <mergeCell ref="BD2:BF2"/>
    <mergeCell ref="A2:C2"/>
    <mergeCell ref="F2:H2"/>
    <mergeCell ref="K2:M2"/>
    <mergeCell ref="P2:R2"/>
    <mergeCell ref="U2:W2"/>
    <mergeCell ref="Z2:AB2"/>
    <mergeCell ref="A173:C173"/>
    <mergeCell ref="BI2:BK2"/>
    <mergeCell ref="A102:C102"/>
    <mergeCell ref="A117:C117"/>
    <mergeCell ref="A131:C131"/>
    <mergeCell ref="A148:C148"/>
    <mergeCell ref="A154:C15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931A0A-929E-AE42-B939-0162AF307470}">
  <dimension ref="A1:BU286"/>
  <sheetViews>
    <sheetView zoomScaleNormal="100" workbookViewId="0">
      <selection activeCell="A57" sqref="A57:G263"/>
    </sheetView>
  </sheetViews>
  <sheetFormatPr baseColWidth="10" defaultRowHeight="16" x14ac:dyDescent="0.2"/>
  <sheetData>
    <row r="1" spans="1:73" x14ac:dyDescent="0.2">
      <c r="A1" t="s">
        <v>0</v>
      </c>
      <c r="B1" t="s">
        <v>1</v>
      </c>
      <c r="C1" t="s">
        <v>2</v>
      </c>
      <c r="F1" t="s">
        <v>0</v>
      </c>
      <c r="G1" t="s">
        <v>1</v>
      </c>
      <c r="H1" t="s">
        <v>2</v>
      </c>
      <c r="K1" t="s">
        <v>0</v>
      </c>
      <c r="L1" t="s">
        <v>1</v>
      </c>
      <c r="M1" t="s">
        <v>2</v>
      </c>
      <c r="P1" t="s">
        <v>0</v>
      </c>
      <c r="Q1" t="s">
        <v>1</v>
      </c>
      <c r="R1" t="s">
        <v>2</v>
      </c>
      <c r="U1" t="s">
        <v>0</v>
      </c>
      <c r="V1" t="s">
        <v>1</v>
      </c>
      <c r="W1" t="s">
        <v>2</v>
      </c>
      <c r="Z1" t="s">
        <v>0</v>
      </c>
      <c r="AA1" t="s">
        <v>1</v>
      </c>
      <c r="AB1" t="s">
        <v>2</v>
      </c>
      <c r="AE1" t="s">
        <v>0</v>
      </c>
      <c r="AF1" t="s">
        <v>1</v>
      </c>
      <c r="AG1" t="s">
        <v>2</v>
      </c>
      <c r="AJ1" t="s">
        <v>0</v>
      </c>
      <c r="AK1" t="s">
        <v>1</v>
      </c>
      <c r="AL1" t="s">
        <v>2</v>
      </c>
      <c r="AO1" t="s">
        <v>0</v>
      </c>
      <c r="AP1" t="s">
        <v>1</v>
      </c>
      <c r="AQ1" t="s">
        <v>2</v>
      </c>
      <c r="AT1" t="s">
        <v>0</v>
      </c>
      <c r="AU1" t="s">
        <v>1</v>
      </c>
      <c r="AV1" t="s">
        <v>2</v>
      </c>
      <c r="AY1" t="s">
        <v>0</v>
      </c>
      <c r="AZ1" t="s">
        <v>1</v>
      </c>
      <c r="BA1" t="s">
        <v>2</v>
      </c>
      <c r="BD1" t="s">
        <v>0</v>
      </c>
      <c r="BE1" t="s">
        <v>1</v>
      </c>
      <c r="BF1" t="s">
        <v>2</v>
      </c>
      <c r="BI1" t="s">
        <v>0</v>
      </c>
      <c r="BJ1" t="s">
        <v>1</v>
      </c>
      <c r="BK1" t="s">
        <v>2</v>
      </c>
      <c r="BN1" t="s">
        <v>0</v>
      </c>
      <c r="BO1" t="s">
        <v>1</v>
      </c>
      <c r="BP1" t="s">
        <v>2</v>
      </c>
      <c r="BS1" t="s">
        <v>0</v>
      </c>
      <c r="BT1" t="s">
        <v>1</v>
      </c>
    </row>
    <row r="2" spans="1:73" x14ac:dyDescent="0.2">
      <c r="A2" s="26">
        <v>43872</v>
      </c>
      <c r="B2" s="26"/>
      <c r="C2" s="26"/>
      <c r="F2" s="26">
        <v>43873</v>
      </c>
      <c r="G2" s="26"/>
      <c r="H2" s="26"/>
      <c r="K2" s="26">
        <v>43878</v>
      </c>
      <c r="L2" s="26"/>
      <c r="M2" s="26"/>
      <c r="P2" s="26">
        <v>43879</v>
      </c>
      <c r="Q2" s="26"/>
      <c r="R2" s="26"/>
      <c r="U2" s="26">
        <v>43880</v>
      </c>
      <c r="V2" s="26"/>
      <c r="W2" s="26"/>
      <c r="Z2" s="26">
        <v>43881</v>
      </c>
      <c r="AA2" s="26"/>
      <c r="AB2" s="26"/>
      <c r="AE2" s="26">
        <v>43882</v>
      </c>
      <c r="AF2" s="26"/>
      <c r="AG2" s="26"/>
      <c r="AJ2" s="26">
        <v>43885</v>
      </c>
      <c r="AK2" s="26"/>
      <c r="AL2" s="26"/>
      <c r="AO2" s="26">
        <v>43886</v>
      </c>
      <c r="AP2" s="26"/>
      <c r="AQ2" s="26"/>
      <c r="AT2" s="27">
        <v>43887</v>
      </c>
      <c r="AU2" s="27"/>
      <c r="AV2" s="27"/>
      <c r="AY2" s="27">
        <v>43888</v>
      </c>
      <c r="AZ2" s="27"/>
      <c r="BA2" s="27"/>
      <c r="BD2" s="27">
        <v>43889</v>
      </c>
      <c r="BE2" s="27"/>
      <c r="BF2" s="27"/>
      <c r="BI2" s="27">
        <v>43892</v>
      </c>
      <c r="BJ2" s="27"/>
      <c r="BK2" s="27"/>
      <c r="BN2" s="27">
        <v>43893</v>
      </c>
      <c r="BO2" s="27"/>
      <c r="BP2" s="27"/>
      <c r="BS2" s="27">
        <v>43894</v>
      </c>
      <c r="BT2" s="27"/>
    </row>
    <row r="3" spans="1:73" x14ac:dyDescent="0.2">
      <c r="A3" s="1" t="s">
        <v>3</v>
      </c>
      <c r="B3" s="1">
        <v>48</v>
      </c>
      <c r="C3" s="1">
        <v>0</v>
      </c>
      <c r="F3" s="1" t="s">
        <v>4</v>
      </c>
      <c r="G3" s="1">
        <v>32</v>
      </c>
      <c r="H3" s="1">
        <v>0</v>
      </c>
      <c r="K3" s="2" t="s">
        <v>5</v>
      </c>
      <c r="L3" t="s">
        <v>6</v>
      </c>
      <c r="M3">
        <v>0</v>
      </c>
      <c r="P3" s="3" t="s">
        <v>7</v>
      </c>
      <c r="Q3" s="1">
        <v>55</v>
      </c>
      <c r="R3" s="1">
        <v>0</v>
      </c>
      <c r="U3" s="3" t="s">
        <v>8</v>
      </c>
      <c r="V3" s="1">
        <v>102</v>
      </c>
      <c r="W3" s="1">
        <v>0</v>
      </c>
      <c r="Z3" s="2" t="s">
        <v>9</v>
      </c>
      <c r="AA3" t="s">
        <v>6</v>
      </c>
      <c r="AB3" t="s">
        <v>6</v>
      </c>
      <c r="AE3" s="3" t="s">
        <v>10</v>
      </c>
      <c r="AF3" s="1">
        <v>23</v>
      </c>
      <c r="AG3" s="1">
        <v>2</v>
      </c>
      <c r="AJ3" s="4" t="s">
        <v>11</v>
      </c>
      <c r="AK3" t="s">
        <v>6</v>
      </c>
      <c r="AL3" s="1">
        <v>5</v>
      </c>
      <c r="AO3" s="1" t="s">
        <v>12</v>
      </c>
      <c r="AP3" s="1">
        <v>161</v>
      </c>
      <c r="AQ3" s="1">
        <v>0</v>
      </c>
      <c r="AT3" s="2" t="s">
        <v>10</v>
      </c>
      <c r="AU3" s="4" t="s">
        <v>6</v>
      </c>
      <c r="AV3" s="1">
        <v>20</v>
      </c>
      <c r="AY3" s="3" t="s">
        <v>7</v>
      </c>
      <c r="AZ3">
        <v>119</v>
      </c>
      <c r="BA3">
        <v>1</v>
      </c>
      <c r="BD3" s="3" t="s">
        <v>13</v>
      </c>
      <c r="BE3">
        <v>112</v>
      </c>
      <c r="BF3">
        <v>0</v>
      </c>
      <c r="BI3" s="1" t="s">
        <v>11</v>
      </c>
      <c r="BJ3" s="1">
        <v>55</v>
      </c>
      <c r="BK3" s="1">
        <v>0</v>
      </c>
      <c r="BN3" s="1" t="s">
        <v>11</v>
      </c>
      <c r="BO3" s="1">
        <v>107</v>
      </c>
      <c r="BP3" s="1">
        <v>0</v>
      </c>
      <c r="BS3" s="2" t="s">
        <v>13</v>
      </c>
      <c r="BT3" s="4">
        <v>14</v>
      </c>
      <c r="BU3" s="7">
        <v>0</v>
      </c>
    </row>
    <row r="4" spans="1:73" x14ac:dyDescent="0.2">
      <c r="A4" t="s">
        <v>14</v>
      </c>
      <c r="B4">
        <v>2</v>
      </c>
      <c r="C4">
        <v>0</v>
      </c>
      <c r="F4" s="4" t="s">
        <v>15</v>
      </c>
      <c r="G4">
        <v>13</v>
      </c>
      <c r="H4">
        <v>0</v>
      </c>
      <c r="K4" s="3" t="s">
        <v>16</v>
      </c>
      <c r="L4">
        <v>9</v>
      </c>
      <c r="M4">
        <v>0</v>
      </c>
      <c r="P4" s="2" t="s">
        <v>17</v>
      </c>
      <c r="Q4">
        <v>6</v>
      </c>
      <c r="R4">
        <v>0</v>
      </c>
      <c r="U4" s="2" t="s">
        <v>18</v>
      </c>
      <c r="V4">
        <v>2</v>
      </c>
      <c r="W4">
        <v>0</v>
      </c>
      <c r="Z4" s="3" t="s">
        <v>19</v>
      </c>
      <c r="AA4" s="1">
        <v>92</v>
      </c>
      <c r="AB4" s="1">
        <v>4</v>
      </c>
      <c r="AE4" s="2" t="s">
        <v>20</v>
      </c>
      <c r="AF4">
        <v>2</v>
      </c>
      <c r="AG4">
        <v>0</v>
      </c>
      <c r="AJ4" s="1" t="s">
        <v>21</v>
      </c>
      <c r="AK4" s="1">
        <v>25</v>
      </c>
      <c r="AL4">
        <v>0</v>
      </c>
      <c r="AO4" s="4" t="s">
        <v>22</v>
      </c>
      <c r="AP4">
        <v>17</v>
      </c>
      <c r="AQ4">
        <v>0</v>
      </c>
      <c r="AT4" s="3" t="s">
        <v>20</v>
      </c>
      <c r="AU4" s="1">
        <v>16</v>
      </c>
      <c r="AV4" s="4">
        <v>0</v>
      </c>
      <c r="AY4" s="2" t="s">
        <v>17</v>
      </c>
      <c r="AZ4">
        <v>6</v>
      </c>
      <c r="BA4">
        <v>0</v>
      </c>
      <c r="BD4" s="2" t="s">
        <v>23</v>
      </c>
      <c r="BE4">
        <v>5</v>
      </c>
      <c r="BF4">
        <v>0</v>
      </c>
      <c r="BI4" s="4" t="s">
        <v>21</v>
      </c>
      <c r="BJ4" s="4">
        <v>1</v>
      </c>
      <c r="BK4" s="4">
        <v>0</v>
      </c>
      <c r="BN4" s="4" t="s">
        <v>21</v>
      </c>
      <c r="BO4" s="4">
        <v>1</v>
      </c>
      <c r="BP4" s="4">
        <v>0</v>
      </c>
      <c r="BS4" s="2" t="s">
        <v>23</v>
      </c>
      <c r="BT4" s="4">
        <v>0</v>
      </c>
      <c r="BU4" s="5">
        <v>0</v>
      </c>
    </row>
    <row r="5" spans="1:73" x14ac:dyDescent="0.2">
      <c r="A5" s="1" t="s">
        <v>24</v>
      </c>
      <c r="B5" s="1">
        <v>0</v>
      </c>
      <c r="C5" s="1">
        <v>0</v>
      </c>
      <c r="F5" s="1" t="s">
        <v>25</v>
      </c>
      <c r="G5" s="1">
        <v>0</v>
      </c>
      <c r="H5" s="1">
        <v>0</v>
      </c>
      <c r="K5" s="3" t="s">
        <v>26</v>
      </c>
      <c r="L5">
        <v>0</v>
      </c>
      <c r="M5">
        <v>0</v>
      </c>
      <c r="P5" s="3" t="s">
        <v>27</v>
      </c>
      <c r="Q5" s="1">
        <v>192</v>
      </c>
      <c r="R5" s="1">
        <v>9</v>
      </c>
      <c r="U5" s="3" t="s">
        <v>28</v>
      </c>
      <c r="V5" s="5">
        <v>0</v>
      </c>
      <c r="W5" s="5">
        <v>0</v>
      </c>
      <c r="Z5" s="3" t="s">
        <v>29</v>
      </c>
      <c r="AA5" s="1">
        <v>0</v>
      </c>
      <c r="AB5" s="1">
        <v>0</v>
      </c>
      <c r="AE5" s="3" t="s">
        <v>30</v>
      </c>
      <c r="AF5" s="1">
        <v>1</v>
      </c>
      <c r="AG5" s="1">
        <v>0</v>
      </c>
      <c r="AJ5" s="1" t="s">
        <v>31</v>
      </c>
      <c r="AK5" s="1">
        <v>0</v>
      </c>
      <c r="AL5" s="1">
        <v>0</v>
      </c>
      <c r="AO5" s="1" t="s">
        <v>32</v>
      </c>
      <c r="AP5" s="1">
        <v>78</v>
      </c>
      <c r="AQ5" s="1">
        <v>0</v>
      </c>
      <c r="AT5" s="3" t="s">
        <v>30</v>
      </c>
      <c r="AU5" s="1">
        <v>132</v>
      </c>
      <c r="AV5" s="1">
        <v>2</v>
      </c>
      <c r="AY5" s="3" t="s">
        <v>27</v>
      </c>
      <c r="AZ5">
        <v>26</v>
      </c>
      <c r="BA5">
        <v>1</v>
      </c>
      <c r="BD5" s="3" t="s">
        <v>33</v>
      </c>
      <c r="BE5">
        <v>0</v>
      </c>
      <c r="BF5">
        <v>0</v>
      </c>
      <c r="BI5" s="1" t="s">
        <v>31</v>
      </c>
      <c r="BJ5" s="1">
        <v>14</v>
      </c>
      <c r="BK5" s="1">
        <v>0</v>
      </c>
      <c r="BN5" s="1" t="s">
        <v>31</v>
      </c>
      <c r="BO5" s="1">
        <v>0</v>
      </c>
      <c r="BP5" s="1">
        <v>0</v>
      </c>
      <c r="BS5" s="2" t="s">
        <v>33</v>
      </c>
      <c r="BT5" s="4">
        <v>0</v>
      </c>
      <c r="BU5" s="7">
        <v>0</v>
      </c>
    </row>
    <row r="6" spans="1:73" x14ac:dyDescent="0.2">
      <c r="A6" t="s">
        <v>34</v>
      </c>
      <c r="B6">
        <v>2</v>
      </c>
      <c r="C6">
        <v>0</v>
      </c>
      <c r="F6" s="4" t="s">
        <v>35</v>
      </c>
      <c r="G6">
        <v>0</v>
      </c>
      <c r="H6">
        <v>0</v>
      </c>
      <c r="K6" s="2" t="s">
        <v>36</v>
      </c>
      <c r="L6">
        <v>0</v>
      </c>
      <c r="M6">
        <v>0</v>
      </c>
      <c r="P6" s="2" t="s">
        <v>37</v>
      </c>
      <c r="Q6">
        <v>34</v>
      </c>
      <c r="R6">
        <v>0</v>
      </c>
      <c r="U6" s="2" t="s">
        <v>38</v>
      </c>
      <c r="V6">
        <v>0</v>
      </c>
      <c r="W6">
        <v>0</v>
      </c>
      <c r="Z6" s="2" t="s">
        <v>39</v>
      </c>
      <c r="AA6">
        <v>0</v>
      </c>
      <c r="AB6">
        <v>0</v>
      </c>
      <c r="AE6" s="2" t="s">
        <v>40</v>
      </c>
      <c r="AF6">
        <v>0</v>
      </c>
      <c r="AG6">
        <v>0</v>
      </c>
      <c r="AJ6" s="4" t="s">
        <v>41</v>
      </c>
      <c r="AK6">
        <v>0</v>
      </c>
      <c r="AL6">
        <v>0</v>
      </c>
      <c r="AO6" s="4" t="s">
        <v>42</v>
      </c>
      <c r="AP6">
        <v>4</v>
      </c>
      <c r="AQ6">
        <v>0</v>
      </c>
      <c r="AT6" s="2" t="s">
        <v>40</v>
      </c>
      <c r="AU6" s="4">
        <v>21</v>
      </c>
      <c r="AV6" s="4">
        <v>0</v>
      </c>
      <c r="AY6" s="2" t="s">
        <v>37</v>
      </c>
      <c r="AZ6">
        <v>6</v>
      </c>
      <c r="BA6">
        <v>0</v>
      </c>
      <c r="BD6" s="2" t="s">
        <v>43</v>
      </c>
      <c r="BE6">
        <v>0</v>
      </c>
      <c r="BF6">
        <v>0</v>
      </c>
      <c r="BI6" s="4" t="s">
        <v>41</v>
      </c>
      <c r="BJ6" s="4">
        <v>0</v>
      </c>
      <c r="BK6" s="4">
        <v>0</v>
      </c>
      <c r="BN6" s="4" t="s">
        <v>41</v>
      </c>
      <c r="BO6" s="4">
        <v>0</v>
      </c>
      <c r="BP6" s="4">
        <v>0</v>
      </c>
      <c r="BS6" s="2" t="s">
        <v>43</v>
      </c>
      <c r="BT6" s="4">
        <v>0</v>
      </c>
      <c r="BU6" s="5">
        <v>0</v>
      </c>
    </row>
    <row r="7" spans="1:73" x14ac:dyDescent="0.2">
      <c r="A7" t="s">
        <v>44</v>
      </c>
      <c r="B7" t="s">
        <v>45</v>
      </c>
      <c r="C7" s="1">
        <v>2</v>
      </c>
      <c r="F7" s="1" t="s">
        <v>11</v>
      </c>
      <c r="G7" s="1">
        <v>265</v>
      </c>
      <c r="H7" s="1">
        <v>9</v>
      </c>
      <c r="K7" s="3" t="s">
        <v>46</v>
      </c>
      <c r="L7">
        <v>114</v>
      </c>
      <c r="M7">
        <v>0</v>
      </c>
      <c r="P7" s="3" t="s">
        <v>9</v>
      </c>
      <c r="Q7" s="1">
        <v>210</v>
      </c>
      <c r="R7" s="1">
        <v>2</v>
      </c>
      <c r="U7" s="4" t="s">
        <v>12</v>
      </c>
      <c r="V7" t="s">
        <v>45</v>
      </c>
      <c r="W7" s="1">
        <v>1</v>
      </c>
      <c r="Z7" s="1" t="s">
        <v>47</v>
      </c>
      <c r="AA7" s="1">
        <v>33</v>
      </c>
      <c r="AB7" s="1">
        <v>0</v>
      </c>
      <c r="AE7" s="1" t="s">
        <v>4</v>
      </c>
      <c r="AF7" s="1">
        <v>62</v>
      </c>
      <c r="AG7" s="1">
        <v>2</v>
      </c>
      <c r="AJ7" s="1" t="s">
        <v>44</v>
      </c>
      <c r="AK7" s="1">
        <v>71</v>
      </c>
      <c r="AL7" s="1">
        <v>5</v>
      </c>
      <c r="AO7" s="3" t="s">
        <v>7</v>
      </c>
      <c r="AP7" s="1">
        <v>133</v>
      </c>
      <c r="AQ7" s="1">
        <v>0</v>
      </c>
      <c r="AT7" s="1" t="s">
        <v>11</v>
      </c>
      <c r="AU7" s="1">
        <v>74</v>
      </c>
      <c r="AV7" s="1">
        <v>0</v>
      </c>
      <c r="AY7" s="1" t="s">
        <v>11</v>
      </c>
      <c r="AZ7" t="s">
        <v>6</v>
      </c>
      <c r="BA7">
        <v>1</v>
      </c>
      <c r="BD7" s="2" t="s">
        <v>9</v>
      </c>
      <c r="BE7">
        <v>83</v>
      </c>
      <c r="BF7">
        <v>32</v>
      </c>
      <c r="BI7" s="3" t="s">
        <v>48</v>
      </c>
      <c r="BJ7" s="1">
        <v>47</v>
      </c>
      <c r="BK7" s="1">
        <v>1</v>
      </c>
      <c r="BN7" s="1" t="s">
        <v>12</v>
      </c>
      <c r="BO7" s="1">
        <v>171</v>
      </c>
      <c r="BP7" s="1">
        <v>0</v>
      </c>
      <c r="BS7" s="4" t="s">
        <v>4</v>
      </c>
      <c r="BT7" s="4" t="s">
        <v>6</v>
      </c>
      <c r="BU7" s="7">
        <v>2</v>
      </c>
    </row>
    <row r="8" spans="1:73" x14ac:dyDescent="0.2">
      <c r="A8" s="1" t="s">
        <v>49</v>
      </c>
      <c r="B8" s="1">
        <v>34</v>
      </c>
      <c r="C8">
        <v>0</v>
      </c>
      <c r="F8" s="4" t="s">
        <v>21</v>
      </c>
      <c r="G8">
        <v>16</v>
      </c>
      <c r="H8">
        <v>0</v>
      </c>
      <c r="K8" s="2" t="s">
        <v>50</v>
      </c>
      <c r="L8">
        <v>14</v>
      </c>
      <c r="M8">
        <v>0</v>
      </c>
      <c r="P8" s="2" t="s">
        <v>19</v>
      </c>
      <c r="Q8">
        <v>9</v>
      </c>
      <c r="R8">
        <v>0</v>
      </c>
      <c r="U8" s="1" t="s">
        <v>22</v>
      </c>
      <c r="V8" s="1">
        <v>154</v>
      </c>
      <c r="W8">
        <v>0</v>
      </c>
      <c r="Z8" s="4" t="s">
        <v>51</v>
      </c>
      <c r="AA8">
        <v>7</v>
      </c>
      <c r="AB8">
        <v>0</v>
      </c>
      <c r="AE8" s="4" t="s">
        <v>15</v>
      </c>
      <c r="AF8">
        <v>8</v>
      </c>
      <c r="AG8">
        <v>0</v>
      </c>
      <c r="AJ8" s="4" t="s">
        <v>49</v>
      </c>
      <c r="AK8">
        <v>8</v>
      </c>
      <c r="AL8">
        <v>0</v>
      </c>
      <c r="AO8" s="2" t="s">
        <v>17</v>
      </c>
      <c r="AP8">
        <v>7</v>
      </c>
      <c r="AQ8">
        <v>0</v>
      </c>
      <c r="AT8" s="4" t="s">
        <v>21</v>
      </c>
      <c r="AU8" s="4">
        <v>23</v>
      </c>
      <c r="AV8" s="4">
        <v>0</v>
      </c>
      <c r="AY8" s="4" t="s">
        <v>21</v>
      </c>
      <c r="AZ8">
        <v>6</v>
      </c>
      <c r="BA8">
        <v>0</v>
      </c>
      <c r="BD8" s="3" t="s">
        <v>19</v>
      </c>
      <c r="BE8">
        <v>32</v>
      </c>
      <c r="BF8">
        <v>1</v>
      </c>
      <c r="BI8" s="2" t="s">
        <v>52</v>
      </c>
      <c r="BJ8" s="4">
        <v>1</v>
      </c>
      <c r="BK8" s="4">
        <v>0</v>
      </c>
      <c r="BN8" s="4" t="s">
        <v>22</v>
      </c>
      <c r="BO8" s="4">
        <v>12</v>
      </c>
      <c r="BP8" s="4">
        <v>0</v>
      </c>
      <c r="BS8" s="4" t="s">
        <v>15</v>
      </c>
      <c r="BT8" s="4">
        <v>5</v>
      </c>
      <c r="BU8" s="5">
        <v>0</v>
      </c>
    </row>
    <row r="9" spans="1:73" x14ac:dyDescent="0.2">
      <c r="A9" s="1" t="s">
        <v>53</v>
      </c>
      <c r="B9" s="1">
        <v>3</v>
      </c>
      <c r="C9" s="1">
        <v>0</v>
      </c>
      <c r="F9" s="1" t="s">
        <v>31</v>
      </c>
      <c r="G9" s="1">
        <v>0</v>
      </c>
      <c r="H9" s="1">
        <v>0</v>
      </c>
      <c r="K9" s="3" t="s">
        <v>54</v>
      </c>
      <c r="L9" s="6">
        <v>0</v>
      </c>
      <c r="M9" s="6">
        <v>0</v>
      </c>
      <c r="P9" s="3" t="s">
        <v>29</v>
      </c>
      <c r="Q9" s="1">
        <v>0</v>
      </c>
      <c r="R9" s="1">
        <v>0</v>
      </c>
      <c r="U9" s="1" t="s">
        <v>32</v>
      </c>
      <c r="V9" s="1">
        <v>169</v>
      </c>
      <c r="W9" s="1">
        <v>0</v>
      </c>
      <c r="Z9" s="1" t="s">
        <v>55</v>
      </c>
      <c r="AA9" s="1">
        <v>0</v>
      </c>
      <c r="AB9" s="1">
        <v>0</v>
      </c>
      <c r="AE9" s="1" t="s">
        <v>25</v>
      </c>
      <c r="AF9" s="1">
        <v>62</v>
      </c>
      <c r="AG9" s="1">
        <v>0</v>
      </c>
      <c r="AJ9" s="1" t="s">
        <v>53</v>
      </c>
      <c r="AK9" s="1">
        <v>117</v>
      </c>
      <c r="AL9" s="1">
        <v>0</v>
      </c>
      <c r="AO9" s="3" t="s">
        <v>27</v>
      </c>
      <c r="AP9" s="1">
        <v>292</v>
      </c>
      <c r="AQ9" s="1">
        <v>1</v>
      </c>
      <c r="AT9" s="1" t="s">
        <v>31</v>
      </c>
      <c r="AU9" s="1">
        <v>2</v>
      </c>
      <c r="AV9" s="1">
        <v>0</v>
      </c>
      <c r="AY9" s="1" t="s">
        <v>31</v>
      </c>
      <c r="AZ9">
        <v>31</v>
      </c>
      <c r="BA9" s="1">
        <v>0</v>
      </c>
      <c r="BD9" s="3" t="s">
        <v>29</v>
      </c>
      <c r="BE9">
        <v>0</v>
      </c>
      <c r="BF9">
        <v>0</v>
      </c>
      <c r="BI9" s="3" t="s">
        <v>56</v>
      </c>
      <c r="BJ9" s="1">
        <v>0</v>
      </c>
      <c r="BK9" s="1">
        <v>0</v>
      </c>
      <c r="BN9" s="1" t="s">
        <v>32</v>
      </c>
      <c r="BO9" s="1">
        <v>17</v>
      </c>
      <c r="BP9" s="1">
        <v>0</v>
      </c>
      <c r="BS9" s="4" t="s">
        <v>25</v>
      </c>
      <c r="BT9" s="4">
        <v>15</v>
      </c>
      <c r="BU9" s="7">
        <v>0</v>
      </c>
    </row>
    <row r="10" spans="1:73" x14ac:dyDescent="0.2">
      <c r="A10" t="s">
        <v>57</v>
      </c>
      <c r="B10">
        <v>0</v>
      </c>
      <c r="C10">
        <v>0</v>
      </c>
      <c r="F10" s="4" t="s">
        <v>41</v>
      </c>
      <c r="G10">
        <v>0</v>
      </c>
      <c r="H10">
        <v>2</v>
      </c>
      <c r="K10" s="2" t="s">
        <v>58</v>
      </c>
      <c r="L10" s="6">
        <v>0</v>
      </c>
      <c r="M10" s="6">
        <v>0</v>
      </c>
      <c r="P10" s="2" t="s">
        <v>39</v>
      </c>
      <c r="Q10">
        <v>0</v>
      </c>
      <c r="R10">
        <v>0</v>
      </c>
      <c r="U10" s="4" t="s">
        <v>42</v>
      </c>
      <c r="V10">
        <v>25</v>
      </c>
      <c r="W10">
        <v>0</v>
      </c>
      <c r="Z10" s="4" t="s">
        <v>59</v>
      </c>
      <c r="AA10">
        <v>0</v>
      </c>
      <c r="AB10">
        <v>0</v>
      </c>
      <c r="AE10" s="4" t="s">
        <v>35</v>
      </c>
      <c r="AF10">
        <v>1</v>
      </c>
      <c r="AG10">
        <v>0</v>
      </c>
      <c r="AJ10" s="4" t="s">
        <v>57</v>
      </c>
      <c r="AK10">
        <v>2</v>
      </c>
      <c r="AL10">
        <v>0</v>
      </c>
      <c r="AO10" s="2" t="s">
        <v>37</v>
      </c>
      <c r="AP10">
        <v>19</v>
      </c>
      <c r="AQ10">
        <v>0</v>
      </c>
      <c r="AT10" s="4" t="s">
        <v>41</v>
      </c>
      <c r="AU10" s="4">
        <v>1</v>
      </c>
      <c r="AV10" s="4">
        <v>0</v>
      </c>
      <c r="AY10" s="4" t="s">
        <v>41</v>
      </c>
      <c r="AZ10">
        <v>1</v>
      </c>
      <c r="BA10">
        <v>0</v>
      </c>
      <c r="BD10" s="2" t="s">
        <v>39</v>
      </c>
      <c r="BE10">
        <v>0</v>
      </c>
      <c r="BF10">
        <v>0</v>
      </c>
      <c r="BI10" s="2" t="s">
        <v>60</v>
      </c>
      <c r="BJ10" s="4">
        <v>0</v>
      </c>
      <c r="BK10" s="4">
        <v>0</v>
      </c>
      <c r="BN10" s="4" t="s">
        <v>42</v>
      </c>
      <c r="BO10" s="4">
        <v>0</v>
      </c>
      <c r="BP10" s="4">
        <v>0</v>
      </c>
      <c r="BS10" s="4" t="s">
        <v>35</v>
      </c>
      <c r="BT10" s="4">
        <v>0</v>
      </c>
      <c r="BU10" s="5">
        <v>0</v>
      </c>
    </row>
    <row r="11" spans="1:73" x14ac:dyDescent="0.2">
      <c r="A11" s="1" t="s">
        <v>61</v>
      </c>
      <c r="B11" s="1">
        <v>158</v>
      </c>
      <c r="C11" s="1">
        <v>1</v>
      </c>
      <c r="F11" s="2" t="s">
        <v>62</v>
      </c>
      <c r="G11" t="s">
        <v>6</v>
      </c>
      <c r="H11" t="s">
        <v>63</v>
      </c>
      <c r="K11" s="1" t="s">
        <v>4</v>
      </c>
      <c r="L11">
        <v>147</v>
      </c>
      <c r="M11">
        <v>0</v>
      </c>
      <c r="P11" s="3" t="s">
        <v>10</v>
      </c>
      <c r="Q11" s="1">
        <v>76</v>
      </c>
      <c r="R11" s="1">
        <v>2</v>
      </c>
      <c r="U11" s="1" t="s">
        <v>64</v>
      </c>
      <c r="V11" s="1">
        <v>0</v>
      </c>
      <c r="W11" s="1">
        <v>0</v>
      </c>
      <c r="Z11" s="1" t="s">
        <v>64</v>
      </c>
      <c r="AA11" s="1">
        <v>49</v>
      </c>
      <c r="AB11" s="1">
        <v>0</v>
      </c>
      <c r="AE11" s="1" t="s">
        <v>62</v>
      </c>
      <c r="AF11" s="1">
        <v>266</v>
      </c>
      <c r="AG11" s="1">
        <v>3</v>
      </c>
      <c r="AJ11" s="4" t="s">
        <v>65</v>
      </c>
      <c r="AK11" t="s">
        <v>6</v>
      </c>
      <c r="AL11" s="1">
        <v>0</v>
      </c>
      <c r="AO11" s="2" t="s">
        <v>9</v>
      </c>
      <c r="AP11" t="s">
        <v>45</v>
      </c>
      <c r="AQ11" s="1">
        <v>141</v>
      </c>
      <c r="AT11" s="3" t="s">
        <v>13</v>
      </c>
      <c r="AU11" s="1">
        <v>10</v>
      </c>
      <c r="AV11" s="1">
        <v>0</v>
      </c>
      <c r="AY11" s="2" t="s">
        <v>66</v>
      </c>
      <c r="AZ11">
        <v>13</v>
      </c>
      <c r="BA11">
        <v>102</v>
      </c>
      <c r="BI11" s="3" t="s">
        <v>46</v>
      </c>
      <c r="BJ11" s="1">
        <v>10</v>
      </c>
      <c r="BK11" s="1">
        <v>0</v>
      </c>
      <c r="BN11" s="1" t="s">
        <v>61</v>
      </c>
      <c r="BO11" s="1">
        <v>79</v>
      </c>
      <c r="BP11" s="1">
        <v>4</v>
      </c>
      <c r="BS11" s="2" t="s">
        <v>7</v>
      </c>
      <c r="BT11" s="4">
        <v>137</v>
      </c>
      <c r="BU11" s="7">
        <v>1</v>
      </c>
    </row>
    <row r="12" spans="1:73" x14ac:dyDescent="0.2">
      <c r="A12" t="s">
        <v>67</v>
      </c>
      <c r="B12">
        <v>34</v>
      </c>
      <c r="C12">
        <v>7</v>
      </c>
      <c r="F12" s="3" t="s">
        <v>68</v>
      </c>
      <c r="G12" s="1">
        <v>32</v>
      </c>
      <c r="H12" s="1">
        <v>16</v>
      </c>
      <c r="K12" s="4" t="s">
        <v>15</v>
      </c>
      <c r="L12">
        <v>32</v>
      </c>
      <c r="M12">
        <v>0</v>
      </c>
      <c r="P12" s="2" t="s">
        <v>20</v>
      </c>
      <c r="Q12">
        <v>2</v>
      </c>
      <c r="R12">
        <v>0</v>
      </c>
      <c r="U12" s="4" t="s">
        <v>69</v>
      </c>
      <c r="V12">
        <v>0</v>
      </c>
      <c r="W12">
        <v>0</v>
      </c>
      <c r="Z12" s="4" t="s">
        <v>69</v>
      </c>
      <c r="AA12">
        <v>0</v>
      </c>
      <c r="AB12">
        <v>0</v>
      </c>
      <c r="AE12" s="4" t="s">
        <v>68</v>
      </c>
      <c r="AF12">
        <v>11</v>
      </c>
      <c r="AG12">
        <v>0</v>
      </c>
      <c r="AJ12" s="1" t="s">
        <v>70</v>
      </c>
      <c r="AK12" s="1">
        <v>43</v>
      </c>
      <c r="AL12">
        <v>0</v>
      </c>
      <c r="AO12" s="3" t="s">
        <v>19</v>
      </c>
      <c r="AP12" s="1">
        <v>64</v>
      </c>
      <c r="AQ12">
        <v>3</v>
      </c>
      <c r="AT12" s="2" t="s">
        <v>23</v>
      </c>
      <c r="AU12" s="4">
        <v>0</v>
      </c>
      <c r="AV12" s="4">
        <v>0</v>
      </c>
      <c r="AY12" s="3" t="s">
        <v>71</v>
      </c>
      <c r="AZ12">
        <v>0</v>
      </c>
      <c r="BA12">
        <v>1</v>
      </c>
      <c r="BI12" s="2" t="s">
        <v>50</v>
      </c>
      <c r="BJ12" s="4">
        <v>0</v>
      </c>
      <c r="BK12" s="4">
        <v>0</v>
      </c>
      <c r="BN12" s="4" t="s">
        <v>67</v>
      </c>
      <c r="BO12" s="4">
        <v>5</v>
      </c>
      <c r="BP12" s="4">
        <v>0</v>
      </c>
      <c r="BS12" s="2" t="s">
        <v>17</v>
      </c>
      <c r="BT12" s="4">
        <v>10</v>
      </c>
      <c r="BU12" s="5">
        <v>0</v>
      </c>
    </row>
    <row r="13" spans="1:73" x14ac:dyDescent="0.2">
      <c r="A13" s="1" t="s">
        <v>72</v>
      </c>
      <c r="B13" s="1">
        <v>0</v>
      </c>
      <c r="C13" s="1">
        <v>0</v>
      </c>
      <c r="F13" s="3" t="s">
        <v>73</v>
      </c>
      <c r="G13" s="1">
        <v>0</v>
      </c>
      <c r="H13" s="1">
        <v>0</v>
      </c>
      <c r="K13" s="1" t="s">
        <v>25</v>
      </c>
      <c r="L13">
        <v>0</v>
      </c>
      <c r="M13" s="1">
        <v>0</v>
      </c>
      <c r="P13" s="3" t="s">
        <v>30</v>
      </c>
      <c r="Q13" s="1">
        <v>57</v>
      </c>
      <c r="R13" s="1">
        <v>14</v>
      </c>
      <c r="U13" s="1" t="s">
        <v>74</v>
      </c>
      <c r="V13" s="1">
        <v>49</v>
      </c>
      <c r="W13" s="1">
        <v>0</v>
      </c>
      <c r="Z13" s="1" t="s">
        <v>74</v>
      </c>
      <c r="AA13" s="1">
        <v>65</v>
      </c>
      <c r="AB13" s="1">
        <v>0</v>
      </c>
      <c r="AE13" s="1" t="s">
        <v>73</v>
      </c>
      <c r="AF13" s="1">
        <v>16</v>
      </c>
      <c r="AG13" s="1">
        <v>0</v>
      </c>
      <c r="AJ13" s="1" t="s">
        <v>75</v>
      </c>
      <c r="AK13" s="1">
        <v>159</v>
      </c>
      <c r="AL13" s="1">
        <v>0</v>
      </c>
      <c r="AO13" s="3" t="s">
        <v>29</v>
      </c>
      <c r="AP13" s="1">
        <v>0</v>
      </c>
      <c r="AQ13" s="1">
        <v>0</v>
      </c>
      <c r="AT13" s="3" t="s">
        <v>33</v>
      </c>
      <c r="AU13" s="1">
        <v>0</v>
      </c>
      <c r="AV13" s="1">
        <v>0</v>
      </c>
      <c r="AY13" s="2" t="s">
        <v>76</v>
      </c>
      <c r="AZ13">
        <v>280</v>
      </c>
      <c r="BA13">
        <v>91</v>
      </c>
      <c r="BI13" s="2" t="s">
        <v>54</v>
      </c>
      <c r="BJ13" s="4" t="s">
        <v>6</v>
      </c>
      <c r="BK13" s="1">
        <v>0</v>
      </c>
      <c r="BN13" s="4" t="s">
        <v>72</v>
      </c>
      <c r="BO13" s="4" t="s">
        <v>6</v>
      </c>
      <c r="BP13" s="1">
        <v>3</v>
      </c>
      <c r="BS13" s="2" t="s">
        <v>27</v>
      </c>
      <c r="BT13" s="4">
        <v>0</v>
      </c>
      <c r="BU13" s="7">
        <v>0</v>
      </c>
    </row>
    <row r="14" spans="1:73" x14ac:dyDescent="0.2">
      <c r="A14" t="s">
        <v>77</v>
      </c>
      <c r="B14">
        <v>0</v>
      </c>
      <c r="C14">
        <v>0</v>
      </c>
      <c r="F14" s="2" t="s">
        <v>78</v>
      </c>
      <c r="G14">
        <v>0</v>
      </c>
      <c r="H14">
        <v>5</v>
      </c>
      <c r="K14" s="4" t="s">
        <v>35</v>
      </c>
      <c r="L14">
        <v>0</v>
      </c>
      <c r="M14">
        <v>0</v>
      </c>
      <c r="P14" s="2" t="s">
        <v>40</v>
      </c>
      <c r="Q14">
        <v>6</v>
      </c>
      <c r="R14">
        <v>1</v>
      </c>
      <c r="U14" s="4" t="s">
        <v>79</v>
      </c>
      <c r="V14">
        <v>0</v>
      </c>
      <c r="W14">
        <v>0</v>
      </c>
      <c r="Z14" s="4" t="s">
        <v>79</v>
      </c>
      <c r="AA14">
        <v>22</v>
      </c>
      <c r="AB14">
        <v>0</v>
      </c>
      <c r="AE14" s="4" t="s">
        <v>78</v>
      </c>
      <c r="AF14">
        <v>1</v>
      </c>
      <c r="AG14">
        <v>0</v>
      </c>
      <c r="AJ14" s="4" t="s">
        <v>80</v>
      </c>
      <c r="AK14">
        <v>10</v>
      </c>
      <c r="AL14">
        <v>0</v>
      </c>
      <c r="AO14" s="2" t="s">
        <v>39</v>
      </c>
      <c r="AP14">
        <v>4</v>
      </c>
      <c r="AQ14">
        <v>0</v>
      </c>
      <c r="AT14" s="2" t="s">
        <v>43</v>
      </c>
      <c r="AU14" s="4">
        <v>0</v>
      </c>
      <c r="AV14" s="4">
        <v>0</v>
      </c>
      <c r="AY14" s="3" t="s">
        <v>81</v>
      </c>
      <c r="AZ14">
        <v>27</v>
      </c>
      <c r="BA14">
        <v>0</v>
      </c>
      <c r="BI14" s="3" t="s">
        <v>58</v>
      </c>
      <c r="BJ14" s="1">
        <v>40</v>
      </c>
      <c r="BK14" s="4">
        <v>0</v>
      </c>
      <c r="BN14" s="1" t="s">
        <v>77</v>
      </c>
      <c r="BO14" s="1">
        <v>10</v>
      </c>
      <c r="BP14" s="4">
        <v>1</v>
      </c>
      <c r="BS14" s="2" t="s">
        <v>37</v>
      </c>
      <c r="BT14" s="4">
        <v>0</v>
      </c>
      <c r="BU14" s="5">
        <v>0</v>
      </c>
    </row>
    <row r="15" spans="1:73" x14ac:dyDescent="0.2">
      <c r="A15" s="1" t="s">
        <v>47</v>
      </c>
      <c r="B15" s="1">
        <v>197</v>
      </c>
      <c r="C15" s="1">
        <v>3</v>
      </c>
      <c r="F15" s="3" t="s">
        <v>13</v>
      </c>
      <c r="G15" s="1">
        <v>6</v>
      </c>
      <c r="H15" s="1">
        <v>0</v>
      </c>
      <c r="K15" s="3" t="s">
        <v>8</v>
      </c>
      <c r="L15" s="1">
        <v>80</v>
      </c>
      <c r="M15" s="1">
        <v>0</v>
      </c>
      <c r="P15" s="3" t="s">
        <v>66</v>
      </c>
      <c r="Q15" s="1">
        <v>4</v>
      </c>
      <c r="R15" s="1">
        <v>0</v>
      </c>
      <c r="U15" s="1" t="s">
        <v>47</v>
      </c>
      <c r="V15" s="1">
        <v>70</v>
      </c>
      <c r="W15" s="1">
        <v>5</v>
      </c>
      <c r="Z15" s="3" t="s">
        <v>7</v>
      </c>
      <c r="AA15" s="1">
        <v>20</v>
      </c>
      <c r="AB15" s="1">
        <v>1</v>
      </c>
      <c r="AJ15" s="1" t="s">
        <v>64</v>
      </c>
      <c r="AK15" s="1">
        <v>17</v>
      </c>
      <c r="AL15" s="1">
        <v>0</v>
      </c>
      <c r="AO15" s="1" t="s">
        <v>82</v>
      </c>
      <c r="AP15" s="1">
        <v>39</v>
      </c>
      <c r="AQ15" s="1">
        <v>0</v>
      </c>
      <c r="AT15" s="3" t="s">
        <v>46</v>
      </c>
      <c r="AU15" s="1">
        <v>0</v>
      </c>
      <c r="AV15" s="1">
        <v>0</v>
      </c>
      <c r="AY15" s="2" t="s">
        <v>10</v>
      </c>
      <c r="AZ15">
        <v>74</v>
      </c>
      <c r="BA15">
        <v>7</v>
      </c>
      <c r="BI15" s="3" t="s">
        <v>83</v>
      </c>
      <c r="BJ15" s="1">
        <v>77</v>
      </c>
      <c r="BK15" s="1">
        <v>4</v>
      </c>
      <c r="BN15" s="1" t="s">
        <v>82</v>
      </c>
      <c r="BO15" s="1">
        <v>17</v>
      </c>
      <c r="BP15" s="1">
        <v>4</v>
      </c>
      <c r="BS15" s="4" t="s">
        <v>44</v>
      </c>
      <c r="BT15" s="4">
        <v>108</v>
      </c>
      <c r="BU15" s="7">
        <v>1</v>
      </c>
    </row>
    <row r="16" spans="1:73" x14ac:dyDescent="0.2">
      <c r="A16" t="s">
        <v>51</v>
      </c>
      <c r="B16">
        <v>24</v>
      </c>
      <c r="C16">
        <v>0</v>
      </c>
      <c r="F16" s="2" t="s">
        <v>23</v>
      </c>
      <c r="G16">
        <v>0</v>
      </c>
      <c r="H16">
        <v>0</v>
      </c>
      <c r="K16" s="2" t="s">
        <v>18</v>
      </c>
      <c r="L16" s="4">
        <v>3</v>
      </c>
      <c r="M16">
        <v>0</v>
      </c>
      <c r="P16" s="2" t="s">
        <v>71</v>
      </c>
      <c r="Q16">
        <v>3</v>
      </c>
      <c r="R16">
        <v>0</v>
      </c>
      <c r="U16" s="4" t="s">
        <v>51</v>
      </c>
      <c r="V16">
        <v>8</v>
      </c>
      <c r="W16">
        <v>0</v>
      </c>
      <c r="Z16" s="2" t="s">
        <v>17</v>
      </c>
      <c r="AA16">
        <v>3</v>
      </c>
      <c r="AB16">
        <v>0</v>
      </c>
      <c r="AJ16" s="4" t="s">
        <v>69</v>
      </c>
      <c r="AK16">
        <v>0</v>
      </c>
      <c r="AL16">
        <v>0</v>
      </c>
      <c r="AO16" s="4" t="s">
        <v>84</v>
      </c>
      <c r="AP16">
        <v>8</v>
      </c>
      <c r="AQ16">
        <v>0</v>
      </c>
      <c r="AT16" s="2" t="s">
        <v>50</v>
      </c>
      <c r="AU16" s="4">
        <v>0</v>
      </c>
      <c r="AV16" s="4">
        <v>0</v>
      </c>
      <c r="AY16" s="3" t="s">
        <v>20</v>
      </c>
      <c r="AZ16">
        <v>10</v>
      </c>
      <c r="BA16">
        <v>0</v>
      </c>
      <c r="BI16" s="4" t="s">
        <v>85</v>
      </c>
      <c r="BJ16" s="4">
        <v>7</v>
      </c>
      <c r="BK16" s="4">
        <v>0</v>
      </c>
      <c r="BN16" s="4" t="s">
        <v>84</v>
      </c>
      <c r="BO16" s="4">
        <v>2</v>
      </c>
      <c r="BP16" s="4">
        <v>0</v>
      </c>
      <c r="BS16" s="4" t="s">
        <v>49</v>
      </c>
      <c r="BT16" s="4">
        <v>2</v>
      </c>
      <c r="BU16" s="5">
        <v>0</v>
      </c>
    </row>
    <row r="17" spans="1:73" x14ac:dyDescent="0.2">
      <c r="A17" s="1" t="s">
        <v>55</v>
      </c>
      <c r="B17" s="1">
        <v>0</v>
      </c>
      <c r="C17" s="1">
        <v>0</v>
      </c>
      <c r="F17" s="3" t="s">
        <v>33</v>
      </c>
      <c r="G17" s="1">
        <v>0</v>
      </c>
      <c r="H17" s="1">
        <v>0</v>
      </c>
      <c r="K17" s="3" t="s">
        <v>28</v>
      </c>
      <c r="L17">
        <v>0</v>
      </c>
      <c r="M17">
        <v>0</v>
      </c>
      <c r="P17" s="3" t="s">
        <v>76</v>
      </c>
      <c r="Q17" s="1">
        <v>0</v>
      </c>
      <c r="R17" s="1">
        <v>0</v>
      </c>
      <c r="U17" s="5" t="s">
        <v>55</v>
      </c>
      <c r="V17" s="5">
        <v>0</v>
      </c>
      <c r="W17" s="5">
        <v>0</v>
      </c>
      <c r="Z17" s="3" t="s">
        <v>27</v>
      </c>
      <c r="AA17" s="1">
        <v>0</v>
      </c>
      <c r="AB17" s="1">
        <v>0</v>
      </c>
      <c r="AJ17" s="1" t="s">
        <v>74</v>
      </c>
      <c r="AK17" s="1">
        <v>7</v>
      </c>
      <c r="AL17" s="1">
        <v>0</v>
      </c>
      <c r="AO17" s="1" t="s">
        <v>86</v>
      </c>
      <c r="AP17" s="1">
        <v>0</v>
      </c>
      <c r="AQ17" s="1">
        <v>0</v>
      </c>
      <c r="AT17" s="3" t="s">
        <v>54</v>
      </c>
      <c r="AU17" s="1">
        <v>0</v>
      </c>
      <c r="AV17" s="1">
        <v>0</v>
      </c>
      <c r="AY17" s="3" t="s">
        <v>30</v>
      </c>
      <c r="AZ17">
        <v>32</v>
      </c>
      <c r="BA17">
        <v>1</v>
      </c>
      <c r="BI17" s="3" t="s">
        <v>5</v>
      </c>
      <c r="BJ17" s="1">
        <v>24</v>
      </c>
      <c r="BK17" s="1">
        <v>0</v>
      </c>
      <c r="BN17" s="1" t="s">
        <v>86</v>
      </c>
      <c r="BO17" s="1">
        <v>0</v>
      </c>
      <c r="BP17" s="1">
        <v>0</v>
      </c>
      <c r="BS17" s="4" t="s">
        <v>53</v>
      </c>
      <c r="BT17" s="4">
        <v>0</v>
      </c>
      <c r="BU17" s="7">
        <v>0</v>
      </c>
    </row>
    <row r="18" spans="1:73" x14ac:dyDescent="0.2">
      <c r="A18" t="s">
        <v>59</v>
      </c>
      <c r="B18">
        <v>0</v>
      </c>
      <c r="C18">
        <v>0</v>
      </c>
      <c r="F18" s="2" t="s">
        <v>43</v>
      </c>
      <c r="G18">
        <v>0</v>
      </c>
      <c r="H18">
        <v>0</v>
      </c>
      <c r="K18" s="2" t="s">
        <v>38</v>
      </c>
      <c r="L18">
        <v>0</v>
      </c>
      <c r="M18">
        <v>0</v>
      </c>
      <c r="P18" s="2" t="s">
        <v>81</v>
      </c>
      <c r="Q18">
        <v>0</v>
      </c>
      <c r="R18">
        <v>0</v>
      </c>
      <c r="U18" s="7" t="s">
        <v>59</v>
      </c>
      <c r="V18" s="6">
        <v>0</v>
      </c>
      <c r="W18" s="6">
        <v>0</v>
      </c>
      <c r="Z18" s="2" t="s">
        <v>37</v>
      </c>
      <c r="AA18">
        <v>0</v>
      </c>
      <c r="AB18">
        <v>0</v>
      </c>
      <c r="AJ18" s="4" t="s">
        <v>79</v>
      </c>
      <c r="AK18">
        <v>0</v>
      </c>
      <c r="AL18">
        <v>0</v>
      </c>
      <c r="AO18" s="4" t="s">
        <v>87</v>
      </c>
      <c r="AP18">
        <v>2</v>
      </c>
      <c r="AQ18">
        <v>9</v>
      </c>
      <c r="AT18" s="2" t="s">
        <v>58</v>
      </c>
      <c r="AU18" s="4">
        <v>0</v>
      </c>
      <c r="AV18" s="4">
        <v>0</v>
      </c>
      <c r="AY18" s="2" t="s">
        <v>40</v>
      </c>
      <c r="AZ18">
        <v>6</v>
      </c>
      <c r="BA18">
        <v>0</v>
      </c>
      <c r="BI18" s="2" t="s">
        <v>16</v>
      </c>
      <c r="BJ18" s="4">
        <v>0</v>
      </c>
      <c r="BK18" s="4">
        <v>0</v>
      </c>
      <c r="BN18" s="4" t="s">
        <v>87</v>
      </c>
      <c r="BO18" s="4">
        <v>0</v>
      </c>
      <c r="BP18" s="4">
        <v>0</v>
      </c>
      <c r="BS18" s="4" t="s">
        <v>57</v>
      </c>
      <c r="BT18" s="4">
        <v>0</v>
      </c>
      <c r="BU18" s="5">
        <v>0</v>
      </c>
    </row>
    <row r="19" spans="1:73" x14ac:dyDescent="0.2">
      <c r="A19" t="s">
        <v>12</v>
      </c>
      <c r="B19" t="s">
        <v>6</v>
      </c>
      <c r="C19" s="1">
        <v>5</v>
      </c>
      <c r="F19" s="2" t="s">
        <v>5</v>
      </c>
      <c r="G19" t="s">
        <v>45</v>
      </c>
      <c r="H19" s="1">
        <v>2</v>
      </c>
      <c r="K19" s="1" t="s">
        <v>64</v>
      </c>
      <c r="L19">
        <v>42</v>
      </c>
      <c r="M19">
        <v>0</v>
      </c>
      <c r="P19" s="3" t="s">
        <v>5</v>
      </c>
      <c r="Q19" s="1">
        <v>163</v>
      </c>
      <c r="R19" s="1">
        <v>0</v>
      </c>
      <c r="U19" s="3" t="s">
        <v>46</v>
      </c>
      <c r="V19" s="1">
        <v>0</v>
      </c>
      <c r="W19" s="1">
        <v>0</v>
      </c>
      <c r="Z19" s="3" t="s">
        <v>13</v>
      </c>
      <c r="AA19" s="1">
        <v>0</v>
      </c>
      <c r="AB19" s="1">
        <v>0</v>
      </c>
      <c r="AJ19" s="3" t="s">
        <v>5</v>
      </c>
      <c r="AK19" s="1">
        <v>46</v>
      </c>
      <c r="AL19" s="1">
        <v>0</v>
      </c>
      <c r="AO19" s="2" t="s">
        <v>48</v>
      </c>
      <c r="AP19" t="s">
        <v>45</v>
      </c>
      <c r="AQ19" s="1">
        <v>1</v>
      </c>
      <c r="AT19" s="2" t="s">
        <v>5</v>
      </c>
      <c r="AU19" s="4" t="s">
        <v>45</v>
      </c>
      <c r="AV19" s="1">
        <v>1</v>
      </c>
      <c r="AY19" s="3" t="s">
        <v>46</v>
      </c>
      <c r="AZ19">
        <v>4</v>
      </c>
      <c r="BA19">
        <v>0</v>
      </c>
      <c r="BI19" s="3" t="s">
        <v>26</v>
      </c>
      <c r="BJ19" s="1">
        <v>0</v>
      </c>
      <c r="BK19" s="1">
        <v>0</v>
      </c>
      <c r="BN19" s="1" t="s">
        <v>62</v>
      </c>
      <c r="BO19" s="1">
        <v>107</v>
      </c>
      <c r="BP19" s="1">
        <v>2</v>
      </c>
      <c r="BS19" s="2" t="s">
        <v>66</v>
      </c>
      <c r="BT19" s="4">
        <v>43</v>
      </c>
      <c r="BU19" s="7">
        <v>1</v>
      </c>
    </row>
    <row r="20" spans="1:73" x14ac:dyDescent="0.2">
      <c r="A20" s="1" t="s">
        <v>22</v>
      </c>
      <c r="B20" s="1">
        <v>234</v>
      </c>
      <c r="C20">
        <v>0</v>
      </c>
      <c r="F20" s="3" t="s">
        <v>16</v>
      </c>
      <c r="G20" s="1">
        <v>55</v>
      </c>
      <c r="H20">
        <v>0</v>
      </c>
      <c r="K20" t="s">
        <v>69</v>
      </c>
      <c r="L20">
        <v>1</v>
      </c>
      <c r="M20">
        <v>0</v>
      </c>
      <c r="P20" s="2" t="s">
        <v>16</v>
      </c>
      <c r="Q20">
        <v>6</v>
      </c>
      <c r="R20">
        <v>0</v>
      </c>
      <c r="U20" s="2" t="s">
        <v>50</v>
      </c>
      <c r="V20">
        <v>0</v>
      </c>
      <c r="W20">
        <v>0</v>
      </c>
      <c r="Z20" s="2" t="s">
        <v>23</v>
      </c>
      <c r="AA20">
        <v>0</v>
      </c>
      <c r="AB20">
        <v>0</v>
      </c>
      <c r="AJ20" s="2" t="s">
        <v>16</v>
      </c>
      <c r="AK20">
        <v>0</v>
      </c>
      <c r="AL20">
        <v>0</v>
      </c>
      <c r="AO20" s="3" t="s">
        <v>52</v>
      </c>
      <c r="AP20" s="1">
        <v>44</v>
      </c>
      <c r="AQ20">
        <v>0</v>
      </c>
      <c r="AT20" s="3" t="s">
        <v>16</v>
      </c>
      <c r="AU20" s="1">
        <v>42</v>
      </c>
      <c r="AV20" s="4">
        <v>0</v>
      </c>
      <c r="AY20" s="2" t="s">
        <v>50</v>
      </c>
      <c r="AZ20">
        <v>0</v>
      </c>
      <c r="BA20">
        <v>0</v>
      </c>
      <c r="BI20" s="2" t="s">
        <v>36</v>
      </c>
      <c r="BJ20" s="4">
        <v>0</v>
      </c>
      <c r="BK20" s="4">
        <v>0</v>
      </c>
      <c r="BN20" s="4" t="s">
        <v>68</v>
      </c>
      <c r="BO20" s="4">
        <v>8</v>
      </c>
      <c r="BP20" s="4">
        <v>0</v>
      </c>
      <c r="BS20" s="2" t="s">
        <v>71</v>
      </c>
      <c r="BT20" s="4">
        <v>3</v>
      </c>
      <c r="BU20" s="5">
        <v>0</v>
      </c>
    </row>
    <row r="21" spans="1:73" x14ac:dyDescent="0.2">
      <c r="A21" s="1" t="s">
        <v>32</v>
      </c>
      <c r="B21" s="1">
        <v>6</v>
      </c>
      <c r="C21" s="1">
        <v>0</v>
      </c>
      <c r="F21" s="3" t="s">
        <v>26</v>
      </c>
      <c r="G21" s="1">
        <v>0</v>
      </c>
      <c r="H21" s="1">
        <v>0</v>
      </c>
      <c r="K21" s="1" t="s">
        <v>74</v>
      </c>
      <c r="L21">
        <v>64</v>
      </c>
      <c r="M21" s="1">
        <v>0</v>
      </c>
      <c r="P21" s="3" t="s">
        <v>26</v>
      </c>
      <c r="Q21" s="1">
        <v>1</v>
      </c>
      <c r="R21" s="1">
        <v>0</v>
      </c>
      <c r="U21" s="3" t="s">
        <v>54</v>
      </c>
      <c r="V21" s="1">
        <v>0</v>
      </c>
      <c r="W21" s="1">
        <v>0</v>
      </c>
      <c r="Z21" s="3" t="s">
        <v>33</v>
      </c>
      <c r="AA21" s="1">
        <v>0</v>
      </c>
      <c r="AB21" s="1">
        <v>0</v>
      </c>
      <c r="AJ21" s="3" t="s">
        <v>26</v>
      </c>
      <c r="AK21" s="1">
        <v>0</v>
      </c>
      <c r="AL21" s="1">
        <v>0</v>
      </c>
      <c r="AO21" s="3" t="s">
        <v>56</v>
      </c>
      <c r="AP21" s="1">
        <v>0</v>
      </c>
      <c r="AQ21" s="1">
        <v>0</v>
      </c>
      <c r="AT21" s="3" t="s">
        <v>26</v>
      </c>
      <c r="AU21" s="1">
        <v>0</v>
      </c>
      <c r="AV21" s="1">
        <v>0</v>
      </c>
      <c r="AY21" s="3" t="s">
        <v>54</v>
      </c>
      <c r="AZ21">
        <v>2</v>
      </c>
      <c r="BA21">
        <v>0</v>
      </c>
      <c r="BI21" s="3" t="s">
        <v>66</v>
      </c>
      <c r="BJ21" s="1">
        <v>61</v>
      </c>
      <c r="BK21" s="1">
        <v>0</v>
      </c>
      <c r="BN21" s="1" t="s">
        <v>73</v>
      </c>
      <c r="BO21" s="1">
        <v>1</v>
      </c>
      <c r="BP21" s="1">
        <v>0</v>
      </c>
      <c r="BS21" s="2" t="s">
        <v>76</v>
      </c>
      <c r="BT21" s="4" t="s">
        <v>45</v>
      </c>
      <c r="BU21" s="7">
        <v>0</v>
      </c>
    </row>
    <row r="22" spans="1:73" x14ac:dyDescent="0.2">
      <c r="A22" t="s">
        <v>42</v>
      </c>
      <c r="B22">
        <v>0</v>
      </c>
      <c r="C22">
        <v>0</v>
      </c>
      <c r="F22" s="2" t="s">
        <v>36</v>
      </c>
      <c r="G22">
        <v>0</v>
      </c>
      <c r="H22">
        <v>0</v>
      </c>
      <c r="K22" t="s">
        <v>79</v>
      </c>
      <c r="L22">
        <v>0</v>
      </c>
      <c r="M22">
        <v>0</v>
      </c>
      <c r="P22" s="2" t="s">
        <v>36</v>
      </c>
      <c r="Q22">
        <v>3</v>
      </c>
      <c r="R22">
        <v>0</v>
      </c>
      <c r="U22" s="2" t="s">
        <v>58</v>
      </c>
      <c r="V22">
        <v>0</v>
      </c>
      <c r="W22">
        <v>0</v>
      </c>
      <c r="Z22" s="2" t="s">
        <v>43</v>
      </c>
      <c r="AA22">
        <v>0</v>
      </c>
      <c r="AB22">
        <v>0</v>
      </c>
      <c r="AJ22" s="2" t="s">
        <v>36</v>
      </c>
      <c r="AK22">
        <v>0</v>
      </c>
      <c r="AL22">
        <v>0</v>
      </c>
      <c r="AO22" s="2" t="s">
        <v>60</v>
      </c>
      <c r="AP22" s="4">
        <v>1</v>
      </c>
      <c r="AQ22" s="4">
        <v>0</v>
      </c>
      <c r="AT22" s="2" t="s">
        <v>36</v>
      </c>
      <c r="AU22" s="4">
        <v>0</v>
      </c>
      <c r="AV22" s="4">
        <v>0</v>
      </c>
      <c r="AY22" s="2" t="s">
        <v>58</v>
      </c>
      <c r="AZ22">
        <v>0</v>
      </c>
      <c r="BA22">
        <v>0</v>
      </c>
      <c r="BI22" s="2" t="s">
        <v>71</v>
      </c>
      <c r="BJ22" s="4">
        <v>6</v>
      </c>
      <c r="BK22" s="4">
        <v>0</v>
      </c>
      <c r="BN22" s="4" t="s">
        <v>78</v>
      </c>
      <c r="BO22" s="4">
        <v>0</v>
      </c>
      <c r="BP22" s="4">
        <v>0</v>
      </c>
      <c r="BS22" s="2" t="s">
        <v>81</v>
      </c>
      <c r="BT22" s="4">
        <v>45</v>
      </c>
      <c r="BU22" s="5">
        <v>0</v>
      </c>
    </row>
    <row r="23" spans="1:73" x14ac:dyDescent="0.2">
      <c r="A23" s="1" t="s">
        <v>65</v>
      </c>
      <c r="B23" s="1">
        <v>222</v>
      </c>
      <c r="C23" s="1">
        <v>22</v>
      </c>
      <c r="F23" s="2" t="s">
        <v>8</v>
      </c>
      <c r="G23" t="s">
        <v>6</v>
      </c>
      <c r="H23" s="1">
        <v>2</v>
      </c>
      <c r="K23" s="1" t="s">
        <v>82</v>
      </c>
      <c r="L23">
        <v>14</v>
      </c>
      <c r="M23">
        <v>2</v>
      </c>
      <c r="P23" s="3" t="s">
        <v>8</v>
      </c>
      <c r="Q23" s="1">
        <v>32</v>
      </c>
      <c r="R23" s="1">
        <v>0</v>
      </c>
      <c r="U23" s="3" t="s">
        <v>13</v>
      </c>
      <c r="V23" s="1">
        <v>0</v>
      </c>
      <c r="W23" s="1">
        <v>0</v>
      </c>
      <c r="Z23" s="4" t="s">
        <v>3</v>
      </c>
      <c r="AA23" t="s">
        <v>6</v>
      </c>
      <c r="AB23" s="1">
        <v>4</v>
      </c>
      <c r="AJ23" s="3" t="s">
        <v>9</v>
      </c>
      <c r="AK23" s="1">
        <v>66</v>
      </c>
      <c r="AL23" s="1">
        <v>71</v>
      </c>
      <c r="AO23" s="1" t="s">
        <v>47</v>
      </c>
      <c r="AP23" s="1">
        <v>25</v>
      </c>
      <c r="AQ23" s="1">
        <v>0</v>
      </c>
      <c r="AT23" s="1" t="s">
        <v>4</v>
      </c>
      <c r="AU23" s="1">
        <v>118</v>
      </c>
      <c r="AV23" s="1">
        <v>0</v>
      </c>
      <c r="BI23" s="3" t="s">
        <v>76</v>
      </c>
      <c r="BJ23" s="1">
        <v>85</v>
      </c>
      <c r="BK23" s="1">
        <v>1</v>
      </c>
      <c r="BN23" s="3" t="s">
        <v>5</v>
      </c>
      <c r="BO23" s="1">
        <v>21</v>
      </c>
      <c r="BP23" s="1">
        <v>0</v>
      </c>
    </row>
    <row r="24" spans="1:73" x14ac:dyDescent="0.2">
      <c r="A24" t="s">
        <v>70</v>
      </c>
      <c r="B24">
        <v>17</v>
      </c>
      <c r="C24">
        <v>1</v>
      </c>
      <c r="F24" s="3" t="s">
        <v>18</v>
      </c>
      <c r="G24" s="1">
        <v>231</v>
      </c>
      <c r="H24">
        <v>0</v>
      </c>
      <c r="K24" t="s">
        <v>84</v>
      </c>
      <c r="L24">
        <v>1</v>
      </c>
      <c r="M24">
        <v>0</v>
      </c>
      <c r="P24" s="2" t="s">
        <v>18</v>
      </c>
      <c r="Q24">
        <v>2</v>
      </c>
      <c r="R24">
        <v>0</v>
      </c>
      <c r="U24" s="2" t="s">
        <v>23</v>
      </c>
      <c r="V24">
        <v>0</v>
      </c>
      <c r="W24">
        <v>0</v>
      </c>
      <c r="Z24" s="1" t="s">
        <v>14</v>
      </c>
      <c r="AA24" s="1">
        <v>25</v>
      </c>
      <c r="AB24">
        <v>0</v>
      </c>
      <c r="AJ24" s="2" t="s">
        <v>19</v>
      </c>
      <c r="AK24">
        <v>69</v>
      </c>
      <c r="AL24">
        <v>5</v>
      </c>
      <c r="AO24" s="4" t="s">
        <v>51</v>
      </c>
      <c r="AP24" s="4">
        <v>1</v>
      </c>
      <c r="AQ24" s="4">
        <v>0</v>
      </c>
      <c r="AT24" s="4" t="s">
        <v>15</v>
      </c>
      <c r="AU24" s="4">
        <v>20</v>
      </c>
      <c r="AV24" s="4">
        <v>0</v>
      </c>
      <c r="BI24" s="2" t="s">
        <v>81</v>
      </c>
      <c r="BJ24" s="4">
        <v>22</v>
      </c>
      <c r="BK24" s="4">
        <v>0</v>
      </c>
      <c r="BN24" s="2" t="s">
        <v>16</v>
      </c>
      <c r="BO24" s="4">
        <v>0</v>
      </c>
      <c r="BP24" s="4">
        <v>0</v>
      </c>
    </row>
    <row r="25" spans="1:73" x14ac:dyDescent="0.2">
      <c r="A25" s="1" t="s">
        <v>75</v>
      </c>
      <c r="B25" s="1">
        <v>0</v>
      </c>
      <c r="C25" s="1">
        <v>0</v>
      </c>
      <c r="F25" s="3" t="s">
        <v>28</v>
      </c>
      <c r="G25" s="1">
        <v>0</v>
      </c>
      <c r="H25" s="1">
        <v>0</v>
      </c>
      <c r="K25" s="1" t="s">
        <v>86</v>
      </c>
      <c r="L25">
        <v>0</v>
      </c>
      <c r="M25" s="1">
        <v>0</v>
      </c>
      <c r="P25" s="3" t="s">
        <v>28</v>
      </c>
      <c r="Q25" s="1">
        <v>0</v>
      </c>
      <c r="R25" s="1">
        <v>0</v>
      </c>
      <c r="U25" s="3" t="s">
        <v>33</v>
      </c>
      <c r="V25" s="1">
        <v>0</v>
      </c>
      <c r="W25" s="1">
        <v>0</v>
      </c>
      <c r="Z25" s="1" t="s">
        <v>24</v>
      </c>
      <c r="AA25" s="1">
        <v>83</v>
      </c>
      <c r="AB25" s="1">
        <v>3</v>
      </c>
      <c r="AJ25" s="3" t="s">
        <v>29</v>
      </c>
      <c r="AK25" s="1">
        <v>0</v>
      </c>
      <c r="AL25" s="1">
        <v>0</v>
      </c>
      <c r="AO25" s="4" t="s">
        <v>55</v>
      </c>
      <c r="AP25" s="7">
        <v>0</v>
      </c>
      <c r="AQ25" s="7">
        <v>0</v>
      </c>
      <c r="AT25" s="1" t="s">
        <v>25</v>
      </c>
      <c r="AU25" s="1">
        <v>0</v>
      </c>
      <c r="AV25" s="1">
        <v>0</v>
      </c>
      <c r="BI25" s="4" t="s">
        <v>44</v>
      </c>
      <c r="BJ25" s="4" t="s">
        <v>6</v>
      </c>
      <c r="BK25" s="1">
        <v>4</v>
      </c>
      <c r="BN25" s="3" t="s">
        <v>26</v>
      </c>
      <c r="BO25" s="1">
        <v>0</v>
      </c>
      <c r="BP25" s="1">
        <v>0</v>
      </c>
    </row>
    <row r="26" spans="1:73" x14ac:dyDescent="0.2">
      <c r="A26" t="s">
        <v>80</v>
      </c>
      <c r="B26">
        <v>0</v>
      </c>
      <c r="C26">
        <v>0</v>
      </c>
      <c r="F26" s="2" t="s">
        <v>38</v>
      </c>
      <c r="G26">
        <v>0</v>
      </c>
      <c r="H26">
        <v>0</v>
      </c>
      <c r="K26" t="s">
        <v>87</v>
      </c>
      <c r="L26">
        <v>0</v>
      </c>
      <c r="M26">
        <v>0</v>
      </c>
      <c r="P26" s="2" t="s">
        <v>38</v>
      </c>
      <c r="Q26">
        <v>2</v>
      </c>
      <c r="R26">
        <v>0</v>
      </c>
      <c r="U26" s="2" t="s">
        <v>43</v>
      </c>
      <c r="V26">
        <v>0</v>
      </c>
      <c r="W26">
        <v>0</v>
      </c>
      <c r="Z26" s="4" t="s">
        <v>34</v>
      </c>
      <c r="AA26">
        <v>20</v>
      </c>
      <c r="AB26">
        <v>0</v>
      </c>
      <c r="AJ26" s="2" t="s">
        <v>39</v>
      </c>
      <c r="AK26">
        <v>0</v>
      </c>
      <c r="AL26">
        <v>0</v>
      </c>
      <c r="AO26" s="4" t="s">
        <v>59</v>
      </c>
      <c r="AP26" s="7">
        <v>0</v>
      </c>
      <c r="AQ26" s="7">
        <v>0</v>
      </c>
      <c r="AT26" s="4" t="s">
        <v>35</v>
      </c>
      <c r="AU26" s="4">
        <v>0</v>
      </c>
      <c r="AV26" s="4">
        <v>0</v>
      </c>
      <c r="BI26" s="1" t="s">
        <v>49</v>
      </c>
      <c r="BJ26" s="1">
        <v>37</v>
      </c>
      <c r="BK26" s="4">
        <v>0</v>
      </c>
      <c r="BN26" s="2" t="s">
        <v>36</v>
      </c>
      <c r="BO26" s="4">
        <v>0</v>
      </c>
      <c r="BP26" s="4">
        <v>0</v>
      </c>
    </row>
    <row r="27" spans="1:73" x14ac:dyDescent="0.2">
      <c r="A27" s="1" t="s">
        <v>82</v>
      </c>
      <c r="B27" s="1">
        <v>10</v>
      </c>
      <c r="C27" s="1">
        <v>4</v>
      </c>
      <c r="F27" s="2" t="s">
        <v>9</v>
      </c>
      <c r="G27" t="s">
        <v>45</v>
      </c>
      <c r="H27" s="1">
        <v>6</v>
      </c>
      <c r="K27" s="4" t="s">
        <v>65</v>
      </c>
      <c r="L27" t="s">
        <v>6</v>
      </c>
      <c r="M27" s="1">
        <v>0</v>
      </c>
      <c r="P27" s="1" t="s">
        <v>44</v>
      </c>
      <c r="Q27" s="1">
        <v>29</v>
      </c>
      <c r="R27" s="1">
        <v>0</v>
      </c>
      <c r="U27" s="1" t="s">
        <v>11</v>
      </c>
      <c r="V27" s="1">
        <v>96</v>
      </c>
      <c r="W27" s="1">
        <v>2</v>
      </c>
      <c r="Z27" s="1" t="s">
        <v>65</v>
      </c>
      <c r="AA27" s="1">
        <v>254</v>
      </c>
      <c r="AB27" s="1">
        <v>0</v>
      </c>
      <c r="AJ27" s="1" t="s">
        <v>61</v>
      </c>
      <c r="AK27" s="1">
        <v>62</v>
      </c>
      <c r="AL27" s="1">
        <v>3</v>
      </c>
      <c r="AO27" s="4" t="s">
        <v>65</v>
      </c>
      <c r="AP27" s="4" t="s">
        <v>45</v>
      </c>
      <c r="AQ27" s="1">
        <v>0</v>
      </c>
      <c r="AT27" s="1" t="s">
        <v>12</v>
      </c>
      <c r="AU27" s="1">
        <v>73</v>
      </c>
      <c r="AV27" s="1">
        <v>0</v>
      </c>
      <c r="BI27" s="1" t="s">
        <v>53</v>
      </c>
      <c r="BJ27" s="1">
        <v>99</v>
      </c>
      <c r="BK27" s="1">
        <v>0</v>
      </c>
      <c r="BN27" s="3" t="s">
        <v>46</v>
      </c>
      <c r="BO27" s="1">
        <v>179</v>
      </c>
      <c r="BP27" s="1">
        <v>0</v>
      </c>
    </row>
    <row r="28" spans="1:73" x14ac:dyDescent="0.2">
      <c r="A28" t="s">
        <v>84</v>
      </c>
      <c r="B28">
        <v>5</v>
      </c>
      <c r="C28">
        <v>0</v>
      </c>
      <c r="F28" s="3" t="s">
        <v>19</v>
      </c>
      <c r="G28" s="1">
        <v>35</v>
      </c>
      <c r="H28">
        <v>0</v>
      </c>
      <c r="K28" s="1" t="s">
        <v>70</v>
      </c>
      <c r="L28" s="1">
        <v>27</v>
      </c>
      <c r="M28">
        <v>0</v>
      </c>
      <c r="P28" s="4" t="s">
        <v>49</v>
      </c>
      <c r="Q28">
        <v>8</v>
      </c>
      <c r="R28">
        <v>0</v>
      </c>
      <c r="U28" s="4" t="s">
        <v>21</v>
      </c>
      <c r="V28">
        <v>80</v>
      </c>
      <c r="W28">
        <v>0</v>
      </c>
      <c r="Z28" s="4" t="s">
        <v>70</v>
      </c>
      <c r="AA28">
        <v>27</v>
      </c>
      <c r="AB28">
        <v>0</v>
      </c>
      <c r="AJ28" s="4" t="s">
        <v>67</v>
      </c>
      <c r="AK28">
        <v>5</v>
      </c>
      <c r="AL28">
        <v>0</v>
      </c>
      <c r="AO28" s="1" t="s">
        <v>70</v>
      </c>
      <c r="AP28" s="1">
        <v>20</v>
      </c>
      <c r="AQ28" s="4">
        <v>0</v>
      </c>
      <c r="AT28" s="4" t="s">
        <v>22</v>
      </c>
      <c r="AU28" s="4">
        <v>8</v>
      </c>
      <c r="AV28" s="4">
        <v>0</v>
      </c>
      <c r="BI28" s="4" t="s">
        <v>57</v>
      </c>
      <c r="BJ28" s="4">
        <v>15</v>
      </c>
      <c r="BK28" s="4">
        <v>0</v>
      </c>
      <c r="BN28" s="2" t="s">
        <v>50</v>
      </c>
      <c r="BO28" s="4">
        <v>14</v>
      </c>
      <c r="BP28" s="4">
        <v>0</v>
      </c>
    </row>
    <row r="29" spans="1:73" x14ac:dyDescent="0.2">
      <c r="A29" s="1" t="s">
        <v>86</v>
      </c>
      <c r="B29" s="1">
        <v>0</v>
      </c>
      <c r="C29" s="1">
        <v>0</v>
      </c>
      <c r="F29" s="2" t="s">
        <v>29</v>
      </c>
      <c r="G29" s="8"/>
      <c r="H29" s="8"/>
      <c r="K29" s="1" t="s">
        <v>75</v>
      </c>
      <c r="L29">
        <v>56</v>
      </c>
      <c r="M29">
        <v>0</v>
      </c>
      <c r="P29" s="1" t="s">
        <v>53</v>
      </c>
      <c r="Q29" s="1">
        <v>30</v>
      </c>
      <c r="R29" s="1">
        <v>0</v>
      </c>
      <c r="U29" s="1" t="s">
        <v>31</v>
      </c>
      <c r="V29" s="1">
        <v>0</v>
      </c>
      <c r="W29" s="1">
        <v>0</v>
      </c>
      <c r="Z29" s="4" t="s">
        <v>75</v>
      </c>
      <c r="AA29" t="s">
        <v>88</v>
      </c>
      <c r="AB29" s="1">
        <v>3</v>
      </c>
      <c r="AJ29" s="1" t="s">
        <v>72</v>
      </c>
      <c r="AK29" s="1">
        <v>46</v>
      </c>
      <c r="AL29" s="1">
        <v>0</v>
      </c>
      <c r="AO29" s="1" t="s">
        <v>75</v>
      </c>
      <c r="AP29" s="1">
        <v>0</v>
      </c>
      <c r="AQ29" s="1">
        <v>0</v>
      </c>
      <c r="AT29" s="1" t="s">
        <v>32</v>
      </c>
      <c r="AU29" s="1">
        <v>57</v>
      </c>
      <c r="AV29" s="1">
        <v>0</v>
      </c>
      <c r="BI29" s="1" t="s">
        <v>12</v>
      </c>
      <c r="BJ29" s="1">
        <v>125</v>
      </c>
      <c r="BK29" s="1">
        <v>0</v>
      </c>
      <c r="BN29" s="3" t="s">
        <v>54</v>
      </c>
      <c r="BO29" s="1">
        <v>121</v>
      </c>
      <c r="BP29" s="1">
        <v>0</v>
      </c>
    </row>
    <row r="30" spans="1:73" x14ac:dyDescent="0.2">
      <c r="A30" t="s">
        <v>87</v>
      </c>
      <c r="B30">
        <v>0</v>
      </c>
      <c r="C30">
        <v>0</v>
      </c>
      <c r="F30" s="2" t="s">
        <v>39</v>
      </c>
      <c r="G30" s="8"/>
      <c r="H30" s="8"/>
      <c r="K30" t="s">
        <v>80</v>
      </c>
      <c r="L30">
        <v>10</v>
      </c>
      <c r="M30">
        <v>0</v>
      </c>
      <c r="P30" s="4" t="s">
        <v>57</v>
      </c>
      <c r="Q30">
        <v>0</v>
      </c>
      <c r="R30">
        <v>0</v>
      </c>
      <c r="U30" s="4" t="s">
        <v>41</v>
      </c>
      <c r="V30">
        <v>2</v>
      </c>
      <c r="W30">
        <v>0</v>
      </c>
      <c r="Z30" s="1" t="s">
        <v>80</v>
      </c>
      <c r="AA30" s="1">
        <v>27</v>
      </c>
      <c r="AB30">
        <v>0</v>
      </c>
      <c r="AJ30" s="4" t="s">
        <v>77</v>
      </c>
      <c r="AK30">
        <v>5</v>
      </c>
      <c r="AL30">
        <v>0</v>
      </c>
      <c r="AO30" s="4" t="s">
        <v>80</v>
      </c>
      <c r="AP30" s="4">
        <v>0</v>
      </c>
      <c r="AQ30" s="4">
        <v>0</v>
      </c>
      <c r="AT30" s="4" t="s">
        <v>42</v>
      </c>
      <c r="AU30" s="4">
        <v>8</v>
      </c>
      <c r="AV30" s="4">
        <v>0</v>
      </c>
      <c r="BI30" s="4" t="s">
        <v>22</v>
      </c>
      <c r="BJ30" s="4">
        <v>9</v>
      </c>
      <c r="BK30" s="4">
        <v>0</v>
      </c>
      <c r="BN30" s="2" t="s">
        <v>58</v>
      </c>
      <c r="BO30" s="4">
        <v>1</v>
      </c>
      <c r="BP30" s="4">
        <v>0</v>
      </c>
    </row>
    <row r="31" spans="1:73" x14ac:dyDescent="0.2">
      <c r="A31" s="1" t="s">
        <v>64</v>
      </c>
      <c r="B31" s="1">
        <v>71</v>
      </c>
      <c r="C31" s="1">
        <v>74</v>
      </c>
      <c r="F31" s="3" t="s">
        <v>10</v>
      </c>
      <c r="G31" s="1">
        <v>173</v>
      </c>
      <c r="H31" s="1">
        <v>12</v>
      </c>
      <c r="K31" s="1" t="s">
        <v>3</v>
      </c>
      <c r="L31" t="s">
        <v>6</v>
      </c>
      <c r="M31">
        <v>86</v>
      </c>
      <c r="P31" s="3" t="s">
        <v>48</v>
      </c>
      <c r="Q31" s="1">
        <v>18</v>
      </c>
      <c r="R31" s="1">
        <v>1</v>
      </c>
      <c r="U31" s="3" t="s">
        <v>62</v>
      </c>
      <c r="V31" s="1">
        <v>30</v>
      </c>
      <c r="W31" s="1">
        <v>1</v>
      </c>
      <c r="Z31" s="3" t="s">
        <v>66</v>
      </c>
      <c r="AA31" s="1">
        <v>46</v>
      </c>
      <c r="AB31" s="1">
        <v>0</v>
      </c>
      <c r="AJ31" s="1" t="s">
        <v>4</v>
      </c>
      <c r="AK31" s="1">
        <v>41</v>
      </c>
      <c r="AL31" s="1">
        <v>1</v>
      </c>
      <c r="AO31" s="3" t="s">
        <v>13</v>
      </c>
      <c r="AP31" s="1">
        <v>70</v>
      </c>
      <c r="AQ31" s="1">
        <v>0</v>
      </c>
      <c r="AT31" s="3" t="s">
        <v>7</v>
      </c>
      <c r="AU31" s="1">
        <v>72</v>
      </c>
      <c r="AV31" s="1">
        <v>3</v>
      </c>
      <c r="BI31" s="1" t="s">
        <v>32</v>
      </c>
      <c r="BJ31" s="1">
        <v>19</v>
      </c>
      <c r="BK31" s="1">
        <v>0</v>
      </c>
      <c r="BN31" s="4" t="s">
        <v>64</v>
      </c>
      <c r="BO31" s="4" t="s">
        <v>6</v>
      </c>
      <c r="BP31" s="1">
        <v>0</v>
      </c>
    </row>
    <row r="32" spans="1:73" x14ac:dyDescent="0.2">
      <c r="A32" t="s">
        <v>69</v>
      </c>
      <c r="B32">
        <v>25</v>
      </c>
      <c r="C32">
        <v>1</v>
      </c>
      <c r="F32" s="2" t="s">
        <v>20</v>
      </c>
      <c r="G32">
        <v>5</v>
      </c>
      <c r="H32">
        <v>0</v>
      </c>
      <c r="K32" t="s">
        <v>14</v>
      </c>
      <c r="L32">
        <v>300</v>
      </c>
      <c r="M32">
        <v>1</v>
      </c>
      <c r="P32" s="2" t="s">
        <v>52</v>
      </c>
      <c r="Q32">
        <v>29</v>
      </c>
      <c r="R32">
        <v>0</v>
      </c>
      <c r="U32" s="2" t="s">
        <v>68</v>
      </c>
      <c r="V32">
        <v>18</v>
      </c>
      <c r="W32">
        <v>0</v>
      </c>
      <c r="Z32" s="2" t="s">
        <v>71</v>
      </c>
      <c r="AA32">
        <v>1</v>
      </c>
      <c r="AB32">
        <v>0</v>
      </c>
      <c r="AJ32" s="4" t="s">
        <v>15</v>
      </c>
      <c r="AK32">
        <v>31</v>
      </c>
      <c r="AL32">
        <v>0</v>
      </c>
      <c r="AO32" s="2" t="s">
        <v>23</v>
      </c>
      <c r="AP32" s="4">
        <v>2</v>
      </c>
      <c r="AQ32" s="4">
        <v>0</v>
      </c>
      <c r="AT32" s="2" t="s">
        <v>17</v>
      </c>
      <c r="AU32" s="4">
        <v>9</v>
      </c>
      <c r="AV32" s="4">
        <v>0</v>
      </c>
      <c r="BI32" s="4" t="s">
        <v>42</v>
      </c>
      <c r="BJ32" s="4">
        <v>2</v>
      </c>
      <c r="BK32" s="4">
        <v>0</v>
      </c>
      <c r="BN32" s="1" t="s">
        <v>69</v>
      </c>
      <c r="BO32" s="1">
        <v>21</v>
      </c>
      <c r="BP32" s="4">
        <v>0</v>
      </c>
    </row>
    <row r="33" spans="1:68" x14ac:dyDescent="0.2">
      <c r="A33" s="1" t="s">
        <v>74</v>
      </c>
      <c r="B33" s="1">
        <v>7</v>
      </c>
      <c r="C33" s="1">
        <v>0</v>
      </c>
      <c r="F33" s="3" t="s">
        <v>30</v>
      </c>
      <c r="G33" s="1">
        <v>0</v>
      </c>
      <c r="H33" s="1">
        <v>0</v>
      </c>
      <c r="K33" s="1" t="s">
        <v>24</v>
      </c>
      <c r="L33">
        <v>0</v>
      </c>
      <c r="M33" s="1">
        <v>0</v>
      </c>
      <c r="P33" s="3" t="s">
        <v>56</v>
      </c>
      <c r="Q33" s="1">
        <v>0</v>
      </c>
      <c r="R33" s="1">
        <v>0</v>
      </c>
      <c r="U33" s="2" t="s">
        <v>73</v>
      </c>
      <c r="V33" t="s">
        <v>89</v>
      </c>
      <c r="W33" s="1">
        <v>1</v>
      </c>
      <c r="Z33" s="3" t="s">
        <v>76</v>
      </c>
      <c r="AA33" s="1">
        <v>0</v>
      </c>
      <c r="AB33" s="1">
        <v>38</v>
      </c>
      <c r="AJ33" s="1" t="s">
        <v>25</v>
      </c>
      <c r="AK33" s="1">
        <v>36</v>
      </c>
      <c r="AL33" s="1">
        <v>0</v>
      </c>
      <c r="AO33" s="2" t="s">
        <v>33</v>
      </c>
      <c r="AP33" s="9"/>
      <c r="AQ33" s="9"/>
      <c r="AT33" s="3" t="s">
        <v>27</v>
      </c>
      <c r="AU33" s="1">
        <v>0</v>
      </c>
      <c r="AV33" s="1">
        <v>0</v>
      </c>
      <c r="BI33" s="1" t="s">
        <v>82</v>
      </c>
      <c r="BJ33" s="1">
        <v>19</v>
      </c>
      <c r="BK33" s="1">
        <v>1</v>
      </c>
      <c r="BN33" s="1" t="s">
        <v>74</v>
      </c>
      <c r="BO33" s="1">
        <v>15</v>
      </c>
      <c r="BP33" s="1">
        <v>0</v>
      </c>
    </row>
    <row r="34" spans="1:68" x14ac:dyDescent="0.2">
      <c r="A34" t="s">
        <v>79</v>
      </c>
      <c r="B34">
        <v>0</v>
      </c>
      <c r="C34">
        <v>0</v>
      </c>
      <c r="F34" s="2" t="s">
        <v>40</v>
      </c>
      <c r="G34">
        <v>1</v>
      </c>
      <c r="H34">
        <v>0</v>
      </c>
      <c r="K34" t="s">
        <v>34</v>
      </c>
      <c r="L34">
        <v>0</v>
      </c>
      <c r="M34">
        <v>0</v>
      </c>
      <c r="P34" s="2" t="s">
        <v>60</v>
      </c>
      <c r="Q34">
        <v>0</v>
      </c>
      <c r="R34">
        <v>0</v>
      </c>
      <c r="U34" s="3" t="s">
        <v>78</v>
      </c>
      <c r="V34" s="1">
        <v>82</v>
      </c>
      <c r="W34">
        <v>0</v>
      </c>
      <c r="Z34" s="2" t="s">
        <v>81</v>
      </c>
      <c r="AA34" t="s">
        <v>45</v>
      </c>
      <c r="AB34">
        <v>1</v>
      </c>
      <c r="AJ34" s="4" t="s">
        <v>35</v>
      </c>
      <c r="AK34">
        <v>0</v>
      </c>
      <c r="AL34">
        <v>0</v>
      </c>
      <c r="AO34" s="2" t="s">
        <v>43</v>
      </c>
      <c r="AP34" s="9"/>
      <c r="AQ34" s="9"/>
      <c r="AT34" s="2" t="s">
        <v>37</v>
      </c>
      <c r="AU34" s="4">
        <v>0</v>
      </c>
      <c r="AV34" s="4">
        <v>0</v>
      </c>
      <c r="BI34" s="4" t="s">
        <v>84</v>
      </c>
      <c r="BJ34" s="4">
        <v>2</v>
      </c>
      <c r="BK34" s="4">
        <v>0</v>
      </c>
      <c r="BN34" s="4" t="s">
        <v>79</v>
      </c>
      <c r="BO34" s="4">
        <v>0</v>
      </c>
      <c r="BP34" s="4">
        <v>0</v>
      </c>
    </row>
    <row r="35" spans="1:68" x14ac:dyDescent="0.2">
      <c r="F35" s="3" t="s">
        <v>46</v>
      </c>
      <c r="G35" s="1">
        <v>13</v>
      </c>
      <c r="H35" s="1">
        <v>0</v>
      </c>
      <c r="K35" s="1" t="s">
        <v>47</v>
      </c>
      <c r="L35">
        <v>177</v>
      </c>
      <c r="M35" s="1">
        <v>6</v>
      </c>
      <c r="P35" s="4" t="s">
        <v>61</v>
      </c>
      <c r="Q35" t="s">
        <v>6</v>
      </c>
      <c r="R35" s="1">
        <v>0</v>
      </c>
      <c r="U35" s="1" t="s">
        <v>4</v>
      </c>
      <c r="V35" s="1">
        <v>33</v>
      </c>
      <c r="W35" s="1">
        <v>4</v>
      </c>
      <c r="Z35" s="1" t="s">
        <v>82</v>
      </c>
      <c r="AA35" s="1">
        <v>191</v>
      </c>
      <c r="AB35" s="1">
        <v>0</v>
      </c>
      <c r="AJ35" s="3" t="s">
        <v>66</v>
      </c>
      <c r="AK35" s="1">
        <v>5</v>
      </c>
      <c r="AL35" s="1">
        <v>0</v>
      </c>
      <c r="AO35" s="3" t="s">
        <v>8</v>
      </c>
      <c r="AP35" s="1">
        <v>25</v>
      </c>
      <c r="AQ35" s="1">
        <v>1</v>
      </c>
      <c r="AT35" s="4" t="s">
        <v>61</v>
      </c>
      <c r="AU35" s="4" t="s">
        <v>45</v>
      </c>
      <c r="AV35" s="1">
        <v>1</v>
      </c>
      <c r="BI35" s="1" t="s">
        <v>86</v>
      </c>
      <c r="BJ35" s="1">
        <v>0</v>
      </c>
      <c r="BK35" s="1">
        <v>0</v>
      </c>
      <c r="BN35" s="3" t="s">
        <v>13</v>
      </c>
      <c r="BO35" s="1">
        <v>215</v>
      </c>
      <c r="BP35" s="1">
        <v>3</v>
      </c>
    </row>
    <row r="36" spans="1:68" x14ac:dyDescent="0.2">
      <c r="F36" s="2" t="s">
        <v>50</v>
      </c>
      <c r="G36">
        <v>0</v>
      </c>
      <c r="H36">
        <v>0</v>
      </c>
      <c r="K36" t="s">
        <v>51</v>
      </c>
      <c r="L36">
        <v>6</v>
      </c>
      <c r="M36">
        <v>0</v>
      </c>
      <c r="P36" s="1" t="s">
        <v>67</v>
      </c>
      <c r="Q36" s="1">
        <v>108</v>
      </c>
      <c r="R36">
        <v>2</v>
      </c>
      <c r="U36" s="4" t="s">
        <v>15</v>
      </c>
      <c r="V36">
        <v>0</v>
      </c>
      <c r="W36">
        <v>0</v>
      </c>
      <c r="Z36" s="4" t="s">
        <v>84</v>
      </c>
      <c r="AA36">
        <v>46</v>
      </c>
      <c r="AB36">
        <v>0</v>
      </c>
      <c r="AJ36" s="2" t="s">
        <v>71</v>
      </c>
      <c r="AK36">
        <v>1</v>
      </c>
      <c r="AL36">
        <v>0</v>
      </c>
      <c r="AO36" s="2" t="s">
        <v>18</v>
      </c>
      <c r="AP36" s="4">
        <v>4</v>
      </c>
      <c r="AQ36" s="4">
        <v>0</v>
      </c>
      <c r="AT36" s="1" t="s">
        <v>67</v>
      </c>
      <c r="AU36" s="1">
        <v>42</v>
      </c>
      <c r="AV36" s="4">
        <v>0</v>
      </c>
      <c r="BI36" s="4" t="s">
        <v>87</v>
      </c>
      <c r="BJ36" s="4">
        <v>2</v>
      </c>
      <c r="BK36" s="4">
        <v>0</v>
      </c>
      <c r="BN36" s="2" t="s">
        <v>23</v>
      </c>
      <c r="BO36" s="4">
        <v>24</v>
      </c>
      <c r="BP36" s="4">
        <v>0</v>
      </c>
    </row>
    <row r="37" spans="1:68" x14ac:dyDescent="0.2">
      <c r="F37" s="3" t="s">
        <v>54</v>
      </c>
      <c r="G37" s="1">
        <v>0</v>
      </c>
      <c r="H37" s="1">
        <v>0</v>
      </c>
      <c r="K37" s="1" t="s">
        <v>55</v>
      </c>
      <c r="L37">
        <v>0</v>
      </c>
      <c r="M37" s="1">
        <v>5</v>
      </c>
      <c r="P37" s="4" t="s">
        <v>72</v>
      </c>
      <c r="Q37" t="s">
        <v>6</v>
      </c>
      <c r="R37">
        <v>0</v>
      </c>
      <c r="U37" s="1" t="s">
        <v>25</v>
      </c>
      <c r="V37" s="1">
        <v>0</v>
      </c>
      <c r="W37" s="1">
        <v>0</v>
      </c>
      <c r="Z37" s="1" t="s">
        <v>86</v>
      </c>
      <c r="AA37" s="1">
        <v>0</v>
      </c>
      <c r="AB37" s="1">
        <v>0</v>
      </c>
      <c r="AJ37" s="2" t="s">
        <v>76</v>
      </c>
      <c r="AK37" t="s">
        <v>6</v>
      </c>
      <c r="AL37" s="1">
        <v>0</v>
      </c>
      <c r="AO37" s="3" t="s">
        <v>28</v>
      </c>
      <c r="AP37" s="1">
        <v>18</v>
      </c>
      <c r="AQ37" s="1">
        <v>0</v>
      </c>
      <c r="AT37" s="1" t="s">
        <v>72</v>
      </c>
      <c r="AU37" s="1">
        <v>139</v>
      </c>
      <c r="AV37" s="1">
        <v>1</v>
      </c>
      <c r="BI37" s="4" t="s">
        <v>3</v>
      </c>
      <c r="BJ37" s="4" t="s">
        <v>6</v>
      </c>
      <c r="BK37" s="1">
        <v>20</v>
      </c>
      <c r="BN37" s="3" t="s">
        <v>33</v>
      </c>
      <c r="BO37" s="1">
        <v>0</v>
      </c>
      <c r="BP37" s="1">
        <v>0</v>
      </c>
    </row>
    <row r="38" spans="1:68" x14ac:dyDescent="0.2">
      <c r="F38" s="2" t="s">
        <v>58</v>
      </c>
      <c r="G38">
        <v>0</v>
      </c>
      <c r="H38">
        <v>0</v>
      </c>
      <c r="K38" t="s">
        <v>59</v>
      </c>
      <c r="L38">
        <v>11</v>
      </c>
      <c r="M38">
        <v>0</v>
      </c>
      <c r="P38" s="1" t="s">
        <v>77</v>
      </c>
      <c r="Q38" s="1">
        <v>41</v>
      </c>
      <c r="R38" s="1">
        <v>0</v>
      </c>
      <c r="U38" s="4" t="s">
        <v>35</v>
      </c>
      <c r="V38">
        <v>1</v>
      </c>
      <c r="W38">
        <v>0</v>
      </c>
      <c r="Z38" s="4" t="s">
        <v>87</v>
      </c>
      <c r="AA38">
        <v>0</v>
      </c>
      <c r="AB38">
        <v>0</v>
      </c>
      <c r="AJ38" s="3" t="s">
        <v>81</v>
      </c>
      <c r="AK38" s="1">
        <v>21</v>
      </c>
      <c r="AL38">
        <v>0</v>
      </c>
      <c r="AO38" s="2" t="s">
        <v>38</v>
      </c>
      <c r="AP38" s="4">
        <v>0</v>
      </c>
      <c r="AQ38" s="4">
        <v>0</v>
      </c>
      <c r="AT38" s="4" t="s">
        <v>77</v>
      </c>
      <c r="AU38" s="4">
        <v>8</v>
      </c>
      <c r="AV38" s="4">
        <v>0</v>
      </c>
      <c r="BI38" s="1" t="s">
        <v>14</v>
      </c>
      <c r="BJ38" s="1">
        <v>259</v>
      </c>
      <c r="BK38" s="4">
        <v>0</v>
      </c>
      <c r="BN38" s="2" t="s">
        <v>43</v>
      </c>
      <c r="BO38" s="4">
        <v>0</v>
      </c>
      <c r="BP38" s="4">
        <v>0</v>
      </c>
    </row>
    <row r="39" spans="1:68" x14ac:dyDescent="0.2">
      <c r="F39" s="3" t="s">
        <v>66</v>
      </c>
      <c r="G39" s="1">
        <v>20</v>
      </c>
      <c r="H39" s="1">
        <v>13</v>
      </c>
      <c r="K39" t="s">
        <v>44</v>
      </c>
      <c r="L39" t="s">
        <v>45</v>
      </c>
      <c r="M39" s="1">
        <v>0</v>
      </c>
      <c r="P39" s="1" t="s">
        <v>11</v>
      </c>
      <c r="Q39" s="1">
        <v>148</v>
      </c>
      <c r="R39" s="1">
        <v>3</v>
      </c>
      <c r="U39" s="2" t="s">
        <v>48</v>
      </c>
      <c r="V39" t="s">
        <v>89</v>
      </c>
      <c r="W39" s="1">
        <v>19</v>
      </c>
      <c r="Z39" s="4" t="s">
        <v>44</v>
      </c>
      <c r="AA39" t="s">
        <v>6</v>
      </c>
      <c r="AB39" s="1">
        <v>3</v>
      </c>
      <c r="AJ39" s="1" t="s">
        <v>62</v>
      </c>
      <c r="AK39" s="1">
        <v>61</v>
      </c>
      <c r="AL39" s="1">
        <v>0</v>
      </c>
      <c r="AT39" s="1" t="s">
        <v>64</v>
      </c>
      <c r="AU39" s="1">
        <v>0</v>
      </c>
      <c r="AV39" s="1">
        <v>0</v>
      </c>
      <c r="BI39" s="4" t="s">
        <v>24</v>
      </c>
      <c r="BJ39" s="7">
        <v>0</v>
      </c>
      <c r="BK39" s="7">
        <v>0</v>
      </c>
      <c r="BN39" s="3" t="s">
        <v>8</v>
      </c>
      <c r="BO39" s="1">
        <v>55</v>
      </c>
      <c r="BP39" s="1">
        <v>0</v>
      </c>
    </row>
    <row r="40" spans="1:68" x14ac:dyDescent="0.2">
      <c r="F40" s="2" t="s">
        <v>71</v>
      </c>
      <c r="G40">
        <v>169</v>
      </c>
      <c r="H40">
        <v>0</v>
      </c>
      <c r="K40" s="1" t="s">
        <v>49</v>
      </c>
      <c r="L40" s="1">
        <v>46</v>
      </c>
      <c r="M40">
        <v>1</v>
      </c>
      <c r="P40" s="4" t="s">
        <v>21</v>
      </c>
      <c r="Q40">
        <v>31</v>
      </c>
      <c r="R40">
        <v>0</v>
      </c>
      <c r="U40" s="3" t="s">
        <v>52</v>
      </c>
      <c r="V40" s="1">
        <v>97</v>
      </c>
      <c r="W40">
        <v>0</v>
      </c>
      <c r="Z40" s="1" t="s">
        <v>49</v>
      </c>
      <c r="AA40" s="1">
        <v>81</v>
      </c>
      <c r="AB40">
        <v>0</v>
      </c>
      <c r="AJ40" s="4" t="s">
        <v>68</v>
      </c>
      <c r="AK40">
        <v>9</v>
      </c>
      <c r="AL40">
        <v>0</v>
      </c>
      <c r="AT40" s="4" t="s">
        <v>69</v>
      </c>
      <c r="AU40" s="4">
        <v>0</v>
      </c>
      <c r="AV40" s="4">
        <v>0</v>
      </c>
      <c r="BI40" s="4" t="s">
        <v>34</v>
      </c>
      <c r="BJ40" s="7">
        <v>0</v>
      </c>
      <c r="BK40" s="7">
        <v>0</v>
      </c>
      <c r="BN40" s="2" t="s">
        <v>18</v>
      </c>
      <c r="BO40" s="4">
        <v>4</v>
      </c>
      <c r="BP40" s="4">
        <v>0</v>
      </c>
    </row>
    <row r="41" spans="1:68" x14ac:dyDescent="0.2">
      <c r="F41" s="2" t="s">
        <v>76</v>
      </c>
      <c r="G41" s="6">
        <v>0</v>
      </c>
      <c r="H41" s="6">
        <v>0</v>
      </c>
      <c r="K41" s="1" t="s">
        <v>53</v>
      </c>
      <c r="L41">
        <v>5</v>
      </c>
      <c r="M41" s="1">
        <v>0</v>
      </c>
      <c r="P41" s="1" t="s">
        <v>31</v>
      </c>
      <c r="Q41" s="1">
        <v>0</v>
      </c>
      <c r="R41" s="1">
        <v>0</v>
      </c>
      <c r="U41" s="2" t="s">
        <v>56</v>
      </c>
      <c r="V41" t="s">
        <v>6</v>
      </c>
      <c r="W41" s="1">
        <v>0</v>
      </c>
      <c r="Z41" s="1" t="s">
        <v>53</v>
      </c>
      <c r="AA41" s="1">
        <v>62</v>
      </c>
      <c r="AB41" s="1">
        <v>0</v>
      </c>
      <c r="AJ41" s="4" t="s">
        <v>73</v>
      </c>
      <c r="AK41">
        <v>290</v>
      </c>
      <c r="AL41" s="1">
        <v>3</v>
      </c>
      <c r="AT41" s="4" t="s">
        <v>74</v>
      </c>
      <c r="AU41" s="7">
        <v>146</v>
      </c>
      <c r="AV41" s="7">
        <v>0</v>
      </c>
      <c r="BI41" s="1" t="s">
        <v>64</v>
      </c>
      <c r="BJ41" s="1">
        <v>6</v>
      </c>
      <c r="BK41" s="1">
        <v>0</v>
      </c>
      <c r="BN41" s="3" t="s">
        <v>28</v>
      </c>
      <c r="BO41" s="1">
        <v>0</v>
      </c>
      <c r="BP41" s="1">
        <v>0</v>
      </c>
    </row>
    <row r="42" spans="1:68" x14ac:dyDescent="0.2">
      <c r="F42" s="2" t="s">
        <v>81</v>
      </c>
      <c r="G42" s="6">
        <v>1</v>
      </c>
      <c r="H42" s="6">
        <v>1</v>
      </c>
      <c r="K42" t="s">
        <v>57</v>
      </c>
      <c r="L42">
        <v>0</v>
      </c>
      <c r="M42">
        <v>0</v>
      </c>
      <c r="P42" s="4" t="s">
        <v>41</v>
      </c>
      <c r="Q42">
        <v>1</v>
      </c>
      <c r="R42">
        <v>0</v>
      </c>
      <c r="U42" s="3" t="s">
        <v>60</v>
      </c>
      <c r="V42" s="1">
        <v>16</v>
      </c>
      <c r="W42">
        <v>0</v>
      </c>
      <c r="Z42" s="4" t="s">
        <v>57</v>
      </c>
      <c r="AA42">
        <v>2</v>
      </c>
      <c r="AB42">
        <v>0</v>
      </c>
      <c r="AJ42" s="4" t="s">
        <v>78</v>
      </c>
      <c r="AK42">
        <v>153</v>
      </c>
      <c r="AL42">
        <v>0</v>
      </c>
      <c r="AT42" s="4" t="s">
        <v>79</v>
      </c>
      <c r="AU42" s="7">
        <v>1</v>
      </c>
      <c r="AV42" s="7">
        <v>0</v>
      </c>
      <c r="BI42" s="4" t="s">
        <v>69</v>
      </c>
      <c r="BJ42" s="4">
        <v>57</v>
      </c>
      <c r="BK42" s="4">
        <v>0</v>
      </c>
      <c r="BN42" s="2" t="s">
        <v>38</v>
      </c>
      <c r="BO42" s="4">
        <v>1</v>
      </c>
      <c r="BP42" s="4">
        <v>0</v>
      </c>
    </row>
    <row r="43" spans="1:68" x14ac:dyDescent="0.2">
      <c r="F43" s="3" t="s">
        <v>48</v>
      </c>
      <c r="G43" s="1">
        <v>33</v>
      </c>
      <c r="H43" s="1">
        <v>6</v>
      </c>
      <c r="K43" s="1" t="s">
        <v>61</v>
      </c>
      <c r="L43" s="10"/>
      <c r="M43" s="10"/>
      <c r="P43" s="3" t="s">
        <v>13</v>
      </c>
      <c r="Q43" s="1">
        <v>14</v>
      </c>
      <c r="R43" s="1">
        <v>0</v>
      </c>
      <c r="U43" s="1" t="s">
        <v>82</v>
      </c>
      <c r="V43" s="1">
        <v>2</v>
      </c>
      <c r="W43" s="1">
        <v>1</v>
      </c>
      <c r="Z43" s="3" t="s">
        <v>5</v>
      </c>
      <c r="AA43" s="1">
        <v>1</v>
      </c>
      <c r="AB43" s="1">
        <v>0</v>
      </c>
      <c r="AJ43" s="1" t="s">
        <v>47</v>
      </c>
      <c r="AK43" s="1">
        <v>40</v>
      </c>
      <c r="AL43" s="1">
        <v>1</v>
      </c>
      <c r="AT43" s="2" t="s">
        <v>66</v>
      </c>
      <c r="AU43" s="4" t="s">
        <v>45</v>
      </c>
      <c r="AV43" s="4" t="s">
        <v>45</v>
      </c>
      <c r="BI43" s="1" t="s">
        <v>74</v>
      </c>
      <c r="BJ43" s="1">
        <v>10</v>
      </c>
      <c r="BK43" s="1">
        <v>0</v>
      </c>
      <c r="BN43" s="1" t="s">
        <v>47</v>
      </c>
      <c r="BO43" s="1">
        <v>44</v>
      </c>
      <c r="BP43" s="1">
        <v>0</v>
      </c>
    </row>
    <row r="44" spans="1:68" x14ac:dyDescent="0.2">
      <c r="F44" s="2" t="s">
        <v>52</v>
      </c>
      <c r="G44">
        <v>2</v>
      </c>
      <c r="H44">
        <v>0</v>
      </c>
      <c r="K44" t="s">
        <v>67</v>
      </c>
      <c r="L44">
        <v>18</v>
      </c>
      <c r="M44">
        <v>0</v>
      </c>
      <c r="P44" s="11" t="s">
        <v>23</v>
      </c>
      <c r="Q44" s="6">
        <v>1</v>
      </c>
      <c r="R44" s="6">
        <v>0</v>
      </c>
      <c r="U44" s="4" t="s">
        <v>84</v>
      </c>
      <c r="V44">
        <v>3</v>
      </c>
      <c r="W44">
        <v>0</v>
      </c>
      <c r="Z44" s="2" t="s">
        <v>16</v>
      </c>
      <c r="AA44">
        <v>0</v>
      </c>
      <c r="AB44">
        <v>0</v>
      </c>
      <c r="AJ44" s="4" t="s">
        <v>51</v>
      </c>
      <c r="AK44">
        <v>0</v>
      </c>
      <c r="AL44">
        <v>0</v>
      </c>
      <c r="AT44" s="3" t="s">
        <v>71</v>
      </c>
      <c r="AU44" s="1">
        <v>1</v>
      </c>
      <c r="AV44" s="1">
        <v>2</v>
      </c>
      <c r="BI44" s="4" t="s">
        <v>79</v>
      </c>
      <c r="BJ44" s="4">
        <v>0</v>
      </c>
      <c r="BK44" s="4">
        <v>0</v>
      </c>
      <c r="BN44" s="4" t="s">
        <v>51</v>
      </c>
      <c r="BO44" s="4">
        <v>0</v>
      </c>
      <c r="BP44" s="4">
        <v>0</v>
      </c>
    </row>
    <row r="45" spans="1:68" x14ac:dyDescent="0.2">
      <c r="F45" s="3" t="s">
        <v>56</v>
      </c>
      <c r="G45" s="1">
        <v>0</v>
      </c>
      <c r="H45" s="1">
        <v>0</v>
      </c>
      <c r="K45" s="1" t="s">
        <v>72</v>
      </c>
      <c r="L45" s="1">
        <v>136</v>
      </c>
      <c r="M45" s="1">
        <v>0</v>
      </c>
      <c r="P45" s="11" t="s">
        <v>33</v>
      </c>
      <c r="Q45" s="6">
        <v>0</v>
      </c>
      <c r="R45" s="6">
        <v>0</v>
      </c>
      <c r="U45" s="1" t="s">
        <v>86</v>
      </c>
      <c r="V45" s="1">
        <v>0</v>
      </c>
      <c r="W45" s="1">
        <v>0</v>
      </c>
      <c r="Z45" s="3" t="s">
        <v>26</v>
      </c>
      <c r="AA45" s="1">
        <v>0</v>
      </c>
      <c r="AB45" s="1">
        <v>0</v>
      </c>
      <c r="AJ45" s="1" t="s">
        <v>55</v>
      </c>
      <c r="AK45" s="1">
        <v>0</v>
      </c>
      <c r="AL45" s="1">
        <v>0</v>
      </c>
      <c r="AT45" s="2" t="s">
        <v>76</v>
      </c>
      <c r="AU45" s="4" t="s">
        <v>6</v>
      </c>
      <c r="AV45" s="1">
        <v>0</v>
      </c>
      <c r="BI45" s="1" t="s">
        <v>4</v>
      </c>
      <c r="BJ45" s="1">
        <v>112</v>
      </c>
      <c r="BK45" s="1">
        <v>0</v>
      </c>
      <c r="BN45" s="1" t="s">
        <v>55</v>
      </c>
      <c r="BO45" s="1">
        <v>0</v>
      </c>
      <c r="BP45" s="1">
        <v>0</v>
      </c>
    </row>
    <row r="46" spans="1:68" x14ac:dyDescent="0.2">
      <c r="F46" s="2" t="s">
        <v>60</v>
      </c>
      <c r="G46">
        <v>0</v>
      </c>
      <c r="H46">
        <v>0</v>
      </c>
      <c r="K46" t="s">
        <v>77</v>
      </c>
      <c r="L46">
        <v>28</v>
      </c>
      <c r="M46">
        <v>0</v>
      </c>
      <c r="P46" s="11" t="s">
        <v>43</v>
      </c>
      <c r="Q46" s="6">
        <v>0</v>
      </c>
      <c r="R46" s="6">
        <v>0</v>
      </c>
      <c r="U46" s="4" t="s">
        <v>87</v>
      </c>
      <c r="V46">
        <v>0</v>
      </c>
      <c r="W46">
        <v>0</v>
      </c>
      <c r="Z46" s="2" t="s">
        <v>36</v>
      </c>
      <c r="AA46">
        <v>1</v>
      </c>
      <c r="AB46">
        <v>0</v>
      </c>
      <c r="AJ46" s="4" t="s">
        <v>59</v>
      </c>
      <c r="AK46">
        <v>0</v>
      </c>
      <c r="AL46">
        <v>0</v>
      </c>
      <c r="AT46" s="3" t="s">
        <v>81</v>
      </c>
      <c r="AU46" s="1">
        <v>77</v>
      </c>
      <c r="AV46" s="4">
        <v>1</v>
      </c>
      <c r="BI46" s="4" t="s">
        <v>15</v>
      </c>
      <c r="BJ46" s="4">
        <v>14</v>
      </c>
      <c r="BK46" s="4">
        <v>0</v>
      </c>
      <c r="BN46" s="4" t="s">
        <v>59</v>
      </c>
      <c r="BO46" s="4">
        <v>0</v>
      </c>
      <c r="BP46" s="4">
        <v>0</v>
      </c>
    </row>
    <row r="47" spans="1:68" x14ac:dyDescent="0.2">
      <c r="F47" s="3" t="s">
        <v>7</v>
      </c>
      <c r="G47" s="1">
        <v>44</v>
      </c>
      <c r="H47" s="1">
        <v>5</v>
      </c>
      <c r="Z47" s="1" t="s">
        <v>61</v>
      </c>
      <c r="AA47" s="1">
        <v>218</v>
      </c>
      <c r="AB47" s="1">
        <v>4</v>
      </c>
      <c r="AJ47" s="3" t="s">
        <v>8</v>
      </c>
      <c r="AK47" s="1">
        <v>29</v>
      </c>
      <c r="AL47" s="1">
        <v>0</v>
      </c>
      <c r="AT47" s="1" t="s">
        <v>62</v>
      </c>
      <c r="AU47" s="1">
        <v>106</v>
      </c>
      <c r="AV47" s="1">
        <v>1</v>
      </c>
      <c r="BI47" s="4" t="s">
        <v>25</v>
      </c>
      <c r="BJ47" s="7">
        <v>14</v>
      </c>
      <c r="BK47" s="7">
        <v>1</v>
      </c>
      <c r="BN47" s="3" t="s">
        <v>9</v>
      </c>
      <c r="BO47" s="1">
        <v>44</v>
      </c>
      <c r="BP47" s="1">
        <v>1</v>
      </c>
    </row>
    <row r="48" spans="1:68" x14ac:dyDescent="0.2">
      <c r="F48" s="2" t="s">
        <v>17</v>
      </c>
      <c r="G48">
        <v>42</v>
      </c>
      <c r="H48">
        <v>0</v>
      </c>
      <c r="Z48" s="4" t="s">
        <v>67</v>
      </c>
      <c r="AA48">
        <v>19</v>
      </c>
      <c r="AB48">
        <v>0</v>
      </c>
      <c r="AJ48" s="2" t="s">
        <v>18</v>
      </c>
      <c r="AK48">
        <v>4</v>
      </c>
      <c r="AL48">
        <v>0</v>
      </c>
      <c r="AT48" s="4" t="s">
        <v>68</v>
      </c>
      <c r="AU48" s="4">
        <v>20</v>
      </c>
      <c r="AV48" s="4">
        <v>0</v>
      </c>
      <c r="BI48" s="4" t="s">
        <v>35</v>
      </c>
      <c r="BJ48" s="7">
        <v>1</v>
      </c>
      <c r="BK48" s="7">
        <v>0</v>
      </c>
      <c r="BN48" s="2" t="s">
        <v>19</v>
      </c>
      <c r="BO48" s="4">
        <v>4</v>
      </c>
      <c r="BP48" s="4">
        <v>0</v>
      </c>
    </row>
    <row r="49" spans="1:68" x14ac:dyDescent="0.2">
      <c r="F49" s="3" t="s">
        <v>27</v>
      </c>
      <c r="G49" s="1">
        <v>20</v>
      </c>
      <c r="H49" s="1">
        <v>0</v>
      </c>
      <c r="Z49" s="1" t="s">
        <v>72</v>
      </c>
      <c r="AA49" s="1">
        <v>56</v>
      </c>
      <c r="AB49" s="1">
        <v>1</v>
      </c>
      <c r="AJ49" s="3" t="s">
        <v>28</v>
      </c>
      <c r="AK49" s="1">
        <v>0</v>
      </c>
      <c r="AL49" s="1">
        <v>0</v>
      </c>
      <c r="AT49" s="4" t="s">
        <v>73</v>
      </c>
      <c r="AU49" s="4" t="s">
        <v>45</v>
      </c>
      <c r="AV49" s="1">
        <v>0</v>
      </c>
      <c r="BI49" s="1" t="s">
        <v>62</v>
      </c>
      <c r="BJ49" s="1">
        <v>18</v>
      </c>
      <c r="BK49" s="1">
        <v>2</v>
      </c>
      <c r="BN49" s="3" t="s">
        <v>29</v>
      </c>
      <c r="BO49" s="1">
        <v>27</v>
      </c>
      <c r="BP49" s="1">
        <v>0</v>
      </c>
    </row>
    <row r="50" spans="1:68" x14ac:dyDescent="0.2">
      <c r="F50" s="2" t="s">
        <v>37</v>
      </c>
      <c r="G50">
        <v>0</v>
      </c>
      <c r="H50">
        <v>0</v>
      </c>
      <c r="Z50" s="4" t="s">
        <v>77</v>
      </c>
      <c r="AA50">
        <v>9</v>
      </c>
      <c r="AB50">
        <v>0</v>
      </c>
      <c r="AJ50" s="2" t="s">
        <v>38</v>
      </c>
      <c r="AK50">
        <v>0</v>
      </c>
      <c r="AL50">
        <v>0</v>
      </c>
      <c r="AT50" s="1" t="s">
        <v>78</v>
      </c>
      <c r="AU50" s="1" t="s">
        <v>45</v>
      </c>
      <c r="AV50" s="4">
        <v>0</v>
      </c>
      <c r="BI50" s="4" t="s">
        <v>68</v>
      </c>
      <c r="BJ50" s="4">
        <v>5</v>
      </c>
      <c r="BK50" s="4">
        <v>0</v>
      </c>
      <c r="BN50" s="2" t="s">
        <v>39</v>
      </c>
      <c r="BO50" s="4">
        <v>0</v>
      </c>
      <c r="BP50" s="4">
        <v>0</v>
      </c>
    </row>
    <row r="51" spans="1:68" x14ac:dyDescent="0.2">
      <c r="F51" s="1" t="s">
        <v>3</v>
      </c>
      <c r="G51" s="1">
        <v>52</v>
      </c>
      <c r="H51" s="1">
        <v>0</v>
      </c>
      <c r="Z51" s="1" t="s">
        <v>62</v>
      </c>
      <c r="AA51" s="1">
        <v>117</v>
      </c>
      <c r="AB51" s="1">
        <v>3</v>
      </c>
      <c r="AJ51" s="3" t="s">
        <v>46</v>
      </c>
      <c r="AK51" s="1">
        <v>0</v>
      </c>
      <c r="AL51" s="1">
        <v>0</v>
      </c>
      <c r="AT51" s="4" t="s">
        <v>44</v>
      </c>
      <c r="AU51" s="4">
        <v>128</v>
      </c>
      <c r="AV51" s="1">
        <v>1</v>
      </c>
      <c r="BI51" s="1" t="s">
        <v>73</v>
      </c>
      <c r="BJ51" s="1">
        <v>0</v>
      </c>
      <c r="BK51" s="1">
        <v>0</v>
      </c>
      <c r="BN51" s="3" t="s">
        <v>48</v>
      </c>
      <c r="BO51" s="1">
        <v>53</v>
      </c>
      <c r="BP51" s="1">
        <v>1</v>
      </c>
    </row>
    <row r="52" spans="1:68" x14ac:dyDescent="0.2">
      <c r="F52" s="4" t="s">
        <v>14</v>
      </c>
      <c r="G52">
        <v>3</v>
      </c>
      <c r="H52">
        <v>0</v>
      </c>
      <c r="Z52" s="4" t="s">
        <v>68</v>
      </c>
      <c r="AA52">
        <v>23</v>
      </c>
      <c r="AB52">
        <v>0</v>
      </c>
      <c r="AJ52" s="2" t="s">
        <v>50</v>
      </c>
      <c r="AK52">
        <v>0</v>
      </c>
      <c r="AL52">
        <v>0</v>
      </c>
      <c r="AT52" s="1" t="s">
        <v>49</v>
      </c>
      <c r="AU52" s="1">
        <v>20</v>
      </c>
      <c r="AV52" s="4">
        <v>0</v>
      </c>
      <c r="BI52" s="4" t="s">
        <v>78</v>
      </c>
      <c r="BJ52" s="4">
        <v>0</v>
      </c>
      <c r="BK52" s="4">
        <v>0</v>
      </c>
      <c r="BN52" s="2" t="s">
        <v>52</v>
      </c>
      <c r="BO52" s="4">
        <v>17</v>
      </c>
      <c r="BP52" s="4">
        <v>0</v>
      </c>
    </row>
    <row r="53" spans="1:68" x14ac:dyDescent="0.2">
      <c r="F53" s="1" t="s">
        <v>24</v>
      </c>
      <c r="G53" s="1">
        <v>0</v>
      </c>
      <c r="H53" s="1">
        <v>0</v>
      </c>
      <c r="Z53" s="4" t="s">
        <v>73</v>
      </c>
      <c r="AA53" t="s">
        <v>6</v>
      </c>
      <c r="AB53" s="1">
        <v>0</v>
      </c>
      <c r="AJ53" s="2" t="s">
        <v>54</v>
      </c>
      <c r="AK53" s="6">
        <v>1</v>
      </c>
      <c r="AL53" s="6">
        <v>0</v>
      </c>
      <c r="AT53" s="1" t="s">
        <v>53</v>
      </c>
      <c r="AU53" s="1">
        <v>0</v>
      </c>
      <c r="AV53" s="1">
        <v>0</v>
      </c>
      <c r="BI53" s="1" t="s">
        <v>47</v>
      </c>
      <c r="BJ53" s="1">
        <v>19</v>
      </c>
      <c r="BK53" s="1">
        <v>0</v>
      </c>
      <c r="BN53" s="3" t="s">
        <v>56</v>
      </c>
      <c r="BO53" s="1">
        <v>0</v>
      </c>
      <c r="BP53" s="1">
        <v>0</v>
      </c>
    </row>
    <row r="54" spans="1:68" x14ac:dyDescent="0.2">
      <c r="F54" s="4" t="s">
        <v>34</v>
      </c>
      <c r="G54">
        <v>0</v>
      </c>
      <c r="H54">
        <v>0</v>
      </c>
      <c r="Z54" s="1" t="s">
        <v>78</v>
      </c>
      <c r="AA54" s="1">
        <v>37</v>
      </c>
      <c r="AB54">
        <v>0</v>
      </c>
      <c r="AJ54" s="2" t="s">
        <v>58</v>
      </c>
      <c r="AK54" s="6">
        <v>0</v>
      </c>
      <c r="AL54" s="6">
        <v>0</v>
      </c>
      <c r="AT54" s="4" t="s">
        <v>57</v>
      </c>
      <c r="AU54" s="4">
        <v>0</v>
      </c>
      <c r="AV54" s="4">
        <v>0</v>
      </c>
      <c r="BI54" s="4" t="s">
        <v>51</v>
      </c>
      <c r="BJ54" s="4">
        <v>4</v>
      </c>
      <c r="BK54" s="4">
        <v>0</v>
      </c>
      <c r="BN54" s="2" t="s">
        <v>60</v>
      </c>
      <c r="BO54" s="4">
        <v>0</v>
      </c>
      <c r="BP54" s="4">
        <v>0</v>
      </c>
    </row>
    <row r="55" spans="1:68" x14ac:dyDescent="0.2">
      <c r="Z55" s="4" t="s">
        <v>48</v>
      </c>
      <c r="AA55" s="6">
        <v>150</v>
      </c>
      <c r="AB55" s="6">
        <v>3</v>
      </c>
      <c r="AJ55" s="1" t="s">
        <v>82</v>
      </c>
      <c r="AK55" s="1">
        <v>29</v>
      </c>
      <c r="AL55" s="1">
        <v>0</v>
      </c>
      <c r="BI55" s="1" t="s">
        <v>55</v>
      </c>
      <c r="BJ55" s="1">
        <v>0</v>
      </c>
      <c r="BK55" s="1">
        <v>0</v>
      </c>
      <c r="BN55" s="1" t="s">
        <v>65</v>
      </c>
      <c r="BO55" s="1">
        <v>52</v>
      </c>
      <c r="BP55" s="1">
        <v>1</v>
      </c>
    </row>
    <row r="56" spans="1:68" x14ac:dyDescent="0.2">
      <c r="Z56" s="4" t="s">
        <v>52</v>
      </c>
      <c r="AA56" s="6">
        <v>19</v>
      </c>
      <c r="AB56" s="6">
        <v>0</v>
      </c>
      <c r="AJ56" s="4" t="s">
        <v>84</v>
      </c>
      <c r="AK56">
        <v>5</v>
      </c>
      <c r="AL56">
        <v>0</v>
      </c>
      <c r="BI56" s="4" t="s">
        <v>59</v>
      </c>
      <c r="BJ56" s="4">
        <v>0</v>
      </c>
      <c r="BK56" s="4">
        <v>0</v>
      </c>
      <c r="BN56" s="4" t="s">
        <v>70</v>
      </c>
      <c r="BO56" s="7">
        <v>11</v>
      </c>
      <c r="BP56" s="7">
        <v>0</v>
      </c>
    </row>
    <row r="57" spans="1:68" x14ac:dyDescent="0.2">
      <c r="A57" s="30">
        <v>43872</v>
      </c>
      <c r="B57" s="30"/>
      <c r="C57" s="30"/>
      <c r="D57" s="20"/>
      <c r="E57" s="20"/>
      <c r="F57" s="20"/>
      <c r="G57" s="20"/>
      <c r="Z57" s="1" t="s">
        <v>56</v>
      </c>
      <c r="AA57" s="1">
        <v>22</v>
      </c>
      <c r="AB57" s="1">
        <v>0</v>
      </c>
      <c r="AJ57" s="1" t="s">
        <v>86</v>
      </c>
      <c r="AK57" s="1">
        <v>0</v>
      </c>
      <c r="AL57" s="1">
        <v>0</v>
      </c>
      <c r="BI57" s="3" t="s">
        <v>8</v>
      </c>
      <c r="BJ57" s="1">
        <v>25</v>
      </c>
      <c r="BK57" s="1">
        <v>0</v>
      </c>
      <c r="BN57" s="4" t="s">
        <v>75</v>
      </c>
      <c r="BO57" s="7">
        <v>0</v>
      </c>
      <c r="BP57" s="7">
        <v>0</v>
      </c>
    </row>
    <row r="58" spans="1:68" x14ac:dyDescent="0.2">
      <c r="A58" s="20" t="s">
        <v>90</v>
      </c>
      <c r="B58" s="20" t="s">
        <v>91</v>
      </c>
      <c r="C58" s="20" t="s">
        <v>92</v>
      </c>
      <c r="D58" s="20" t="s">
        <v>93</v>
      </c>
      <c r="E58" s="20" t="s">
        <v>94</v>
      </c>
      <c r="F58" s="20" t="s">
        <v>95</v>
      </c>
      <c r="G58" s="20" t="s">
        <v>93</v>
      </c>
      <c r="I58" s="6"/>
      <c r="J58" s="6"/>
      <c r="K58" s="6"/>
      <c r="Z58" s="4" t="s">
        <v>60</v>
      </c>
      <c r="AA58">
        <v>0</v>
      </c>
      <c r="AB58">
        <v>0</v>
      </c>
      <c r="AJ58" s="4" t="s">
        <v>87</v>
      </c>
      <c r="AK58">
        <v>0</v>
      </c>
      <c r="AL58">
        <v>0</v>
      </c>
      <c r="BI58" s="2" t="s">
        <v>18</v>
      </c>
      <c r="BJ58" s="4">
        <v>0</v>
      </c>
      <c r="BK58" s="4">
        <v>0</v>
      </c>
      <c r="BN58" s="4" t="s">
        <v>80</v>
      </c>
      <c r="BO58" s="7">
        <v>0</v>
      </c>
      <c r="BP58" s="7">
        <v>0</v>
      </c>
    </row>
    <row r="59" spans="1:68" x14ac:dyDescent="0.2">
      <c r="A59" s="20">
        <v>3</v>
      </c>
      <c r="B59" s="21">
        <f>(48+200)/2</f>
        <v>124</v>
      </c>
      <c r="C59" s="20">
        <v>0</v>
      </c>
      <c r="D59" s="20">
        <f>LOG(B59)-LOG(1)</f>
        <v>2.0934216851622351</v>
      </c>
      <c r="E59" s="21">
        <v>0</v>
      </c>
      <c r="F59" s="20">
        <v>0</v>
      </c>
      <c r="G59" s="20">
        <f>LOG(1)-LOG(1)</f>
        <v>0</v>
      </c>
      <c r="I59" s="29"/>
      <c r="J59" s="29"/>
      <c r="K59" s="29"/>
      <c r="AJ59" s="3" t="s">
        <v>48</v>
      </c>
      <c r="AK59" s="1">
        <v>113</v>
      </c>
      <c r="AL59" s="1">
        <v>0</v>
      </c>
      <c r="BI59" s="3" t="s">
        <v>28</v>
      </c>
      <c r="BJ59" s="1">
        <v>0</v>
      </c>
      <c r="BK59" s="1">
        <v>0</v>
      </c>
    </row>
    <row r="60" spans="1:68" x14ac:dyDescent="0.2">
      <c r="A60" s="20">
        <v>4</v>
      </c>
      <c r="B60" s="21">
        <f>B8*100</f>
        <v>3400</v>
      </c>
      <c r="C60" s="20">
        <v>3</v>
      </c>
      <c r="D60" s="20">
        <f>LOG(B60)-LOG(C60)</f>
        <v>3.0543576623225923</v>
      </c>
      <c r="E60" s="21">
        <v>2</v>
      </c>
      <c r="F60" s="20">
        <v>0</v>
      </c>
      <c r="G60" s="20">
        <f>LOG(E60)-LOG(1)</f>
        <v>0.3010299956639812</v>
      </c>
      <c r="I60" s="5"/>
      <c r="J60" s="5"/>
      <c r="K60" s="5"/>
      <c r="AJ60" s="2" t="s">
        <v>52</v>
      </c>
      <c r="AK60">
        <v>5</v>
      </c>
      <c r="AL60">
        <v>1</v>
      </c>
      <c r="BI60" s="2" t="s">
        <v>38</v>
      </c>
      <c r="BJ60" s="4">
        <v>0</v>
      </c>
      <c r="BK60" s="4">
        <v>0</v>
      </c>
    </row>
    <row r="61" spans="1:68" x14ac:dyDescent="0.2">
      <c r="A61" s="20">
        <v>5</v>
      </c>
      <c r="B61" s="21">
        <f>(158+34*100)/2</f>
        <v>1779</v>
      </c>
      <c r="C61" s="20">
        <v>0</v>
      </c>
      <c r="D61" s="20">
        <f>LOG(B61)-LOG(1)</f>
        <v>3.2501759480839252</v>
      </c>
      <c r="E61" s="20">
        <f>(1+7*100)/2</f>
        <v>350.5</v>
      </c>
      <c r="F61" s="20">
        <v>0</v>
      </c>
      <c r="G61" s="20">
        <f>LOG(E61)-LOG(1)</f>
        <v>2.5446880223026773</v>
      </c>
      <c r="I61" s="6"/>
      <c r="J61" s="6"/>
      <c r="K61" s="6"/>
      <c r="AJ61" s="3" t="s">
        <v>56</v>
      </c>
      <c r="AK61" s="1">
        <v>0</v>
      </c>
      <c r="AL61" s="1">
        <v>0</v>
      </c>
    </row>
    <row r="62" spans="1:68" x14ac:dyDescent="0.2">
      <c r="A62" s="20">
        <v>6</v>
      </c>
      <c r="B62" s="21">
        <f>(197+24*100)/2</f>
        <v>1298.5</v>
      </c>
      <c r="C62" s="20">
        <v>0</v>
      </c>
      <c r="D62" s="20">
        <f>LOG(B62)-LOG(1)</f>
        <v>3.1134419539653213</v>
      </c>
      <c r="E62" s="20">
        <v>3</v>
      </c>
      <c r="F62" s="20">
        <v>0</v>
      </c>
      <c r="G62" s="20">
        <f t="shared" ref="G62:G66" si="0">LOG(E62)-LOG(1)</f>
        <v>0.47712125471966244</v>
      </c>
      <c r="I62" s="5"/>
      <c r="J62" s="5"/>
      <c r="K62" s="5"/>
      <c r="AJ62" s="2" t="s">
        <v>60</v>
      </c>
      <c r="AK62">
        <v>0</v>
      </c>
      <c r="AL62">
        <v>0</v>
      </c>
    </row>
    <row r="63" spans="1:68" x14ac:dyDescent="0.2">
      <c r="A63" s="20">
        <v>7</v>
      </c>
      <c r="B63" s="20">
        <f>234*100</f>
        <v>23400</v>
      </c>
      <c r="C63" s="20">
        <v>6</v>
      </c>
      <c r="D63" s="20">
        <f>LOG(B63)-LOG(C63)</f>
        <v>3.5910646070264987</v>
      </c>
      <c r="E63" s="20">
        <v>5</v>
      </c>
      <c r="F63" s="20">
        <v>0</v>
      </c>
      <c r="G63" s="20">
        <f t="shared" si="0"/>
        <v>0.69897000433601886</v>
      </c>
      <c r="I63" s="6"/>
      <c r="J63" s="6"/>
      <c r="K63" s="6"/>
      <c r="AJ63" s="1" t="s">
        <v>12</v>
      </c>
      <c r="AK63" s="1">
        <v>62</v>
      </c>
      <c r="AL63" s="1">
        <v>3</v>
      </c>
    </row>
    <row r="64" spans="1:68" x14ac:dyDescent="0.2">
      <c r="A64" s="20">
        <v>8</v>
      </c>
      <c r="B64" s="21">
        <f>(222+17*100)/2</f>
        <v>961</v>
      </c>
      <c r="C64" s="20">
        <v>0</v>
      </c>
      <c r="D64" s="20">
        <f>LOG(B64)-LOG(1)</f>
        <v>2.9827233876685453</v>
      </c>
      <c r="E64" s="20">
        <f>(22+100)/2</f>
        <v>61</v>
      </c>
      <c r="F64" s="20">
        <v>0</v>
      </c>
      <c r="G64" s="20">
        <f t="shared" si="0"/>
        <v>1.7853298350107671</v>
      </c>
      <c r="I64" s="6"/>
      <c r="J64" s="6"/>
      <c r="K64" s="5"/>
      <c r="AJ64" s="4" t="s">
        <v>22</v>
      </c>
      <c r="AK64">
        <v>5</v>
      </c>
      <c r="AL64">
        <v>0</v>
      </c>
    </row>
    <row r="65" spans="1:38" x14ac:dyDescent="0.2">
      <c r="A65" s="20">
        <v>9</v>
      </c>
      <c r="B65" s="21">
        <f>(10+500)/2</f>
        <v>255</v>
      </c>
      <c r="C65" s="21">
        <v>0</v>
      </c>
      <c r="D65" s="20">
        <f>LOG(B65)-LOG(1)</f>
        <v>2.406540180433955</v>
      </c>
      <c r="E65" s="20">
        <v>4</v>
      </c>
      <c r="F65" s="20">
        <v>0</v>
      </c>
      <c r="G65" s="20">
        <f t="shared" si="0"/>
        <v>0.6020599913279624</v>
      </c>
      <c r="I65" s="5"/>
      <c r="J65" s="5"/>
      <c r="K65" s="6"/>
      <c r="AJ65" s="1" t="s">
        <v>32</v>
      </c>
      <c r="AK65" s="1">
        <v>73</v>
      </c>
      <c r="AL65" s="1">
        <v>0</v>
      </c>
    </row>
    <row r="66" spans="1:38" x14ac:dyDescent="0.2">
      <c r="A66" s="20">
        <v>10</v>
      </c>
      <c r="B66" s="21">
        <f>(71+25*100)/2</f>
        <v>1285.5</v>
      </c>
      <c r="C66" s="20">
        <v>7</v>
      </c>
      <c r="D66" s="20">
        <f>LOG(B66)-LOG(C66)</f>
        <v>2.2639740409646225</v>
      </c>
      <c r="E66" s="20">
        <f>(74+100)/2</f>
        <v>87</v>
      </c>
      <c r="F66" s="20">
        <v>0</v>
      </c>
      <c r="G66" s="20">
        <f t="shared" si="0"/>
        <v>1.9395192526186185</v>
      </c>
      <c r="I66" s="5"/>
      <c r="J66" s="5"/>
      <c r="K66" s="5"/>
      <c r="AJ66" s="4" t="s">
        <v>42</v>
      </c>
      <c r="AK66">
        <v>3</v>
      </c>
      <c r="AL66">
        <v>0</v>
      </c>
    </row>
    <row r="67" spans="1:38" x14ac:dyDescent="0.2">
      <c r="I67" s="6"/>
      <c r="J67" s="6"/>
      <c r="K67" s="6"/>
    </row>
    <row r="68" spans="1:38" x14ac:dyDescent="0.2">
      <c r="I68" s="5"/>
      <c r="J68" s="5"/>
      <c r="K68" s="5"/>
    </row>
    <row r="69" spans="1:38" x14ac:dyDescent="0.2">
      <c r="I69" s="6"/>
      <c r="J69" s="6"/>
      <c r="K69" s="6"/>
    </row>
    <row r="70" spans="1:38" x14ac:dyDescent="0.2">
      <c r="A70" s="30">
        <v>43873</v>
      </c>
      <c r="B70" s="30"/>
      <c r="C70" s="30"/>
      <c r="D70" s="20"/>
      <c r="E70" s="20"/>
      <c r="F70" s="20"/>
      <c r="G70" s="20"/>
      <c r="I70" s="6"/>
      <c r="J70" s="6"/>
      <c r="K70" s="6"/>
      <c r="L70" s="6"/>
    </row>
    <row r="71" spans="1:38" x14ac:dyDescent="0.2">
      <c r="A71" s="20"/>
      <c r="B71" s="20"/>
      <c r="C71" s="20"/>
      <c r="D71" s="20"/>
      <c r="E71" s="20"/>
      <c r="F71" s="20"/>
      <c r="G71" s="20"/>
      <c r="I71" s="29"/>
      <c r="J71" s="29"/>
      <c r="K71" s="29"/>
      <c r="L71" s="6"/>
    </row>
    <row r="72" spans="1:38" x14ac:dyDescent="0.2">
      <c r="A72" s="20" t="s">
        <v>90</v>
      </c>
      <c r="B72" s="20" t="s">
        <v>91</v>
      </c>
      <c r="C72" s="20" t="s">
        <v>92</v>
      </c>
      <c r="D72" s="20" t="s">
        <v>93</v>
      </c>
      <c r="E72" s="20" t="s">
        <v>94</v>
      </c>
      <c r="F72" s="20" t="s">
        <v>95</v>
      </c>
      <c r="G72" s="20" t="s">
        <v>93</v>
      </c>
      <c r="I72" s="5"/>
      <c r="J72" s="5"/>
      <c r="K72" s="5"/>
      <c r="L72" s="6"/>
    </row>
    <row r="73" spans="1:38" x14ac:dyDescent="0.2">
      <c r="A73" s="20">
        <v>11</v>
      </c>
      <c r="B73" s="21">
        <f>(32+13*100)/2</f>
        <v>666</v>
      </c>
      <c r="C73" s="21">
        <v>0</v>
      </c>
      <c r="D73" s="20">
        <f t="shared" ref="D73:D78" si="1">LOG(B73)-LOG(1)</f>
        <v>2.823474229170301</v>
      </c>
      <c r="E73" s="20">
        <v>0</v>
      </c>
      <c r="F73" s="20">
        <v>0</v>
      </c>
      <c r="G73" s="20">
        <f>LOG(1)-LOG(1)</f>
        <v>0</v>
      </c>
      <c r="I73" s="7"/>
      <c r="J73" s="6"/>
      <c r="K73" s="6"/>
      <c r="L73" s="6"/>
    </row>
    <row r="74" spans="1:38" x14ac:dyDescent="0.2">
      <c r="A74" s="20">
        <v>18</v>
      </c>
      <c r="B74" s="21">
        <f>(265+16*100)/2</f>
        <v>932.5</v>
      </c>
      <c r="C74" s="20">
        <v>0</v>
      </c>
      <c r="D74" s="20">
        <f t="shared" si="1"/>
        <v>2.9696488404807253</v>
      </c>
      <c r="E74" s="21">
        <v>9</v>
      </c>
      <c r="F74" s="20">
        <f>(0+200)/2</f>
        <v>100</v>
      </c>
      <c r="G74" s="20">
        <f>LOG(E74)-LOG(F74)</f>
        <v>-1.0457574905606752</v>
      </c>
      <c r="I74" s="5"/>
      <c r="J74" s="5"/>
      <c r="K74" s="5"/>
      <c r="L74" s="6"/>
    </row>
    <row r="75" spans="1:38" x14ac:dyDescent="0.2">
      <c r="A75" s="20">
        <v>16</v>
      </c>
      <c r="B75" s="20">
        <f>G12*100</f>
        <v>3200</v>
      </c>
      <c r="C75" s="20">
        <v>0</v>
      </c>
      <c r="D75" s="20">
        <f t="shared" si="1"/>
        <v>3.5051499783199058</v>
      </c>
      <c r="E75" s="20">
        <f>H12*100</f>
        <v>1600</v>
      </c>
      <c r="F75" s="20">
        <f>(0+500)/2</f>
        <v>250</v>
      </c>
      <c r="G75" s="20">
        <f>LOG(E75)-LOG(F75)</f>
        <v>0.80617997398388708</v>
      </c>
      <c r="I75" s="7"/>
      <c r="J75" s="6"/>
      <c r="K75" s="6"/>
      <c r="L75" s="6"/>
    </row>
    <row r="76" spans="1:38" x14ac:dyDescent="0.2">
      <c r="A76" s="20">
        <v>15</v>
      </c>
      <c r="B76" s="20">
        <v>6</v>
      </c>
      <c r="C76" s="20">
        <v>0</v>
      </c>
      <c r="D76" s="20">
        <f t="shared" si="1"/>
        <v>0.77815125038364363</v>
      </c>
      <c r="E76" s="20">
        <v>0</v>
      </c>
      <c r="F76" s="20">
        <v>0</v>
      </c>
      <c r="G76" s="20">
        <f>LOG(1)-LOG(1)</f>
        <v>0</v>
      </c>
      <c r="I76" s="5"/>
      <c r="J76" s="5"/>
      <c r="K76" s="5"/>
      <c r="L76" s="6"/>
    </row>
    <row r="77" spans="1:38" x14ac:dyDescent="0.2">
      <c r="A77" s="20">
        <v>13</v>
      </c>
      <c r="B77" s="20">
        <f>G20*100</f>
        <v>5500</v>
      </c>
      <c r="C77" s="20">
        <v>0</v>
      </c>
      <c r="D77" s="20">
        <f t="shared" si="1"/>
        <v>3.7403626894942437</v>
      </c>
      <c r="E77" s="20">
        <v>2</v>
      </c>
      <c r="F77" s="20">
        <v>0</v>
      </c>
      <c r="G77" s="20">
        <f>LOG(E77)-LOG(1)</f>
        <v>0.3010299956639812</v>
      </c>
      <c r="I77" s="7"/>
      <c r="J77" s="6"/>
      <c r="K77" s="6"/>
      <c r="L77" s="6"/>
    </row>
    <row r="78" spans="1:38" x14ac:dyDescent="0.2">
      <c r="A78" s="20">
        <v>17</v>
      </c>
      <c r="B78" s="20">
        <f>G24*100</f>
        <v>23100</v>
      </c>
      <c r="C78" s="20">
        <v>0</v>
      </c>
      <c r="D78" s="20">
        <f t="shared" si="1"/>
        <v>4.363611979892144</v>
      </c>
      <c r="E78" s="20">
        <v>2</v>
      </c>
      <c r="F78" s="20">
        <v>0</v>
      </c>
      <c r="G78" s="20">
        <f>LOG(E78)-LOG(1)</f>
        <v>0.3010299956639812</v>
      </c>
      <c r="I78" s="5"/>
      <c r="J78" s="5"/>
      <c r="K78" s="5"/>
      <c r="L78" s="6"/>
    </row>
    <row r="79" spans="1:38" x14ac:dyDescent="0.2">
      <c r="A79" s="20">
        <v>14</v>
      </c>
      <c r="B79" s="20">
        <f>G28*100</f>
        <v>3500</v>
      </c>
      <c r="C79" s="20"/>
      <c r="D79" s="20"/>
      <c r="E79" s="20">
        <v>6</v>
      </c>
      <c r="F79" s="20"/>
      <c r="G79" s="20"/>
      <c r="I79" s="7"/>
      <c r="J79" s="6"/>
      <c r="K79" s="6"/>
      <c r="L79" s="6"/>
    </row>
    <row r="80" spans="1:38" x14ac:dyDescent="0.2">
      <c r="A80" s="20">
        <v>1</v>
      </c>
      <c r="B80" s="20">
        <f>(173+500)/2</f>
        <v>336.5</v>
      </c>
      <c r="C80" s="20">
        <f>(0+100)/2</f>
        <v>50</v>
      </c>
      <c r="D80" s="20">
        <f>LOG(B80)-LOG(C80)</f>
        <v>0.82801506422397697</v>
      </c>
      <c r="E80" s="20">
        <v>12</v>
      </c>
      <c r="F80" s="20">
        <v>0</v>
      </c>
      <c r="G80" s="20">
        <f>LOG(E80)-LOG(1)</f>
        <v>1.0791812460476249</v>
      </c>
      <c r="I80" s="11"/>
      <c r="J80" s="6"/>
      <c r="K80" s="6"/>
      <c r="L80" s="6"/>
    </row>
    <row r="81" spans="1:12" x14ac:dyDescent="0.2">
      <c r="A81" s="20">
        <v>12</v>
      </c>
      <c r="B81" s="20">
        <v>13</v>
      </c>
      <c r="C81" s="20">
        <v>0</v>
      </c>
      <c r="D81" s="20">
        <f t="shared" ref="D81:D85" si="2">LOG(B81)-LOG(1)</f>
        <v>1.1139433523068367</v>
      </c>
      <c r="E81" s="20">
        <v>0</v>
      </c>
      <c r="F81" s="20">
        <v>0</v>
      </c>
      <c r="G81" s="20">
        <f>LOG(1)-LOG(1)</f>
        <v>0</v>
      </c>
      <c r="I81" s="22"/>
      <c r="J81" s="5"/>
      <c r="K81" s="5"/>
      <c r="L81" s="6"/>
    </row>
    <row r="82" spans="1:12" x14ac:dyDescent="0.2">
      <c r="A82" s="20">
        <v>2</v>
      </c>
      <c r="B82" s="20">
        <f>(20+169*100)/2</f>
        <v>8460</v>
      </c>
      <c r="C82" s="20">
        <f>(0+100)/2</f>
        <v>50</v>
      </c>
      <c r="D82" s="20">
        <f>LOG(B82)-LOG(C82)</f>
        <v>2.2284003587030048</v>
      </c>
      <c r="E82" s="20">
        <v>13</v>
      </c>
      <c r="F82" s="20">
        <f>100/2</f>
        <v>50</v>
      </c>
      <c r="G82" s="20">
        <f>LOG(E82)-LOG(F82)</f>
        <v>-0.58502665202918203</v>
      </c>
      <c r="I82" s="22"/>
      <c r="J82" s="5"/>
      <c r="K82" s="5"/>
      <c r="L82" s="6"/>
    </row>
    <row r="83" spans="1:12" x14ac:dyDescent="0.2">
      <c r="A83" s="20">
        <v>19</v>
      </c>
      <c r="B83" s="20">
        <f>(33+200)/2</f>
        <v>116.5</v>
      </c>
      <c r="C83" s="20">
        <v>0</v>
      </c>
      <c r="D83" s="20">
        <f t="shared" si="2"/>
        <v>2.0663259253620376</v>
      </c>
      <c r="E83" s="20">
        <v>6</v>
      </c>
      <c r="F83" s="20">
        <v>0</v>
      </c>
      <c r="G83" s="20">
        <f>LOG(E83)-LOG(1)</f>
        <v>0.77815125038364363</v>
      </c>
      <c r="I83" s="11"/>
      <c r="J83" s="6"/>
      <c r="K83" s="6"/>
      <c r="L83" s="6"/>
    </row>
    <row r="84" spans="1:12" x14ac:dyDescent="0.2">
      <c r="A84" s="20">
        <v>20</v>
      </c>
      <c r="B84" s="20">
        <f>(44+42*100)/2</f>
        <v>2122</v>
      </c>
      <c r="C84" s="20">
        <v>20</v>
      </c>
      <c r="D84" s="20">
        <f>LOG(B84)-LOG(C84)</f>
        <v>2.0257153839013404</v>
      </c>
      <c r="E84" s="20">
        <v>5</v>
      </c>
      <c r="F84" s="20">
        <v>0</v>
      </c>
      <c r="G84" s="20">
        <f>LOG(E84)-LOG(1)</f>
        <v>0.69897000433601886</v>
      </c>
      <c r="I84" s="22"/>
      <c r="J84" s="5"/>
      <c r="K84" s="5"/>
      <c r="L84" s="6"/>
    </row>
    <row r="85" spans="1:12" x14ac:dyDescent="0.2">
      <c r="A85" s="20">
        <v>3</v>
      </c>
      <c r="B85" s="20">
        <f>(52+300)/2</f>
        <v>176</v>
      </c>
      <c r="C85" s="20">
        <v>0</v>
      </c>
      <c r="D85" s="20">
        <f t="shared" si="2"/>
        <v>2.2455126678141499</v>
      </c>
      <c r="E85" s="20">
        <v>0</v>
      </c>
      <c r="F85" s="20">
        <v>0</v>
      </c>
      <c r="G85" s="20">
        <f>LOG(1)-LOG(1)</f>
        <v>0</v>
      </c>
      <c r="I85" s="11"/>
      <c r="J85" s="6"/>
      <c r="K85" s="6"/>
      <c r="L85" s="6"/>
    </row>
    <row r="86" spans="1:12" x14ac:dyDescent="0.2">
      <c r="I86" s="6"/>
      <c r="J86" s="6"/>
      <c r="K86" s="6"/>
      <c r="L86" s="6"/>
    </row>
    <row r="87" spans="1:12" x14ac:dyDescent="0.2">
      <c r="A87" s="30">
        <v>43878</v>
      </c>
      <c r="B87" s="30"/>
      <c r="C87" s="30"/>
      <c r="D87" s="20"/>
      <c r="E87" s="20"/>
      <c r="F87" s="20"/>
      <c r="G87" s="20"/>
      <c r="I87" s="29"/>
      <c r="J87" s="29"/>
      <c r="K87" s="29"/>
      <c r="L87" s="6"/>
    </row>
    <row r="88" spans="1:12" x14ac:dyDescent="0.2">
      <c r="A88" s="20" t="s">
        <v>90</v>
      </c>
      <c r="B88" s="20" t="s">
        <v>91</v>
      </c>
      <c r="C88" s="20" t="s">
        <v>92</v>
      </c>
      <c r="D88" s="20" t="s">
        <v>93</v>
      </c>
      <c r="E88" s="20" t="s">
        <v>94</v>
      </c>
      <c r="F88" s="20" t="s">
        <v>95</v>
      </c>
      <c r="G88" s="20" t="s">
        <v>93</v>
      </c>
      <c r="I88" s="11"/>
      <c r="J88" s="6"/>
      <c r="K88" s="6"/>
      <c r="L88" s="6"/>
    </row>
    <row r="89" spans="1:12" x14ac:dyDescent="0.2">
      <c r="A89" s="20">
        <v>13</v>
      </c>
      <c r="B89" s="20">
        <v>900</v>
      </c>
      <c r="C89" s="20">
        <v>0</v>
      </c>
      <c r="D89" s="20">
        <f>LOG(B89)-LOG(1)</f>
        <v>2.9542425094393248</v>
      </c>
      <c r="E89" s="20">
        <v>0</v>
      </c>
      <c r="F89" s="20">
        <v>0</v>
      </c>
      <c r="G89" s="20">
        <f>LOG(1)-LOG(1)</f>
        <v>0</v>
      </c>
      <c r="I89" s="22"/>
      <c r="J89" s="6"/>
      <c r="K89" s="6"/>
      <c r="L89" s="6"/>
    </row>
    <row r="90" spans="1:12" x14ac:dyDescent="0.2">
      <c r="A90" s="20">
        <v>12</v>
      </c>
      <c r="B90" s="20">
        <f>(114+14*100)/2</f>
        <v>757</v>
      </c>
      <c r="C90" s="20">
        <v>0</v>
      </c>
      <c r="D90" s="20">
        <f>LOG(B90)-LOG(1)</f>
        <v>2.8790958795000727</v>
      </c>
      <c r="E90" s="20">
        <v>0</v>
      </c>
      <c r="F90" s="20">
        <v>0</v>
      </c>
      <c r="G90" s="20">
        <f>LOG(1)-LOG(1)</f>
        <v>0</v>
      </c>
      <c r="I90" s="22"/>
      <c r="J90" s="6"/>
      <c r="K90" s="6"/>
      <c r="L90" s="6"/>
    </row>
    <row r="91" spans="1:12" x14ac:dyDescent="0.2">
      <c r="A91" s="20">
        <v>11</v>
      </c>
      <c r="B91" s="20">
        <f>(147+32*100)/2</f>
        <v>1673.5</v>
      </c>
      <c r="C91" s="20">
        <v>0</v>
      </c>
      <c r="D91" s="20">
        <f>LOG(B91)-LOG(1)</f>
        <v>3.2236257166937961</v>
      </c>
      <c r="E91" s="20">
        <v>0</v>
      </c>
      <c r="F91" s="20">
        <v>0</v>
      </c>
      <c r="G91" s="20">
        <f t="shared" ref="G91:G99" si="3">LOG(1)-LOG(1)</f>
        <v>0</v>
      </c>
      <c r="I91" s="11"/>
      <c r="J91" s="6"/>
      <c r="K91" s="6"/>
      <c r="L91" s="6"/>
    </row>
    <row r="92" spans="1:12" x14ac:dyDescent="0.2">
      <c r="A92" s="20">
        <v>17</v>
      </c>
      <c r="B92" s="20">
        <f>(80+300)/2</f>
        <v>190</v>
      </c>
      <c r="C92" s="20">
        <v>0</v>
      </c>
      <c r="D92" s="20">
        <f>LOG(B92)-LOG(1)</f>
        <v>2.2787536009528289</v>
      </c>
      <c r="E92" s="20">
        <v>0</v>
      </c>
      <c r="F92" s="20">
        <v>0</v>
      </c>
      <c r="G92" s="20">
        <f t="shared" si="3"/>
        <v>0</v>
      </c>
      <c r="I92" s="22"/>
      <c r="J92" s="6"/>
      <c r="K92" s="6"/>
      <c r="L92" s="6"/>
    </row>
    <row r="93" spans="1:12" x14ac:dyDescent="0.2">
      <c r="A93" s="20">
        <v>10</v>
      </c>
      <c r="B93" s="20">
        <f>(42+100)/2</f>
        <v>71</v>
      </c>
      <c r="C93" s="20">
        <v>64</v>
      </c>
      <c r="D93" s="20">
        <f t="shared" ref="D93:D99" si="4">LOG(B93)-LOG(C93)</f>
        <v>4.5078374735188165E-2</v>
      </c>
      <c r="E93" s="20">
        <v>0</v>
      </c>
      <c r="F93" s="20">
        <v>0</v>
      </c>
      <c r="G93" s="20">
        <f t="shared" si="3"/>
        <v>0</v>
      </c>
      <c r="I93" s="11"/>
      <c r="J93" s="6"/>
      <c r="K93" s="6"/>
      <c r="L93" s="6"/>
    </row>
    <row r="94" spans="1:12" x14ac:dyDescent="0.2">
      <c r="A94" s="20">
        <v>9</v>
      </c>
      <c r="B94" s="20">
        <f>(14+100)/2</f>
        <v>57</v>
      </c>
      <c r="C94" s="20">
        <v>0</v>
      </c>
      <c r="D94" s="20">
        <f>LOG(B94)-LOG(1)</f>
        <v>1.7558748556724915</v>
      </c>
      <c r="E94" s="20">
        <v>2</v>
      </c>
      <c r="F94" s="20">
        <v>0</v>
      </c>
      <c r="G94" s="20">
        <f>LOG(E94)-LOG(1)</f>
        <v>0.3010299956639812</v>
      </c>
      <c r="I94" s="22"/>
      <c r="J94" s="6"/>
      <c r="K94" s="6"/>
      <c r="L94" s="6"/>
    </row>
    <row r="95" spans="1:12" x14ac:dyDescent="0.2">
      <c r="A95" s="20">
        <v>8</v>
      </c>
      <c r="B95" s="20">
        <f>L28*100</f>
        <v>2700</v>
      </c>
      <c r="C95" s="20">
        <f>(56+10*100)/2</f>
        <v>528</v>
      </c>
      <c r="D95" s="20">
        <f>LOG(B95)-LOG(C95)</f>
        <v>0.70872984162517527</v>
      </c>
      <c r="E95" s="20">
        <v>0</v>
      </c>
      <c r="F95" s="20">
        <v>0</v>
      </c>
      <c r="G95" s="20">
        <f t="shared" si="3"/>
        <v>0</v>
      </c>
      <c r="I95" s="11"/>
      <c r="J95" s="6"/>
      <c r="K95" s="6"/>
      <c r="L95" s="6"/>
    </row>
    <row r="96" spans="1:12" x14ac:dyDescent="0.2">
      <c r="A96" s="20">
        <v>3</v>
      </c>
      <c r="B96" s="20">
        <f>L32*100</f>
        <v>30000</v>
      </c>
      <c r="C96" s="20">
        <v>0</v>
      </c>
      <c r="D96" s="20">
        <f>LOG(B96)-LOG(1)</f>
        <v>4.4771212547196626</v>
      </c>
      <c r="E96" s="20">
        <f>(86+100)/2</f>
        <v>93</v>
      </c>
      <c r="F96" s="20">
        <v>0</v>
      </c>
      <c r="G96" s="20">
        <f>LOG(E96)-LOG(1)</f>
        <v>1.968482948553935</v>
      </c>
      <c r="I96" s="5"/>
      <c r="J96" s="6"/>
      <c r="K96" s="6"/>
      <c r="L96" s="6"/>
    </row>
    <row r="97" spans="1:12" x14ac:dyDescent="0.2">
      <c r="A97" s="20">
        <v>6</v>
      </c>
      <c r="B97" s="20">
        <f>(177+6*100)/2</f>
        <v>388.5</v>
      </c>
      <c r="C97" s="20">
        <f>(0+11*100)/2</f>
        <v>550</v>
      </c>
      <c r="D97" s="20">
        <f>LOG(B97)-LOG(C97)</f>
        <v>-0.15097166635731041</v>
      </c>
      <c r="E97" s="20">
        <v>6</v>
      </c>
      <c r="F97" s="20">
        <v>5</v>
      </c>
      <c r="G97" s="20">
        <f>LOG(E97)-LOG(F97)</f>
        <v>7.9181246047624776E-2</v>
      </c>
      <c r="I97" s="7"/>
      <c r="J97" s="6"/>
      <c r="K97" s="6"/>
      <c r="L97" s="6"/>
    </row>
    <row r="98" spans="1:12" x14ac:dyDescent="0.2">
      <c r="A98" s="20">
        <v>4</v>
      </c>
      <c r="B98" s="20">
        <f>L40*100</f>
        <v>4600</v>
      </c>
      <c r="C98" s="20">
        <v>5</v>
      </c>
      <c r="D98" s="20">
        <f t="shared" si="4"/>
        <v>2.9637878273455551</v>
      </c>
      <c r="E98" s="20">
        <v>50</v>
      </c>
      <c r="F98" s="20">
        <v>0</v>
      </c>
      <c r="G98" s="20">
        <f>LOG(E98)-LOG(1)</f>
        <v>1.6989700043360187</v>
      </c>
      <c r="I98" s="5"/>
      <c r="J98" s="6"/>
      <c r="K98" s="5"/>
      <c r="L98" s="6"/>
    </row>
    <row r="99" spans="1:12" x14ac:dyDescent="0.2">
      <c r="A99" s="20">
        <v>5</v>
      </c>
      <c r="B99" s="20">
        <f>L44*100</f>
        <v>1800</v>
      </c>
      <c r="C99" s="20">
        <f>(136+28*100)/2</f>
        <v>1468</v>
      </c>
      <c r="D99" s="20">
        <f t="shared" si="4"/>
        <v>8.8546449523254189E-2</v>
      </c>
      <c r="E99" s="20">
        <v>0</v>
      </c>
      <c r="F99" s="20">
        <v>0</v>
      </c>
      <c r="G99" s="20">
        <f t="shared" si="3"/>
        <v>0</v>
      </c>
      <c r="I99" s="7"/>
      <c r="J99" s="6"/>
      <c r="K99" s="6"/>
      <c r="L99" s="6"/>
    </row>
    <row r="100" spans="1:12" x14ac:dyDescent="0.2">
      <c r="I100" s="22"/>
      <c r="J100" s="5"/>
      <c r="K100" s="5"/>
      <c r="L100" s="6"/>
    </row>
    <row r="101" spans="1:12" x14ac:dyDescent="0.2">
      <c r="I101" s="6"/>
      <c r="J101" s="6"/>
      <c r="K101" s="6"/>
      <c r="L101" s="6"/>
    </row>
    <row r="102" spans="1:12" x14ac:dyDescent="0.2">
      <c r="A102" s="30">
        <v>43879</v>
      </c>
      <c r="B102" s="30"/>
      <c r="C102" s="30"/>
      <c r="D102" s="20"/>
      <c r="E102" s="20"/>
      <c r="F102" s="20"/>
      <c r="G102" s="20"/>
      <c r="I102" s="29"/>
      <c r="J102" s="29"/>
      <c r="K102" s="29"/>
      <c r="L102" s="6"/>
    </row>
    <row r="103" spans="1:12" x14ac:dyDescent="0.2">
      <c r="A103" s="20" t="s">
        <v>90</v>
      </c>
      <c r="B103" s="20" t="s">
        <v>91</v>
      </c>
      <c r="C103" s="20" t="s">
        <v>92</v>
      </c>
      <c r="D103" s="20" t="s">
        <v>93</v>
      </c>
      <c r="E103" s="20" t="s">
        <v>94</v>
      </c>
      <c r="F103" s="20" t="s">
        <v>95</v>
      </c>
      <c r="G103" s="20" t="s">
        <v>93</v>
      </c>
      <c r="I103" s="22"/>
      <c r="J103" s="5"/>
      <c r="K103" s="5"/>
      <c r="L103" s="6"/>
    </row>
    <row r="104" spans="1:12" x14ac:dyDescent="0.2">
      <c r="A104" s="20">
        <v>20</v>
      </c>
      <c r="B104" s="20">
        <f>(55+600)/2</f>
        <v>327.5</v>
      </c>
      <c r="C104" s="20">
        <f>(192+34*100)/2</f>
        <v>1796</v>
      </c>
      <c r="D104" s="20">
        <f>LOG(B104)-LOG(C104)</f>
        <v>-0.73909502800348381</v>
      </c>
      <c r="E104" s="20">
        <v>0</v>
      </c>
      <c r="F104" s="20">
        <v>9</v>
      </c>
      <c r="G104" s="20">
        <f>LOG(1)-LOG(F104)</f>
        <v>-0.95424250943932487</v>
      </c>
      <c r="I104" s="11"/>
      <c r="J104" s="6"/>
      <c r="K104" s="6"/>
      <c r="L104" s="6"/>
    </row>
    <row r="105" spans="1:12" x14ac:dyDescent="0.2">
      <c r="A105" s="20">
        <v>14</v>
      </c>
      <c r="B105" s="20">
        <f>(210+900)/2</f>
        <v>555</v>
      </c>
      <c r="C105" s="20">
        <v>0</v>
      </c>
      <c r="D105" s="20">
        <f>LOG(B105)-LOG(1)</f>
        <v>2.7442929831226763</v>
      </c>
      <c r="E105" s="20">
        <v>2</v>
      </c>
      <c r="F105" s="20">
        <v>0</v>
      </c>
      <c r="G105" s="20">
        <f>LOG(E105)-LOG(1)</f>
        <v>0.3010299956639812</v>
      </c>
      <c r="I105" s="22"/>
      <c r="J105" s="5"/>
      <c r="K105" s="5"/>
      <c r="L105" s="6"/>
    </row>
    <row r="106" spans="1:12" x14ac:dyDescent="0.2">
      <c r="A106" s="20">
        <v>1</v>
      </c>
      <c r="B106" s="20">
        <f>(76+200)/2</f>
        <v>138</v>
      </c>
      <c r="C106" s="20">
        <f>(57+600)/2</f>
        <v>328.5</v>
      </c>
      <c r="D106" s="20">
        <f t="shared" ref="D106:D112" si="5">LOG(B106)-LOG(C106)</f>
        <v>-0.37665628749456292</v>
      </c>
      <c r="E106" s="20">
        <v>2</v>
      </c>
      <c r="F106" s="20">
        <f>(14+100)/2</f>
        <v>57</v>
      </c>
      <c r="G106" s="20">
        <f>LOG(E106)-LOG(F106)</f>
        <v>-1.4548448600085102</v>
      </c>
      <c r="I106" s="11"/>
      <c r="J106" s="6"/>
      <c r="K106" s="6"/>
      <c r="L106" s="6"/>
    </row>
    <row r="107" spans="1:12" x14ac:dyDescent="0.2">
      <c r="A107" s="20">
        <v>2</v>
      </c>
      <c r="B107" s="20">
        <f>(4+300)/2</f>
        <v>152</v>
      </c>
      <c r="C107" s="20">
        <v>0</v>
      </c>
      <c r="D107" s="20">
        <f>LOG(B107)-LOG(1)</f>
        <v>2.1818435879447726</v>
      </c>
      <c r="E107" s="20">
        <v>0</v>
      </c>
      <c r="F107" s="20">
        <v>0</v>
      </c>
      <c r="G107" s="20">
        <f>LOG(1)-LOG(1)</f>
        <v>0</v>
      </c>
      <c r="I107" s="22"/>
      <c r="J107" s="5"/>
      <c r="K107" s="5"/>
      <c r="L107" s="6"/>
    </row>
    <row r="108" spans="1:12" x14ac:dyDescent="0.2">
      <c r="A108" s="20">
        <v>13</v>
      </c>
      <c r="B108" s="20">
        <f>(163+600)/2</f>
        <v>381.5</v>
      </c>
      <c r="C108" s="20">
        <f>(1+300)/2</f>
        <v>150.5</v>
      </c>
      <c r="D108" s="20">
        <f t="shared" si="5"/>
        <v>0.40395804236103716</v>
      </c>
      <c r="E108" s="20">
        <v>0</v>
      </c>
      <c r="F108" s="20">
        <v>0</v>
      </c>
      <c r="G108" s="20">
        <f>LOG(1)-LOG(1)</f>
        <v>0</v>
      </c>
      <c r="I108" s="11"/>
      <c r="J108" s="6"/>
      <c r="K108" s="6"/>
      <c r="L108" s="6"/>
    </row>
    <row r="109" spans="1:12" x14ac:dyDescent="0.2">
      <c r="A109" s="20">
        <v>17</v>
      </c>
      <c r="B109" s="20">
        <f>(32+200)/2</f>
        <v>116</v>
      </c>
      <c r="C109" s="20">
        <f>200/2</f>
        <v>100</v>
      </c>
      <c r="D109" s="20">
        <f>LOG(B109)-LOG(C109)</f>
        <v>6.4457989226918588E-2</v>
      </c>
      <c r="E109" s="20">
        <v>0</v>
      </c>
      <c r="F109" s="20">
        <v>0</v>
      </c>
      <c r="G109" s="20">
        <f>LOG(1)-LOG(1)</f>
        <v>0</v>
      </c>
      <c r="I109" s="22"/>
      <c r="J109" s="5"/>
      <c r="K109" s="5"/>
      <c r="L109" s="6"/>
    </row>
    <row r="110" spans="1:12" x14ac:dyDescent="0.2">
      <c r="A110" s="20">
        <v>4</v>
      </c>
      <c r="B110" s="20">
        <f>(29+800)/2</f>
        <v>414.5</v>
      </c>
      <c r="C110" s="20">
        <v>30</v>
      </c>
      <c r="D110" s="20">
        <f t="shared" si="5"/>
        <v>1.1404032801666302</v>
      </c>
      <c r="E110" s="20">
        <v>0</v>
      </c>
      <c r="F110" s="20">
        <v>0</v>
      </c>
      <c r="G110" s="20">
        <f>LOG(1)-LOG(1)</f>
        <v>0</v>
      </c>
      <c r="I110" s="11"/>
      <c r="J110" s="6"/>
      <c r="K110" s="6"/>
      <c r="L110" s="6"/>
    </row>
    <row r="111" spans="1:12" x14ac:dyDescent="0.2">
      <c r="A111" s="20">
        <v>19</v>
      </c>
      <c r="B111" s="20">
        <f>(18+29*100)/2</f>
        <v>1459</v>
      </c>
      <c r="C111" s="20">
        <v>0</v>
      </c>
      <c r="D111" s="20">
        <f>LOG(B111)-LOG(1)</f>
        <v>3.1640552918934515</v>
      </c>
      <c r="E111" s="20">
        <v>1</v>
      </c>
      <c r="F111" s="20">
        <v>0</v>
      </c>
      <c r="G111" s="20">
        <f>LOG(E111)-LOG(1)</f>
        <v>0</v>
      </c>
      <c r="I111" s="22"/>
      <c r="J111" s="5"/>
      <c r="K111" s="5"/>
      <c r="L111" s="6"/>
    </row>
    <row r="112" spans="1:12" x14ac:dyDescent="0.2">
      <c r="A112" s="20">
        <v>5</v>
      </c>
      <c r="B112" s="20">
        <f>Q36*100</f>
        <v>10800</v>
      </c>
      <c r="C112" s="20">
        <f>Q38*100</f>
        <v>4100</v>
      </c>
      <c r="D112" s="20">
        <f t="shared" si="5"/>
        <v>0.42063989876721397</v>
      </c>
      <c r="E112" s="20">
        <v>100</v>
      </c>
      <c r="F112" s="20">
        <v>0</v>
      </c>
      <c r="G112" s="20">
        <f>LOG(E112)-LOG(1)</f>
        <v>2</v>
      </c>
      <c r="I112" s="11"/>
      <c r="J112" s="6"/>
      <c r="K112" s="6"/>
      <c r="L112" s="6"/>
    </row>
    <row r="113" spans="1:12" x14ac:dyDescent="0.2">
      <c r="A113" s="20">
        <v>18</v>
      </c>
      <c r="B113" s="20">
        <f>(148+31*100)/2</f>
        <v>1624</v>
      </c>
      <c r="C113" s="20">
        <v>50</v>
      </c>
      <c r="D113" s="20">
        <f>LOG(B113)-LOG(C113)</f>
        <v>1.5116160205691376</v>
      </c>
      <c r="E113" s="20">
        <v>3</v>
      </c>
      <c r="F113" s="20">
        <v>0</v>
      </c>
      <c r="G113" s="20">
        <f>LOG(E113)-LOG(1)</f>
        <v>0.47712125471966244</v>
      </c>
      <c r="I113" s="22"/>
      <c r="J113" s="5"/>
      <c r="K113" s="5"/>
      <c r="L113" s="6"/>
    </row>
    <row r="114" spans="1:12" x14ac:dyDescent="0.2">
      <c r="A114" s="20">
        <v>15</v>
      </c>
      <c r="B114" s="20">
        <f>(14+100)/2</f>
        <v>57</v>
      </c>
      <c r="C114" s="20">
        <v>0</v>
      </c>
      <c r="D114" s="20">
        <f>LOG(B114)-LOG(1)</f>
        <v>1.7558748556724915</v>
      </c>
      <c r="E114" s="20">
        <v>0</v>
      </c>
      <c r="F114" s="20">
        <v>0</v>
      </c>
      <c r="G114" s="20">
        <f>LOG(1)-LOG(1)</f>
        <v>0</v>
      </c>
      <c r="I114" s="11"/>
      <c r="J114" s="6"/>
      <c r="K114" s="6"/>
      <c r="L114" s="6"/>
    </row>
    <row r="115" spans="1:12" x14ac:dyDescent="0.2">
      <c r="I115" s="22"/>
      <c r="J115" s="5"/>
      <c r="K115" s="5"/>
      <c r="L115" s="6"/>
    </row>
    <row r="116" spans="1:12" x14ac:dyDescent="0.2">
      <c r="I116" s="6"/>
      <c r="J116" s="6"/>
      <c r="K116" s="6"/>
      <c r="L116" s="6"/>
    </row>
    <row r="117" spans="1:12" x14ac:dyDescent="0.2">
      <c r="A117" s="30">
        <v>43880</v>
      </c>
      <c r="B117" s="30"/>
      <c r="C117" s="30"/>
      <c r="D117" s="20"/>
      <c r="E117" s="20"/>
      <c r="F117" s="20"/>
      <c r="G117" s="20"/>
      <c r="I117" s="29"/>
      <c r="J117" s="29"/>
      <c r="K117" s="29"/>
      <c r="L117" s="6"/>
    </row>
    <row r="118" spans="1:12" x14ac:dyDescent="0.2">
      <c r="A118" s="20" t="s">
        <v>90</v>
      </c>
      <c r="B118" s="20" t="s">
        <v>91</v>
      </c>
      <c r="C118" s="20" t="s">
        <v>92</v>
      </c>
      <c r="D118" s="20" t="s">
        <v>93</v>
      </c>
      <c r="E118" s="20" t="s">
        <v>94</v>
      </c>
      <c r="F118" s="20" t="s">
        <v>95</v>
      </c>
      <c r="G118" s="20" t="s">
        <v>93</v>
      </c>
      <c r="I118" s="22"/>
      <c r="J118" s="5"/>
      <c r="K118" s="5"/>
      <c r="L118" s="6"/>
    </row>
    <row r="119" spans="1:12" x14ac:dyDescent="0.2">
      <c r="A119" s="20">
        <v>17</v>
      </c>
      <c r="B119" s="20">
        <f>(102+200)/2</f>
        <v>151</v>
      </c>
      <c r="C119" s="20">
        <v>0</v>
      </c>
      <c r="D119" s="20">
        <f>LOG(B119)-LOG(1)</f>
        <v>2.1789769472931693</v>
      </c>
      <c r="E119" s="20">
        <v>0</v>
      </c>
      <c r="F119" s="20">
        <v>0</v>
      </c>
      <c r="G119" s="20">
        <f>LOG(1)-LOG(1)</f>
        <v>0</v>
      </c>
      <c r="I119" s="11"/>
      <c r="J119" s="6"/>
      <c r="K119" s="6"/>
      <c r="L119" s="6"/>
    </row>
    <row r="120" spans="1:12" x14ac:dyDescent="0.2">
      <c r="A120" s="20">
        <v>7</v>
      </c>
      <c r="B120" s="20">
        <f>V8*100</f>
        <v>15400</v>
      </c>
      <c r="C120" s="20">
        <f>(169+25*100)/2</f>
        <v>1334.5</v>
      </c>
      <c r="D120" s="20">
        <f>LOG(B120)-LOG(C120)</f>
        <v>1.0622021427129362</v>
      </c>
      <c r="E120" s="20">
        <v>1</v>
      </c>
      <c r="F120" s="20">
        <v>0</v>
      </c>
      <c r="G120" s="20">
        <f>LOG(E120)-LOG(1)</f>
        <v>0</v>
      </c>
      <c r="I120" s="22"/>
      <c r="J120" s="5"/>
      <c r="K120" s="5"/>
      <c r="L120" s="6"/>
    </row>
    <row r="121" spans="1:12" x14ac:dyDescent="0.2">
      <c r="A121" s="20">
        <v>10</v>
      </c>
      <c r="B121" s="20">
        <v>0</v>
      </c>
      <c r="C121" s="20">
        <v>49</v>
      </c>
      <c r="D121" s="20">
        <f>LOG(1)-LOG(C121)</f>
        <v>-1.6901960800285136</v>
      </c>
      <c r="E121" s="20">
        <v>0</v>
      </c>
      <c r="F121" s="20">
        <v>0</v>
      </c>
      <c r="G121" s="20">
        <f>LOG(1)-LOG(1)</f>
        <v>0</v>
      </c>
      <c r="I121" s="11"/>
      <c r="J121" s="6"/>
      <c r="K121" s="6"/>
      <c r="L121" s="6"/>
    </row>
    <row r="122" spans="1:12" x14ac:dyDescent="0.2">
      <c r="A122" s="20">
        <v>6</v>
      </c>
      <c r="B122" s="20">
        <f>(70+800)/2</f>
        <v>435</v>
      </c>
      <c r="C122" s="20">
        <v>0</v>
      </c>
      <c r="D122" s="20">
        <f>LOG(B122)-LOG(1)</f>
        <v>2.6384892569546374</v>
      </c>
      <c r="E122" s="20">
        <v>5</v>
      </c>
      <c r="F122" s="20">
        <v>0</v>
      </c>
      <c r="G122" s="20">
        <f>LOG(E122)-LOG(1)</f>
        <v>0.69897000433601886</v>
      </c>
      <c r="I122" s="7"/>
      <c r="J122" s="6"/>
      <c r="K122" s="5"/>
      <c r="L122" s="6"/>
    </row>
    <row r="123" spans="1:12" x14ac:dyDescent="0.2">
      <c r="A123" s="20">
        <v>12</v>
      </c>
      <c r="B123" s="20">
        <v>0</v>
      </c>
      <c r="C123" s="20">
        <v>0</v>
      </c>
      <c r="D123" s="20">
        <f>LOG(1)-LOG(1)</f>
        <v>0</v>
      </c>
      <c r="E123" s="20">
        <v>0</v>
      </c>
      <c r="F123" s="20">
        <v>0</v>
      </c>
      <c r="G123" s="20">
        <f>LOG(1)-LOG(1)</f>
        <v>0</v>
      </c>
      <c r="I123" s="5"/>
      <c r="J123" s="5"/>
      <c r="K123" s="6"/>
      <c r="L123" s="6"/>
    </row>
    <row r="124" spans="1:12" x14ac:dyDescent="0.2">
      <c r="A124" s="20">
        <v>15</v>
      </c>
      <c r="B124" s="20">
        <v>0</v>
      </c>
      <c r="C124" s="20">
        <v>0</v>
      </c>
      <c r="D124" s="20">
        <f>LOG(1)-LOG(1)</f>
        <v>0</v>
      </c>
      <c r="E124" s="20">
        <v>0</v>
      </c>
      <c r="F124" s="20">
        <v>0</v>
      </c>
      <c r="G124" s="20">
        <f>LOG(1)-LOG(1)</f>
        <v>0</v>
      </c>
      <c r="I124" s="5"/>
      <c r="J124" s="5"/>
      <c r="K124" s="5"/>
      <c r="L124" s="6"/>
    </row>
    <row r="125" spans="1:12" x14ac:dyDescent="0.2">
      <c r="A125" s="20">
        <v>18</v>
      </c>
      <c r="B125" s="21">
        <f>(96+80*100)/2</f>
        <v>4048</v>
      </c>
      <c r="C125" s="21">
        <f>200/2</f>
        <v>100</v>
      </c>
      <c r="D125" s="20">
        <f>LOG(B125)-LOG(C125)</f>
        <v>1.6072405038317426</v>
      </c>
      <c r="E125" s="20">
        <v>2</v>
      </c>
      <c r="F125" s="20">
        <v>0</v>
      </c>
      <c r="G125" s="20">
        <f>LOG(E125)-LOG(1)</f>
        <v>0.3010299956639812</v>
      </c>
      <c r="I125" s="6"/>
      <c r="J125" s="6"/>
      <c r="K125" s="6"/>
      <c r="L125" s="6"/>
    </row>
    <row r="126" spans="1:12" x14ac:dyDescent="0.2">
      <c r="A126" s="20">
        <v>16</v>
      </c>
      <c r="B126" s="20">
        <f>(30+18*100)/2</f>
        <v>915</v>
      </c>
      <c r="C126" s="20">
        <f>82*100</f>
        <v>8200</v>
      </c>
      <c r="D126" s="20">
        <f>LOG(B126)-LOG(C126)</f>
        <v>-0.95239275831726822</v>
      </c>
      <c r="E126" s="20">
        <v>1</v>
      </c>
      <c r="F126" s="20">
        <v>1</v>
      </c>
      <c r="G126" s="20">
        <f>LOG(1)-LOG(1)</f>
        <v>0</v>
      </c>
      <c r="I126" s="29"/>
      <c r="J126" s="29"/>
      <c r="K126" s="29"/>
    </row>
    <row r="127" spans="1:12" x14ac:dyDescent="0.2">
      <c r="A127" s="20">
        <v>11</v>
      </c>
      <c r="B127" s="21">
        <v>33</v>
      </c>
      <c r="C127" s="21">
        <v>50</v>
      </c>
      <c r="D127" s="20">
        <f>LOG(B127)-LOG(C127)</f>
        <v>-0.18045606445813123</v>
      </c>
      <c r="E127" s="20">
        <v>4</v>
      </c>
      <c r="F127" s="20">
        <v>0</v>
      </c>
      <c r="G127" s="20">
        <f>LOG(E127)-LOG(1)</f>
        <v>0.6020599913279624</v>
      </c>
      <c r="I127" s="11"/>
      <c r="J127" s="6"/>
      <c r="K127" s="6"/>
    </row>
    <row r="128" spans="1:12" x14ac:dyDescent="0.2">
      <c r="A128" s="20">
        <v>19</v>
      </c>
      <c r="B128" s="20">
        <f>97*100</f>
        <v>9700</v>
      </c>
      <c r="C128" s="20">
        <f>16*100</f>
        <v>1600</v>
      </c>
      <c r="D128" s="20">
        <f>LOG(B128)-LOG(C128)</f>
        <v>0.78265175161032019</v>
      </c>
      <c r="E128" s="20">
        <v>19</v>
      </c>
      <c r="F128" s="20">
        <v>0</v>
      </c>
      <c r="G128" s="20">
        <f>LOG(E128)-LOG(1)</f>
        <v>1.2787536009528289</v>
      </c>
      <c r="I128" s="22"/>
      <c r="J128" s="5"/>
      <c r="K128" s="5"/>
    </row>
    <row r="129" spans="1:11" x14ac:dyDescent="0.2">
      <c r="A129" s="20">
        <v>9</v>
      </c>
      <c r="B129" s="21">
        <f>(2+3*100)/2</f>
        <v>151</v>
      </c>
      <c r="C129" s="21">
        <v>0</v>
      </c>
      <c r="D129" s="20">
        <f>LOG(B129)-LOG(1)</f>
        <v>2.1789769472931693</v>
      </c>
      <c r="E129" s="20">
        <v>1</v>
      </c>
      <c r="F129" s="20">
        <v>0</v>
      </c>
      <c r="G129" s="20">
        <f>LOG(E129)-LOG(1)</f>
        <v>0</v>
      </c>
      <c r="I129" s="22"/>
      <c r="J129" s="5"/>
      <c r="K129" s="5"/>
    </row>
    <row r="130" spans="1:11" x14ac:dyDescent="0.2">
      <c r="I130" s="11"/>
      <c r="J130" s="6"/>
      <c r="K130" s="6"/>
    </row>
    <row r="131" spans="1:11" x14ac:dyDescent="0.2">
      <c r="A131" s="30">
        <v>43881</v>
      </c>
      <c r="B131" s="30"/>
      <c r="C131" s="30"/>
      <c r="D131" s="20"/>
      <c r="E131" s="20"/>
      <c r="F131" s="20"/>
      <c r="G131" s="20"/>
      <c r="I131" s="5"/>
      <c r="J131" s="5"/>
      <c r="K131" s="5"/>
    </row>
    <row r="132" spans="1:11" x14ac:dyDescent="0.2">
      <c r="A132" s="20" t="s">
        <v>90</v>
      </c>
      <c r="B132" s="20" t="s">
        <v>91</v>
      </c>
      <c r="C132" s="20" t="s">
        <v>92</v>
      </c>
      <c r="D132" s="20" t="s">
        <v>93</v>
      </c>
      <c r="E132" s="20" t="s">
        <v>94</v>
      </c>
      <c r="F132" s="20" t="s">
        <v>95</v>
      </c>
      <c r="G132" s="20" t="s">
        <v>93</v>
      </c>
      <c r="I132" s="7"/>
      <c r="J132" s="6"/>
      <c r="K132" s="6"/>
    </row>
    <row r="133" spans="1:11" x14ac:dyDescent="0.2">
      <c r="A133" s="20">
        <v>14</v>
      </c>
      <c r="B133" s="20">
        <f>92*100</f>
        <v>9200</v>
      </c>
      <c r="C133" s="20">
        <v>0</v>
      </c>
      <c r="D133" s="20">
        <f>LOG(B133)-LOG(1)</f>
        <v>3.9637878273455551</v>
      </c>
      <c r="E133" s="20">
        <v>4</v>
      </c>
      <c r="F133" s="20">
        <v>0</v>
      </c>
      <c r="G133" s="20">
        <f>LOG(E133)-LOG(1)</f>
        <v>0.6020599913279624</v>
      </c>
      <c r="I133" s="5"/>
      <c r="J133" s="5"/>
      <c r="K133" s="5"/>
    </row>
    <row r="134" spans="1:11" x14ac:dyDescent="0.2">
      <c r="A134" s="20">
        <v>6</v>
      </c>
      <c r="B134" s="20">
        <f>(33+700)/2</f>
        <v>366.5</v>
      </c>
      <c r="C134" s="20">
        <v>0</v>
      </c>
      <c r="D134" s="20">
        <f>LOG(B134)-LOG(1)</f>
        <v>2.564073978977147</v>
      </c>
      <c r="E134" s="20">
        <v>0</v>
      </c>
      <c r="F134" s="20">
        <v>0</v>
      </c>
      <c r="G134" s="20">
        <f>LOG(1)-LOG(1)</f>
        <v>0</v>
      </c>
      <c r="I134" s="7"/>
      <c r="J134" s="6"/>
      <c r="K134" s="6"/>
    </row>
    <row r="135" spans="1:11" x14ac:dyDescent="0.2">
      <c r="A135" s="20">
        <v>10</v>
      </c>
      <c r="B135" s="20">
        <v>49</v>
      </c>
      <c r="C135" s="20">
        <f>(65+22*100)/2</f>
        <v>1132.5</v>
      </c>
      <c r="D135" s="20">
        <f>LOG(B135)-LOG(C135)</f>
        <v>-1.3638421306563557</v>
      </c>
      <c r="E135" s="20">
        <v>0</v>
      </c>
      <c r="F135" s="20">
        <v>0</v>
      </c>
      <c r="G135" s="20">
        <f>LOG(1)-LOG(1)</f>
        <v>0</v>
      </c>
      <c r="I135" s="5"/>
      <c r="J135" s="5"/>
      <c r="K135" s="5"/>
    </row>
    <row r="136" spans="1:11" x14ac:dyDescent="0.2">
      <c r="A136" s="20">
        <v>20</v>
      </c>
      <c r="B136" s="20">
        <f>(20+300)/2</f>
        <v>160</v>
      </c>
      <c r="C136" s="20">
        <v>0</v>
      </c>
      <c r="D136" s="20">
        <f>LOG(B136)-LOG(1)</f>
        <v>2.2041199826559246</v>
      </c>
      <c r="E136" s="20">
        <v>1</v>
      </c>
      <c r="F136" s="20">
        <v>0</v>
      </c>
      <c r="G136" s="20">
        <f>LOG(E136)-LOG(1)</f>
        <v>0</v>
      </c>
      <c r="I136" s="7"/>
      <c r="J136" s="6"/>
      <c r="K136" s="6"/>
    </row>
    <row r="137" spans="1:11" x14ac:dyDescent="0.2">
      <c r="A137" s="20">
        <v>15</v>
      </c>
      <c r="B137" s="21">
        <v>0</v>
      </c>
      <c r="C137" s="21">
        <v>0</v>
      </c>
      <c r="D137" s="20">
        <f>LOG(1)-LOG(1)</f>
        <v>0</v>
      </c>
      <c r="E137" s="20">
        <v>0</v>
      </c>
      <c r="F137" s="20">
        <v>0</v>
      </c>
      <c r="G137" s="20">
        <f>LOG(1)-LOG(1)</f>
        <v>0</v>
      </c>
      <c r="I137" s="5"/>
      <c r="J137" s="5"/>
      <c r="K137" s="5"/>
    </row>
    <row r="138" spans="1:11" x14ac:dyDescent="0.2">
      <c r="A138" s="20">
        <v>3</v>
      </c>
      <c r="B138" s="20">
        <f>AA24*100</f>
        <v>2500</v>
      </c>
      <c r="C138" s="20">
        <f>(83+20*100)/2</f>
        <v>1041.5</v>
      </c>
      <c r="D138" s="20">
        <f t="shared" ref="D138:D145" si="6">LOG(B138)-LOG(C138)</f>
        <v>0.38028073438827281</v>
      </c>
      <c r="E138" s="20">
        <v>4</v>
      </c>
      <c r="F138" s="20">
        <v>3</v>
      </c>
      <c r="G138" s="20">
        <f>LOG(E138)-LOG(F138)</f>
        <v>0.12493873660829996</v>
      </c>
      <c r="I138" s="7"/>
      <c r="J138" s="6"/>
      <c r="K138" s="6"/>
    </row>
    <row r="139" spans="1:11" x14ac:dyDescent="0.2">
      <c r="A139" s="20">
        <v>8</v>
      </c>
      <c r="B139" s="21">
        <f>(254+27*100)/2</f>
        <v>1477</v>
      </c>
      <c r="C139" s="20">
        <f>AA30*100</f>
        <v>2700</v>
      </c>
      <c r="D139" s="20">
        <f t="shared" si="6"/>
        <v>-0.26198326884703782</v>
      </c>
      <c r="E139" s="20">
        <v>0</v>
      </c>
      <c r="F139" s="20">
        <v>3</v>
      </c>
      <c r="G139" s="20">
        <f>LOG(1)-LOG(F139)</f>
        <v>-0.47712125471966244</v>
      </c>
      <c r="I139" s="22"/>
      <c r="J139" s="5"/>
      <c r="K139" s="5"/>
    </row>
    <row r="140" spans="1:11" x14ac:dyDescent="0.2">
      <c r="A140" s="20">
        <v>2</v>
      </c>
      <c r="B140" s="20">
        <f>(46+100)/2</f>
        <v>73</v>
      </c>
      <c r="C140" s="20">
        <f>300*100</f>
        <v>30000</v>
      </c>
      <c r="D140" s="20">
        <f>LOG(B140)-LOG(C140)</f>
        <v>-2.6137983945992067</v>
      </c>
      <c r="E140" s="20">
        <v>0</v>
      </c>
      <c r="F140" s="20">
        <f>(38+100)/2</f>
        <v>69</v>
      </c>
      <c r="G140" s="20">
        <f>LOG(1)-LOG(F140)</f>
        <v>-1.8388490907372552</v>
      </c>
      <c r="I140" s="11"/>
      <c r="J140" s="6"/>
      <c r="K140" s="6"/>
    </row>
    <row r="141" spans="1:11" x14ac:dyDescent="0.2">
      <c r="A141" s="20">
        <v>9</v>
      </c>
      <c r="B141" s="21">
        <f>(191+46*100)/2</f>
        <v>2395.5</v>
      </c>
      <c r="C141" s="21">
        <v>0</v>
      </c>
      <c r="D141" s="20">
        <f>LOG(B141)-LOG(1)</f>
        <v>3.3793961751941644</v>
      </c>
      <c r="E141" s="20">
        <v>0</v>
      </c>
      <c r="F141" s="20">
        <v>0</v>
      </c>
      <c r="G141" s="20">
        <f>LOG(1)-LOG(1)</f>
        <v>0</v>
      </c>
      <c r="I141" s="22"/>
      <c r="J141" s="5"/>
      <c r="K141" s="5"/>
    </row>
    <row r="142" spans="1:11" x14ac:dyDescent="0.2">
      <c r="A142" s="20">
        <v>4</v>
      </c>
      <c r="B142" s="20">
        <f>AA40*100</f>
        <v>8100</v>
      </c>
      <c r="C142" s="20">
        <f>(62+200)/2</f>
        <v>131</v>
      </c>
      <c r="D142" s="20">
        <f t="shared" si="6"/>
        <v>1.7912137232228855</v>
      </c>
      <c r="E142" s="20">
        <v>3</v>
      </c>
      <c r="F142" s="20">
        <v>0</v>
      </c>
      <c r="G142" s="20">
        <f>LOG(E142)-LOG(1)</f>
        <v>0.47712125471966244</v>
      </c>
      <c r="I142" s="11"/>
      <c r="J142" s="6"/>
      <c r="K142" s="6"/>
    </row>
    <row r="143" spans="1:11" x14ac:dyDescent="0.2">
      <c r="A143" s="20">
        <v>13</v>
      </c>
      <c r="B143" s="21">
        <v>1</v>
      </c>
      <c r="C143" s="21">
        <v>50</v>
      </c>
      <c r="D143" s="20">
        <f>LOG(B143)-LOG(C143)</f>
        <v>-1.6989700043360187</v>
      </c>
      <c r="E143" s="20">
        <v>0</v>
      </c>
      <c r="F143" s="20">
        <v>0</v>
      </c>
      <c r="G143" s="20">
        <f>LOG(1)-LOG(1)</f>
        <v>0</v>
      </c>
      <c r="I143" s="22"/>
      <c r="J143" s="5"/>
      <c r="K143" s="5"/>
    </row>
    <row r="144" spans="1:11" x14ac:dyDescent="0.2">
      <c r="A144" s="20">
        <v>5</v>
      </c>
      <c r="B144" s="20">
        <f>(218+19*100)/2</f>
        <v>1059</v>
      </c>
      <c r="C144" s="20">
        <f>(56+900)/2</f>
        <v>478</v>
      </c>
      <c r="D144" s="20">
        <f t="shared" si="6"/>
        <v>0.34546806349536618</v>
      </c>
      <c r="E144" s="20">
        <v>4</v>
      </c>
      <c r="F144" s="20">
        <v>1</v>
      </c>
      <c r="G144" s="20">
        <f>LOG(E144)-LOG(F144)</f>
        <v>0.6020599913279624</v>
      </c>
      <c r="I144" s="11"/>
      <c r="J144" s="6"/>
      <c r="K144" s="6"/>
    </row>
    <row r="145" spans="1:11" x14ac:dyDescent="0.2">
      <c r="A145" s="20">
        <v>16</v>
      </c>
      <c r="B145" s="21">
        <f>(117+23*100)/2</f>
        <v>1208.5</v>
      </c>
      <c r="C145" s="20">
        <f>AA54*100</f>
        <v>3700</v>
      </c>
      <c r="D145" s="20">
        <f t="shared" si="6"/>
        <v>-0.48595506932332588</v>
      </c>
      <c r="E145" s="20">
        <v>3</v>
      </c>
      <c r="F145" s="20">
        <f>AB53</f>
        <v>0</v>
      </c>
      <c r="G145" s="20">
        <f>LOG(E145)-LOG(1)</f>
        <v>0.47712125471966244</v>
      </c>
      <c r="I145" s="22"/>
      <c r="J145" s="5"/>
      <c r="K145" s="5"/>
    </row>
    <row r="146" spans="1:11" x14ac:dyDescent="0.2">
      <c r="A146" s="20">
        <v>19</v>
      </c>
      <c r="B146" s="20">
        <f>(150+19*100)/2</f>
        <v>1025</v>
      </c>
      <c r="C146" s="20">
        <v>22</v>
      </c>
      <c r="D146" s="20">
        <f>LOG(B146)-LOG(C146)</f>
        <v>1.6683011845695668</v>
      </c>
      <c r="E146" s="20">
        <v>3</v>
      </c>
      <c r="F146" s="20">
        <v>0</v>
      </c>
      <c r="G146" s="20">
        <f>LOG(E146)-LOG(1)</f>
        <v>0.47712125471966244</v>
      </c>
      <c r="I146" s="6"/>
      <c r="J146" s="6"/>
      <c r="K146" s="6"/>
    </row>
    <row r="147" spans="1:11" x14ac:dyDescent="0.2">
      <c r="I147" s="29"/>
      <c r="J147" s="29"/>
      <c r="K147" s="29"/>
    </row>
    <row r="148" spans="1:11" x14ac:dyDescent="0.2">
      <c r="A148" s="30">
        <v>43882</v>
      </c>
      <c r="B148" s="30"/>
      <c r="C148" s="30"/>
      <c r="D148" s="20"/>
      <c r="E148" s="20"/>
      <c r="F148" s="20"/>
      <c r="G148" s="20"/>
      <c r="I148" s="22"/>
      <c r="J148" s="5"/>
      <c r="K148" s="5"/>
    </row>
    <row r="149" spans="1:11" x14ac:dyDescent="0.2">
      <c r="A149" s="20" t="s">
        <v>90</v>
      </c>
      <c r="B149" s="20" t="s">
        <v>91</v>
      </c>
      <c r="C149" s="20" t="s">
        <v>92</v>
      </c>
      <c r="D149" s="20" t="s">
        <v>93</v>
      </c>
      <c r="E149" s="20" t="s">
        <v>94</v>
      </c>
      <c r="F149" s="20" t="s">
        <v>95</v>
      </c>
      <c r="G149" s="20" t="s">
        <v>93</v>
      </c>
      <c r="I149" s="11"/>
      <c r="J149" s="6"/>
      <c r="K149" s="6"/>
    </row>
    <row r="150" spans="1:11" x14ac:dyDescent="0.2">
      <c r="A150" s="23">
        <v>1</v>
      </c>
      <c r="B150" s="23">
        <f>(23+200)/2</f>
        <v>111.5</v>
      </c>
      <c r="C150" s="23">
        <v>1</v>
      </c>
      <c r="D150" s="20">
        <f>LOG(B150)-LOG(C150)</f>
        <v>2.0472748673841794</v>
      </c>
      <c r="E150" s="23">
        <v>2</v>
      </c>
      <c r="F150" s="23">
        <v>0</v>
      </c>
      <c r="G150" s="20">
        <f>LOG(E150)-LOG(1)</f>
        <v>0.3010299956639812</v>
      </c>
      <c r="I150" s="22"/>
      <c r="J150" s="5"/>
      <c r="K150" s="5"/>
    </row>
    <row r="151" spans="1:11" x14ac:dyDescent="0.2">
      <c r="A151" s="23">
        <v>11</v>
      </c>
      <c r="B151" s="23">
        <f>(62+800)/2</f>
        <v>431</v>
      </c>
      <c r="C151" s="23">
        <f>(62+100)/2</f>
        <v>81</v>
      </c>
      <c r="D151" s="20">
        <f>LOG(B151)-LOG(C151)</f>
        <v>0.72599225128208178</v>
      </c>
      <c r="E151" s="23">
        <v>2</v>
      </c>
      <c r="F151" s="23">
        <v>0</v>
      </c>
      <c r="G151" s="20">
        <f>LOG(E151)-LOG(1)</f>
        <v>0.3010299956639812</v>
      </c>
      <c r="I151" s="11"/>
      <c r="J151" s="6"/>
      <c r="K151" s="6"/>
    </row>
    <row r="152" spans="1:11" x14ac:dyDescent="0.2">
      <c r="A152" s="23">
        <v>16</v>
      </c>
      <c r="B152" s="23">
        <f>(266+11*100)/2</f>
        <v>683</v>
      </c>
      <c r="C152" s="23">
        <f>(16+100)/2</f>
        <v>58</v>
      </c>
      <c r="D152" s="20">
        <f>LOG(B152)-LOG(C152)</f>
        <v>1.0709927101185954</v>
      </c>
      <c r="E152" s="23">
        <v>3</v>
      </c>
      <c r="F152" s="23">
        <v>0</v>
      </c>
      <c r="G152" s="20">
        <f>LOG(E152)-LOG(1)</f>
        <v>0.47712125471966244</v>
      </c>
      <c r="I152" s="6"/>
      <c r="J152" s="6"/>
      <c r="K152" s="6"/>
    </row>
    <row r="153" spans="1:11" x14ac:dyDescent="0.2">
      <c r="I153" s="29"/>
      <c r="J153" s="29"/>
      <c r="K153" s="29"/>
    </row>
    <row r="154" spans="1:11" x14ac:dyDescent="0.2">
      <c r="A154" s="30">
        <v>43885</v>
      </c>
      <c r="B154" s="30"/>
      <c r="C154" s="30"/>
      <c r="D154" s="20"/>
      <c r="E154" s="20"/>
      <c r="F154" s="20"/>
      <c r="G154" s="20"/>
      <c r="I154" s="7"/>
      <c r="J154" s="6"/>
      <c r="K154" s="5"/>
    </row>
    <row r="155" spans="1:11" x14ac:dyDescent="0.2">
      <c r="A155" s="20" t="s">
        <v>90</v>
      </c>
      <c r="B155" s="20" t="s">
        <v>91</v>
      </c>
      <c r="C155" s="20" t="s">
        <v>92</v>
      </c>
      <c r="D155" s="20" t="s">
        <v>93</v>
      </c>
      <c r="E155" s="20" t="s">
        <v>94</v>
      </c>
      <c r="F155" s="20" t="s">
        <v>95</v>
      </c>
      <c r="G155" s="20" t="s">
        <v>93</v>
      </c>
      <c r="I155" s="5"/>
      <c r="J155" s="5"/>
      <c r="K155" s="6"/>
    </row>
    <row r="156" spans="1:11" x14ac:dyDescent="0.2">
      <c r="A156" s="20">
        <v>18</v>
      </c>
      <c r="B156" s="20">
        <f>AK4*100</f>
        <v>2500</v>
      </c>
      <c r="C156" s="20">
        <v>0</v>
      </c>
      <c r="D156" s="20">
        <f>LOG(B156)-LOG(1)</f>
        <v>3.3979400086720375</v>
      </c>
      <c r="E156" s="20">
        <v>5</v>
      </c>
      <c r="F156" s="20">
        <v>0</v>
      </c>
      <c r="G156" s="20">
        <f>LOG(E156)-LOG(1)</f>
        <v>0.69897000433601886</v>
      </c>
      <c r="I156" s="5"/>
      <c r="J156" s="5"/>
      <c r="K156" s="5"/>
    </row>
    <row r="157" spans="1:11" x14ac:dyDescent="0.2">
      <c r="A157" s="20">
        <v>4</v>
      </c>
      <c r="B157" s="20">
        <f>(71+800)/2</f>
        <v>435.5</v>
      </c>
      <c r="C157" s="20">
        <f>(117+200)/2</f>
        <v>158.5</v>
      </c>
      <c r="D157" s="20">
        <f t="shared" ref="D157:D171" si="7">LOG(B157)-LOG(C157)</f>
        <v>0.43895889278991174</v>
      </c>
      <c r="E157" s="20">
        <v>5</v>
      </c>
      <c r="F157" s="20">
        <v>0</v>
      </c>
      <c r="G157" s="20">
        <f>LOG(E157)-LOG(1)</f>
        <v>0.69897000433601886</v>
      </c>
      <c r="I157" s="7"/>
      <c r="J157" s="6"/>
      <c r="K157" s="6"/>
    </row>
    <row r="158" spans="1:11" x14ac:dyDescent="0.2">
      <c r="A158" s="20">
        <v>8</v>
      </c>
      <c r="B158" s="20">
        <f>43*100</f>
        <v>4300</v>
      </c>
      <c r="C158" s="20">
        <f>(159+10*100)/2</f>
        <v>579.5</v>
      </c>
      <c r="D158" s="20">
        <f t="shared" si="7"/>
        <v>0.87041501527997189</v>
      </c>
      <c r="E158" s="20">
        <v>0</v>
      </c>
      <c r="F158" s="20">
        <v>0</v>
      </c>
      <c r="G158" s="20">
        <f>LOG(1)-LOG(1)</f>
        <v>0</v>
      </c>
      <c r="I158" s="5"/>
      <c r="J158" s="5"/>
      <c r="K158" s="5"/>
    </row>
    <row r="159" spans="1:11" x14ac:dyDescent="0.2">
      <c r="A159" s="20">
        <v>10</v>
      </c>
      <c r="B159" s="20">
        <v>17</v>
      </c>
      <c r="C159" s="20">
        <v>7</v>
      </c>
      <c r="D159" s="20">
        <f t="shared" si="7"/>
        <v>0.38535088136401707</v>
      </c>
      <c r="E159" s="20">
        <v>0</v>
      </c>
      <c r="F159" s="20">
        <v>0</v>
      </c>
      <c r="G159" s="20">
        <f>LOG(1)-LOG(1)</f>
        <v>0</v>
      </c>
      <c r="I159" s="7"/>
      <c r="J159" s="6"/>
      <c r="K159" s="6"/>
    </row>
    <row r="160" spans="1:11" x14ac:dyDescent="0.2">
      <c r="A160" s="20">
        <v>13</v>
      </c>
      <c r="B160" s="23">
        <v>46</v>
      </c>
      <c r="C160" s="23">
        <v>0</v>
      </c>
      <c r="D160" s="20">
        <f>LOG(B160)-LOG(1)</f>
        <v>1.6627578316815741</v>
      </c>
      <c r="E160" s="20">
        <v>0</v>
      </c>
      <c r="F160" s="20">
        <v>0</v>
      </c>
      <c r="G160" s="20">
        <f>LOG(1)-LOG(1)</f>
        <v>0</v>
      </c>
      <c r="I160" s="5"/>
      <c r="J160" s="5"/>
      <c r="K160" s="5"/>
    </row>
    <row r="161" spans="1:11" x14ac:dyDescent="0.2">
      <c r="A161" s="20">
        <v>14</v>
      </c>
      <c r="B161" s="23">
        <f>(66+69*100)/2</f>
        <v>3483</v>
      </c>
      <c r="C161" s="23">
        <v>0</v>
      </c>
      <c r="D161" s="20">
        <f>LOG(B161)-LOG(1)</f>
        <v>3.5419534744582362</v>
      </c>
      <c r="E161" s="20">
        <f>(71+500)/2</f>
        <v>285.5</v>
      </c>
      <c r="F161" s="20">
        <v>0</v>
      </c>
      <c r="G161" s="20">
        <f>LOG(E161)-LOG(1)</f>
        <v>2.4556061125818669</v>
      </c>
      <c r="I161" s="7"/>
      <c r="J161" s="6"/>
      <c r="K161" s="6"/>
    </row>
    <row r="162" spans="1:11" x14ac:dyDescent="0.2">
      <c r="A162" s="20">
        <v>5</v>
      </c>
      <c r="B162" s="21">
        <f>(62+500)/2</f>
        <v>281</v>
      </c>
      <c r="C162" s="21">
        <f>(46+500)/2</f>
        <v>273</v>
      </c>
      <c r="D162" s="20">
        <f t="shared" si="7"/>
        <v>1.2543672864323785E-2</v>
      </c>
      <c r="E162" s="20">
        <v>3</v>
      </c>
      <c r="F162" s="20">
        <v>0</v>
      </c>
      <c r="G162" s="20">
        <f>LOG(E162)-LOG(1)</f>
        <v>0.47712125471966244</v>
      </c>
      <c r="I162" s="7"/>
      <c r="J162" s="6"/>
      <c r="K162" s="5"/>
    </row>
    <row r="163" spans="1:11" x14ac:dyDescent="0.2">
      <c r="A163" s="20">
        <v>11</v>
      </c>
      <c r="B163" s="23">
        <f>(41+31*100)/2</f>
        <v>1570.5</v>
      </c>
      <c r="C163" s="23">
        <v>36</v>
      </c>
      <c r="D163" s="20">
        <f t="shared" si="7"/>
        <v>1.6397354399672364</v>
      </c>
      <c r="E163" s="20">
        <v>1</v>
      </c>
      <c r="F163" s="20">
        <v>0</v>
      </c>
      <c r="G163" s="20">
        <f>LOG(E163)-LOG(1)</f>
        <v>0</v>
      </c>
      <c r="I163" s="5"/>
      <c r="J163" s="5"/>
      <c r="K163" s="6"/>
    </row>
    <row r="164" spans="1:11" x14ac:dyDescent="0.2">
      <c r="A164" s="20">
        <v>2</v>
      </c>
      <c r="B164" s="23">
        <f>(5+100)/2</f>
        <v>52.5</v>
      </c>
      <c r="C164" s="20">
        <f>AK38*100</f>
        <v>2100</v>
      </c>
      <c r="D164" s="20">
        <f t="shared" si="7"/>
        <v>-1.6020599913279623</v>
      </c>
      <c r="E164" s="20">
        <v>0</v>
      </c>
      <c r="F164" s="20">
        <v>0</v>
      </c>
      <c r="G164" s="20">
        <f>LOG(1)-LOG(1)</f>
        <v>0</v>
      </c>
      <c r="I164" s="5"/>
      <c r="J164" s="5"/>
      <c r="K164" s="5"/>
    </row>
    <row r="165" spans="1:11" x14ac:dyDescent="0.2">
      <c r="A165" s="20">
        <v>16</v>
      </c>
      <c r="B165" s="23">
        <f>(61+900)/2</f>
        <v>480.5</v>
      </c>
      <c r="C165" s="20">
        <f>(290+153*100)/2</f>
        <v>7795</v>
      </c>
      <c r="D165" s="20">
        <f t="shared" si="7"/>
        <v>-1.2101227275202966</v>
      </c>
      <c r="E165" s="20">
        <v>0</v>
      </c>
      <c r="F165" s="20">
        <v>3</v>
      </c>
      <c r="G165" s="20">
        <f>LOG(1)-LOG(F165)</f>
        <v>-0.47712125471966244</v>
      </c>
      <c r="I165" s="7"/>
      <c r="J165" s="6"/>
      <c r="K165" s="6"/>
    </row>
    <row r="166" spans="1:11" x14ac:dyDescent="0.2">
      <c r="A166" s="20">
        <v>6</v>
      </c>
      <c r="B166" s="21">
        <v>40</v>
      </c>
      <c r="C166" s="21">
        <v>0</v>
      </c>
      <c r="D166" s="20">
        <f>LOG(B166)-LOG(1)</f>
        <v>1.6020599913279623</v>
      </c>
      <c r="E166" s="20">
        <v>1</v>
      </c>
      <c r="F166" s="20">
        <v>0</v>
      </c>
      <c r="G166" s="20">
        <f>LOG(E166)-LOG(1)</f>
        <v>0</v>
      </c>
      <c r="I166" s="5"/>
      <c r="J166" s="5"/>
      <c r="K166" s="5"/>
    </row>
    <row r="167" spans="1:11" x14ac:dyDescent="0.2">
      <c r="A167" s="20">
        <v>17</v>
      </c>
      <c r="B167" s="23">
        <f>(29+400)/2</f>
        <v>214.5</v>
      </c>
      <c r="C167" s="23">
        <v>0</v>
      </c>
      <c r="D167" s="20">
        <f>LOG(B167)-LOG(1)</f>
        <v>2.3314272965207432</v>
      </c>
      <c r="E167" s="20">
        <v>0</v>
      </c>
      <c r="F167" s="20">
        <v>0</v>
      </c>
      <c r="G167" s="20">
        <f>LOG(1)-LOG(1)</f>
        <v>0</v>
      </c>
      <c r="I167" s="7"/>
      <c r="J167" s="6"/>
      <c r="K167" s="6"/>
    </row>
    <row r="168" spans="1:11" x14ac:dyDescent="0.2">
      <c r="A168" s="20">
        <v>12</v>
      </c>
      <c r="B168" s="21">
        <v>0</v>
      </c>
      <c r="C168" s="20">
        <v>1</v>
      </c>
      <c r="D168" s="20">
        <f>LOG(1)-LOG(1)</f>
        <v>0</v>
      </c>
      <c r="E168" s="20">
        <v>0</v>
      </c>
      <c r="F168" s="20">
        <v>0</v>
      </c>
      <c r="G168" s="20">
        <f>LOG(1)-LOG(1)</f>
        <v>0</v>
      </c>
      <c r="I168" s="5"/>
      <c r="J168" s="5"/>
      <c r="K168" s="5"/>
    </row>
    <row r="169" spans="1:11" x14ac:dyDescent="0.2">
      <c r="A169" s="20">
        <v>9</v>
      </c>
      <c r="B169" s="23">
        <f>(29+500)/2</f>
        <v>264.5</v>
      </c>
      <c r="C169" s="23">
        <v>0</v>
      </c>
      <c r="D169" s="20">
        <f>LOG(B169)-LOG(1)</f>
        <v>2.4224256763712044</v>
      </c>
      <c r="E169" s="20">
        <v>0</v>
      </c>
      <c r="F169" s="20">
        <v>0</v>
      </c>
      <c r="G169" s="20">
        <f>LOG(1)-LOG(1)</f>
        <v>0</v>
      </c>
      <c r="I169" s="7"/>
      <c r="J169" s="6"/>
      <c r="K169" s="6"/>
    </row>
    <row r="170" spans="1:11" x14ac:dyDescent="0.2">
      <c r="A170" s="20">
        <v>19</v>
      </c>
      <c r="B170" s="21">
        <f>(113+500)/2</f>
        <v>306.5</v>
      </c>
      <c r="C170" s="21">
        <v>0</v>
      </c>
      <c r="D170" s="20">
        <f>LOG(B170)-LOG(1)</f>
        <v>2.4864304788544338</v>
      </c>
      <c r="E170" s="20">
        <v>50</v>
      </c>
      <c r="F170" s="20">
        <v>0</v>
      </c>
      <c r="G170" s="20">
        <f>LOG(E170)-LOG(1)</f>
        <v>1.6989700043360187</v>
      </c>
      <c r="I170" s="6"/>
      <c r="J170" s="6"/>
      <c r="K170" s="6"/>
    </row>
    <row r="171" spans="1:11" x14ac:dyDescent="0.2">
      <c r="A171" s="20">
        <v>7</v>
      </c>
      <c r="B171" s="23">
        <f>(62+500)/2</f>
        <v>281</v>
      </c>
      <c r="C171" s="23">
        <f>(73+300)/2</f>
        <v>186.5</v>
      </c>
      <c r="D171" s="20">
        <f t="shared" si="7"/>
        <v>0.17802748376037325</v>
      </c>
      <c r="E171" s="20">
        <v>3</v>
      </c>
      <c r="F171" s="20">
        <v>0</v>
      </c>
      <c r="G171" s="20">
        <f>LOG(E171)-LOG(1)</f>
        <v>0.47712125471966244</v>
      </c>
      <c r="I171" s="29"/>
      <c r="J171" s="29"/>
      <c r="K171" s="29"/>
    </row>
    <row r="172" spans="1:11" x14ac:dyDescent="0.2">
      <c r="I172" s="5"/>
      <c r="J172" s="5"/>
      <c r="K172" s="5"/>
    </row>
    <row r="173" spans="1:11" x14ac:dyDescent="0.2">
      <c r="A173" s="30">
        <v>43886</v>
      </c>
      <c r="B173" s="30"/>
      <c r="C173" s="30"/>
      <c r="D173" s="20"/>
      <c r="E173" s="20"/>
      <c r="F173" s="20"/>
      <c r="G173" s="20"/>
      <c r="I173" s="7"/>
      <c r="J173" s="6"/>
      <c r="K173" s="6"/>
    </row>
    <row r="174" spans="1:11" x14ac:dyDescent="0.2">
      <c r="A174" s="20" t="s">
        <v>90</v>
      </c>
      <c r="B174" s="20" t="s">
        <v>91</v>
      </c>
      <c r="C174" s="20" t="s">
        <v>92</v>
      </c>
      <c r="D174" s="20" t="s">
        <v>93</v>
      </c>
      <c r="E174" s="20" t="s">
        <v>94</v>
      </c>
      <c r="F174" s="20" t="s">
        <v>95</v>
      </c>
      <c r="G174" s="20" t="s">
        <v>93</v>
      </c>
      <c r="I174" s="5"/>
      <c r="J174" s="5"/>
      <c r="K174" s="5"/>
    </row>
    <row r="175" spans="1:11" x14ac:dyDescent="0.2">
      <c r="A175" s="20">
        <v>7</v>
      </c>
      <c r="B175" s="21">
        <f>(161+17*100)/2</f>
        <v>930.5</v>
      </c>
      <c r="C175" s="21">
        <f>(78+400)/2</f>
        <v>239</v>
      </c>
      <c r="D175" s="20">
        <f>LOG(B175)-LOG(C175)</f>
        <v>0.59031847651864844</v>
      </c>
      <c r="E175" s="20">
        <v>0</v>
      </c>
      <c r="F175" s="20">
        <v>0</v>
      </c>
      <c r="G175" s="20">
        <f>LOG(1)-LOG(1)</f>
        <v>0</v>
      </c>
      <c r="I175" s="7"/>
      <c r="J175" s="6"/>
      <c r="K175" s="6"/>
    </row>
    <row r="176" spans="1:11" x14ac:dyDescent="0.2">
      <c r="A176" s="20">
        <v>20</v>
      </c>
      <c r="B176" s="20">
        <f>(133+700)/2</f>
        <v>416.5</v>
      </c>
      <c r="C176" s="20">
        <f>(292+19*100)/2</f>
        <v>1096</v>
      </c>
      <c r="D176" s="20">
        <f>LOG(B176)-LOG(C176)</f>
        <v>-0.42019554840554418</v>
      </c>
      <c r="E176" s="20">
        <v>0</v>
      </c>
      <c r="F176" s="20">
        <v>1</v>
      </c>
      <c r="G176" s="20">
        <f>LOG(1)-LOG(F176)</f>
        <v>0</v>
      </c>
      <c r="I176" s="22"/>
      <c r="J176" s="5"/>
      <c r="K176" s="5"/>
    </row>
    <row r="177" spans="1:17" x14ac:dyDescent="0.2">
      <c r="A177" s="20">
        <v>14</v>
      </c>
      <c r="B177" s="20">
        <f>AP12*100</f>
        <v>6400</v>
      </c>
      <c r="C177" s="20">
        <v>200</v>
      </c>
      <c r="D177" s="20">
        <f>LOG(B177)-LOG(C177)</f>
        <v>1.5051499783199058</v>
      </c>
      <c r="E177" s="20">
        <f>(141+300)/2</f>
        <v>220.5</v>
      </c>
      <c r="F177" s="20">
        <v>0</v>
      </c>
      <c r="G177" s="20">
        <f>LOG(E177)-LOG(1)</f>
        <v>2.3434085938038574</v>
      </c>
      <c r="I177" s="11"/>
      <c r="J177" s="6"/>
      <c r="K177" s="6"/>
    </row>
    <row r="178" spans="1:17" x14ac:dyDescent="0.2">
      <c r="A178" s="20">
        <v>9</v>
      </c>
      <c r="B178" s="20">
        <f>(39+800)/2</f>
        <v>419.5</v>
      </c>
      <c r="C178" s="20">
        <v>100</v>
      </c>
      <c r="D178" s="20">
        <f t="shared" ref="D178:D179" si="8">LOG(B178)-LOG(C178)</f>
        <v>0.62273196516471918</v>
      </c>
      <c r="E178" s="20">
        <v>0</v>
      </c>
      <c r="F178" s="20">
        <v>450</v>
      </c>
      <c r="G178" s="20">
        <f>LOG(1)-LOG(F178)</f>
        <v>-2.6532125137753435</v>
      </c>
      <c r="I178" s="22"/>
      <c r="J178" s="5"/>
      <c r="K178" s="5"/>
    </row>
    <row r="179" spans="1:17" x14ac:dyDescent="0.2">
      <c r="A179" s="20">
        <v>19</v>
      </c>
      <c r="B179" s="20">
        <f>AP20*100</f>
        <v>4400</v>
      </c>
      <c r="C179" s="20">
        <v>50</v>
      </c>
      <c r="D179" s="20">
        <f t="shared" si="8"/>
        <v>1.9444826721501687</v>
      </c>
      <c r="E179" s="20">
        <v>1</v>
      </c>
      <c r="F179" s="20">
        <v>0</v>
      </c>
      <c r="G179" s="20">
        <f>LOG(1)-LOG(1)</f>
        <v>0</v>
      </c>
      <c r="I179" s="11"/>
      <c r="J179" s="6"/>
      <c r="K179" s="6"/>
    </row>
    <row r="180" spans="1:17" x14ac:dyDescent="0.2">
      <c r="A180" s="20">
        <v>6</v>
      </c>
      <c r="B180" s="20">
        <f>(25+100)/2</f>
        <v>62.5</v>
      </c>
      <c r="C180" s="20">
        <v>0</v>
      </c>
      <c r="D180" s="20">
        <f>LOG(B180)-LOG(1)</f>
        <v>1.7958800173440752</v>
      </c>
      <c r="E180" s="20">
        <v>0</v>
      </c>
      <c r="F180" s="20">
        <v>0</v>
      </c>
      <c r="G180" s="20">
        <f>LOG(1)-LOG(1)</f>
        <v>0</v>
      </c>
      <c r="I180" s="11"/>
      <c r="J180" s="6"/>
      <c r="K180" s="5"/>
    </row>
    <row r="181" spans="1:17" x14ac:dyDescent="0.2">
      <c r="A181" s="20">
        <v>8</v>
      </c>
      <c r="B181" s="20">
        <f>AP28*100</f>
        <v>2000</v>
      </c>
      <c r="C181" s="20">
        <v>0</v>
      </c>
      <c r="D181" s="20">
        <f>LOG(B181)-LOG(1)</f>
        <v>3.3010299956639813</v>
      </c>
      <c r="E181" s="20">
        <v>0</v>
      </c>
      <c r="F181" s="20">
        <v>0</v>
      </c>
      <c r="G181" s="20">
        <f>LOG(1)-LOG(1)</f>
        <v>0</v>
      </c>
      <c r="I181" s="22"/>
      <c r="J181" s="5"/>
      <c r="K181" s="6"/>
    </row>
    <row r="182" spans="1:17" x14ac:dyDescent="0.2">
      <c r="A182" s="20">
        <v>15</v>
      </c>
      <c r="B182" s="20">
        <f>(70+200)/2</f>
        <v>135</v>
      </c>
      <c r="C182" s="20"/>
      <c r="D182" s="20" t="e">
        <f>LOG(B182)-LOG(C182)</f>
        <v>#NUM!</v>
      </c>
      <c r="E182" s="20">
        <v>0</v>
      </c>
      <c r="F182" s="20"/>
      <c r="G182" s="20"/>
      <c r="I182" s="22"/>
      <c r="J182" s="5"/>
      <c r="K182" s="5"/>
    </row>
    <row r="183" spans="1:17" x14ac:dyDescent="0.2">
      <c r="A183" s="20">
        <v>17</v>
      </c>
      <c r="B183" s="20">
        <f>(25+400)/2</f>
        <v>212.5</v>
      </c>
      <c r="C183" s="20">
        <v>18</v>
      </c>
      <c r="D183" s="20">
        <f>LOG(B183)-LOG(C183)</f>
        <v>1.0720864292830243</v>
      </c>
      <c r="E183" s="20">
        <v>1</v>
      </c>
      <c r="F183" s="20">
        <v>0</v>
      </c>
      <c r="G183" s="20">
        <f>LOG(E183)-LOG(1)</f>
        <v>0</v>
      </c>
      <c r="I183" s="6"/>
      <c r="J183" s="6"/>
      <c r="K183" s="6"/>
    </row>
    <row r="184" spans="1:17" x14ac:dyDescent="0.2">
      <c r="I184" s="28"/>
      <c r="J184" s="28"/>
      <c r="K184" s="28"/>
    </row>
    <row r="185" spans="1:17" x14ac:dyDescent="0.2">
      <c r="A185" s="30">
        <v>43887</v>
      </c>
      <c r="B185" s="30"/>
      <c r="C185" s="30"/>
      <c r="D185" s="20"/>
      <c r="E185" s="20"/>
      <c r="F185" s="20"/>
      <c r="G185" s="20"/>
      <c r="I185" s="11"/>
      <c r="J185" s="7"/>
      <c r="K185" s="5"/>
    </row>
    <row r="186" spans="1:17" x14ac:dyDescent="0.2">
      <c r="A186" s="20" t="s">
        <v>90</v>
      </c>
      <c r="B186" s="20" t="s">
        <v>91</v>
      </c>
      <c r="C186" s="20" t="s">
        <v>92</v>
      </c>
      <c r="D186" s="20" t="s">
        <v>93</v>
      </c>
      <c r="E186" s="20" t="s">
        <v>94</v>
      </c>
      <c r="F186" s="20" t="s">
        <v>95</v>
      </c>
      <c r="G186" s="20" t="s">
        <v>93</v>
      </c>
      <c r="I186" s="22"/>
      <c r="J186" s="5"/>
      <c r="K186" s="7"/>
    </row>
    <row r="187" spans="1:17" x14ac:dyDescent="0.2">
      <c r="A187" s="20">
        <v>1</v>
      </c>
      <c r="B187" s="20">
        <f>AU4*100</f>
        <v>1600</v>
      </c>
      <c r="C187" s="20">
        <f>(132+21*100)/2</f>
        <v>1116</v>
      </c>
      <c r="D187" s="20">
        <f t="shared" ref="D187:D198" si="9">LOG(B187)-LOG(C187)</f>
        <v>0.15645578805436466</v>
      </c>
      <c r="E187" s="20">
        <v>20</v>
      </c>
      <c r="F187" s="20">
        <v>2</v>
      </c>
      <c r="G187" s="20">
        <f>LOG(E187)-LOG(F187)</f>
        <v>1</v>
      </c>
      <c r="I187" s="22"/>
      <c r="J187" s="5"/>
      <c r="K187" s="5"/>
    </row>
    <row r="188" spans="1:17" x14ac:dyDescent="0.2">
      <c r="A188" s="20">
        <v>18</v>
      </c>
      <c r="B188" s="20">
        <f>(74+23*100)/2</f>
        <v>1187</v>
      </c>
      <c r="C188" s="20">
        <f>(2+100)/2</f>
        <v>51</v>
      </c>
      <c r="D188" s="20">
        <f t="shared" si="9"/>
        <v>1.3668805428566548</v>
      </c>
      <c r="E188" s="20">
        <v>0</v>
      </c>
      <c r="F188" s="20">
        <v>0</v>
      </c>
      <c r="G188" s="20">
        <f t="shared" ref="G188:G193" si="10">LOG(1)-LOG(1)</f>
        <v>0</v>
      </c>
      <c r="I188" s="11"/>
      <c r="J188" s="7"/>
      <c r="K188" s="7"/>
    </row>
    <row r="189" spans="1:17" x14ac:dyDescent="0.2">
      <c r="A189" s="20">
        <v>15</v>
      </c>
      <c r="B189" s="21">
        <v>10</v>
      </c>
      <c r="C189" s="21">
        <v>0</v>
      </c>
      <c r="D189" s="20">
        <f>LOG(B189)-LOG(1)</f>
        <v>1</v>
      </c>
      <c r="E189" s="20">
        <v>0</v>
      </c>
      <c r="F189" s="20">
        <v>0</v>
      </c>
      <c r="G189" s="20">
        <f t="shared" si="10"/>
        <v>0</v>
      </c>
      <c r="I189" s="5"/>
      <c r="J189" s="5"/>
      <c r="K189" s="5"/>
    </row>
    <row r="190" spans="1:17" x14ac:dyDescent="0.2">
      <c r="A190" s="20">
        <v>12</v>
      </c>
      <c r="B190" s="20">
        <v>0</v>
      </c>
      <c r="C190" s="20">
        <v>0</v>
      </c>
      <c r="D190" s="20">
        <f>LOG(1)-LOG(1)</f>
        <v>0</v>
      </c>
      <c r="E190" s="20">
        <v>0</v>
      </c>
      <c r="F190" s="20">
        <v>0</v>
      </c>
      <c r="G190" s="20">
        <f t="shared" si="10"/>
        <v>0</v>
      </c>
      <c r="I190" s="7"/>
      <c r="J190" s="7"/>
      <c r="K190" s="7"/>
    </row>
    <row r="191" spans="1:17" x14ac:dyDescent="0.2">
      <c r="A191" s="20">
        <v>13</v>
      </c>
      <c r="B191" s="20">
        <f>AU20*100</f>
        <v>4200</v>
      </c>
      <c r="C191" s="20">
        <v>0</v>
      </c>
      <c r="D191" s="20">
        <f>LOG(B191)-LOG(1)</f>
        <v>3.6232492903979003</v>
      </c>
      <c r="E191" s="20">
        <v>1</v>
      </c>
      <c r="F191" s="20">
        <v>0</v>
      </c>
      <c r="G191" s="20">
        <f t="shared" si="10"/>
        <v>0</v>
      </c>
      <c r="I191" s="5"/>
      <c r="J191" s="5"/>
      <c r="K191" s="5"/>
      <c r="Q191" t="s">
        <v>96</v>
      </c>
    </row>
    <row r="192" spans="1:17" x14ac:dyDescent="0.2">
      <c r="A192" s="20">
        <v>11</v>
      </c>
      <c r="B192" s="20">
        <f>(118+20*100)/2</f>
        <v>1059</v>
      </c>
      <c r="C192" s="20">
        <v>0</v>
      </c>
      <c r="D192" s="20">
        <f>LOG(B192)-LOG(1)</f>
        <v>3.024895960107485</v>
      </c>
      <c r="E192" s="20">
        <v>0</v>
      </c>
      <c r="F192" s="20">
        <v>0</v>
      </c>
      <c r="G192" s="20">
        <f t="shared" si="10"/>
        <v>0</v>
      </c>
      <c r="I192" s="7"/>
      <c r="J192" s="7"/>
      <c r="K192" s="7"/>
    </row>
    <row r="193" spans="1:11" x14ac:dyDescent="0.2">
      <c r="A193" s="20">
        <v>7</v>
      </c>
      <c r="B193" s="20">
        <f>(73+800)/2</f>
        <v>436.5</v>
      </c>
      <c r="C193" s="20">
        <f>(57+800)/2</f>
        <v>428.5</v>
      </c>
      <c r="D193" s="20">
        <f t="shared" si="9"/>
        <v>8.0334217823718745E-3</v>
      </c>
      <c r="E193" s="20">
        <v>0</v>
      </c>
      <c r="F193" s="20">
        <v>0</v>
      </c>
      <c r="G193" s="20">
        <f t="shared" si="10"/>
        <v>0</v>
      </c>
      <c r="I193" s="22"/>
      <c r="J193" s="5"/>
      <c r="K193" s="5"/>
    </row>
    <row r="194" spans="1:11" x14ac:dyDescent="0.2">
      <c r="A194" s="20">
        <v>20</v>
      </c>
      <c r="B194" s="20">
        <f>(72+900)/2</f>
        <v>486</v>
      </c>
      <c r="C194" s="20">
        <v>0</v>
      </c>
      <c r="D194" s="20">
        <f>LOG(B194)-LOG(1)</f>
        <v>2.6866362692622934</v>
      </c>
      <c r="E194" s="20">
        <v>3</v>
      </c>
      <c r="F194" s="20">
        <v>0</v>
      </c>
      <c r="G194" s="20">
        <f>LOG(E194)-LOG(1)</f>
        <v>0.47712125471966244</v>
      </c>
      <c r="I194" s="11"/>
      <c r="J194" s="7"/>
      <c r="K194" s="7"/>
    </row>
    <row r="195" spans="1:11" x14ac:dyDescent="0.2">
      <c r="A195" s="20">
        <v>5</v>
      </c>
      <c r="B195" s="20">
        <f>AU36*100</f>
        <v>4200</v>
      </c>
      <c r="C195" s="20">
        <f>(139+800)/2</f>
        <v>469.5</v>
      </c>
      <c r="D195" s="20">
        <f t="shared" si="9"/>
        <v>0.95161369379577065</v>
      </c>
      <c r="E195" s="20">
        <v>1</v>
      </c>
      <c r="F195" s="20">
        <v>1</v>
      </c>
      <c r="G195" s="20">
        <f>LOG(1)-LOG(1)</f>
        <v>0</v>
      </c>
      <c r="I195" s="22"/>
      <c r="J195" s="5"/>
      <c r="K195" s="5"/>
    </row>
    <row r="196" spans="1:11" x14ac:dyDescent="0.2">
      <c r="A196" s="20">
        <v>10</v>
      </c>
      <c r="B196" s="20">
        <v>0</v>
      </c>
      <c r="C196" s="20">
        <f>(146+100)/2</f>
        <v>123</v>
      </c>
      <c r="D196" s="20">
        <f>LOG(1)-LOG(C196)</f>
        <v>-2.0899051114393981</v>
      </c>
      <c r="E196" s="20">
        <v>0</v>
      </c>
      <c r="F196" s="20">
        <v>0</v>
      </c>
      <c r="G196" s="20">
        <f>LOG(1)-LOG(1)</f>
        <v>0</v>
      </c>
      <c r="I196" s="11"/>
      <c r="J196" s="7"/>
      <c r="K196" s="7"/>
    </row>
    <row r="197" spans="1:11" x14ac:dyDescent="0.2">
      <c r="A197" s="20">
        <v>2</v>
      </c>
      <c r="B197" s="20">
        <v>100</v>
      </c>
      <c r="C197" s="20">
        <f>77*100</f>
        <v>7700</v>
      </c>
      <c r="D197" s="20">
        <f t="shared" si="9"/>
        <v>-1.8864907251724818</v>
      </c>
      <c r="E197" s="20">
        <v>200</v>
      </c>
      <c r="F197" s="20">
        <v>100</v>
      </c>
      <c r="G197" s="20">
        <f>LOG(E197)-LOG(F197)</f>
        <v>0.30102999566398125</v>
      </c>
      <c r="I197" s="22"/>
      <c r="J197" s="5"/>
      <c r="K197" s="5"/>
    </row>
    <row r="198" spans="1:11" x14ac:dyDescent="0.2">
      <c r="A198" s="20">
        <v>16</v>
      </c>
      <c r="B198" s="20">
        <f>(106+20*100)/2</f>
        <v>1053</v>
      </c>
      <c r="C198" s="20">
        <f>300*100</f>
        <v>30000</v>
      </c>
      <c r="D198" s="20">
        <f t="shared" si="9"/>
        <v>-1.4546928835341761</v>
      </c>
      <c r="E198" s="20">
        <v>1</v>
      </c>
      <c r="F198" s="20">
        <v>0</v>
      </c>
      <c r="G198" s="20">
        <f>LOG(1)-LOG(1)</f>
        <v>0</v>
      </c>
      <c r="I198" s="11"/>
      <c r="J198" s="7"/>
      <c r="K198" s="7"/>
    </row>
    <row r="199" spans="1:11" x14ac:dyDescent="0.2">
      <c r="A199" s="20">
        <v>4</v>
      </c>
      <c r="B199" s="20">
        <f>(128+20*100)/2</f>
        <v>1064</v>
      </c>
      <c r="C199" s="20">
        <v>0</v>
      </c>
      <c r="D199" s="20">
        <f>LOG(B199)-LOG(1)</f>
        <v>3.0269416279590295</v>
      </c>
      <c r="E199" s="20">
        <v>1</v>
      </c>
      <c r="F199" s="20">
        <v>0</v>
      </c>
      <c r="G199" s="20">
        <f>LOG(1)-LOG(1)</f>
        <v>0</v>
      </c>
      <c r="I199" s="22"/>
      <c r="J199" s="5"/>
      <c r="K199" s="5"/>
    </row>
    <row r="200" spans="1:11" x14ac:dyDescent="0.2">
      <c r="I200" s="6"/>
      <c r="J200" s="6"/>
      <c r="K200" s="6"/>
    </row>
    <row r="201" spans="1:11" x14ac:dyDescent="0.2">
      <c r="A201" s="30">
        <v>43888</v>
      </c>
      <c r="B201" s="30"/>
      <c r="C201" s="30"/>
      <c r="D201" s="20"/>
      <c r="E201" s="20"/>
      <c r="F201" s="20"/>
      <c r="G201" s="20"/>
      <c r="I201" s="28"/>
      <c r="J201" s="28"/>
      <c r="K201" s="28"/>
    </row>
    <row r="202" spans="1:11" x14ac:dyDescent="0.2">
      <c r="A202" s="20" t="s">
        <v>90</v>
      </c>
      <c r="B202" s="20" t="s">
        <v>91</v>
      </c>
      <c r="C202" s="20" t="s">
        <v>92</v>
      </c>
      <c r="D202" s="20" t="s">
        <v>93</v>
      </c>
      <c r="E202" s="20" t="s">
        <v>94</v>
      </c>
      <c r="F202" s="20" t="s">
        <v>95</v>
      </c>
      <c r="G202" s="20"/>
      <c r="I202" s="22"/>
      <c r="J202" s="6"/>
      <c r="K202" s="6"/>
    </row>
    <row r="203" spans="1:11" x14ac:dyDescent="0.2">
      <c r="A203" s="20">
        <v>20</v>
      </c>
      <c r="B203" s="20">
        <f>(119+600)/2</f>
        <v>359.5</v>
      </c>
      <c r="C203" s="20">
        <f>(26+600)/2</f>
        <v>313</v>
      </c>
      <c r="D203" s="20">
        <f>LOG(B203)-LOG(C203)</f>
        <v>6.0154557172452883E-2</v>
      </c>
      <c r="E203" s="20">
        <v>1</v>
      </c>
      <c r="F203" s="20">
        <v>1</v>
      </c>
      <c r="G203" s="20">
        <f>LOG(E203)-LOG(F203)</f>
        <v>0</v>
      </c>
      <c r="I203" s="11"/>
      <c r="J203" s="6"/>
      <c r="K203" s="6"/>
    </row>
    <row r="204" spans="1:11" x14ac:dyDescent="0.2">
      <c r="A204" s="20">
        <v>18</v>
      </c>
      <c r="B204" s="20">
        <f>AZ8*100</f>
        <v>600</v>
      </c>
      <c r="C204" s="20">
        <f>(31+100)/2</f>
        <v>65.5</v>
      </c>
      <c r="D204" s="20">
        <f>LOG(B204)-LOG(C204)</f>
        <v>0.96190995039186045</v>
      </c>
      <c r="E204" s="20">
        <v>1</v>
      </c>
      <c r="F204" s="20">
        <v>0</v>
      </c>
      <c r="G204" s="20">
        <f>LOG(1)-LOG(1)</f>
        <v>0</v>
      </c>
      <c r="I204" s="22"/>
      <c r="J204" s="6"/>
      <c r="K204" s="6"/>
    </row>
    <row r="205" spans="1:11" x14ac:dyDescent="0.2">
      <c r="A205" s="20">
        <v>2</v>
      </c>
      <c r="B205" s="20">
        <v>13</v>
      </c>
      <c r="C205" s="20">
        <f>(280+27*100)/2</f>
        <v>1490</v>
      </c>
      <c r="D205" s="20">
        <f>LOG(B205)-LOG(C205)</f>
        <v>-2.0592429161054371</v>
      </c>
      <c r="E205" s="20">
        <f>(102+100)/2</f>
        <v>101</v>
      </c>
      <c r="F205" s="20">
        <v>91</v>
      </c>
      <c r="G205" s="20">
        <f>LOG(E205)-LOG(F205)</f>
        <v>4.527998146154899E-2</v>
      </c>
      <c r="I205" s="11"/>
      <c r="J205" s="6"/>
      <c r="K205" s="6"/>
    </row>
    <row r="206" spans="1:11" x14ac:dyDescent="0.2">
      <c r="A206" s="20">
        <v>1</v>
      </c>
      <c r="B206" s="20">
        <f>(74+10*100)/2</f>
        <v>537</v>
      </c>
      <c r="C206" s="20">
        <f>(32+600)/2</f>
        <v>316</v>
      </c>
      <c r="D206" s="20">
        <f>LOG(B206)-LOG(C206)</f>
        <v>0.23028720308115158</v>
      </c>
      <c r="E206" s="20">
        <v>7</v>
      </c>
      <c r="F206" s="20">
        <v>1</v>
      </c>
      <c r="G206" s="20">
        <f>LOG(E206)-LOG(F206)</f>
        <v>0.84509804001425681</v>
      </c>
      <c r="I206" s="5"/>
      <c r="J206" s="6"/>
      <c r="K206" s="6"/>
    </row>
    <row r="207" spans="1:11" x14ac:dyDescent="0.2">
      <c r="A207" s="20">
        <v>12</v>
      </c>
      <c r="B207" s="20">
        <v>4</v>
      </c>
      <c r="C207" s="20">
        <v>2</v>
      </c>
      <c r="D207" s="20">
        <f>LOG(B207)-LOG(C207)</f>
        <v>0.3010299956639812</v>
      </c>
      <c r="E207" s="20">
        <v>0</v>
      </c>
      <c r="F207" s="20">
        <v>0</v>
      </c>
      <c r="G207" s="20">
        <f>LOG(1)-LOG(1)</f>
        <v>0</v>
      </c>
      <c r="I207" s="7"/>
      <c r="J207" s="6"/>
      <c r="K207" s="6"/>
    </row>
    <row r="209" spans="1:12" x14ac:dyDescent="0.2">
      <c r="A209" s="30">
        <v>43889</v>
      </c>
      <c r="B209" s="30"/>
      <c r="C209" s="30"/>
      <c r="D209" s="20"/>
      <c r="E209" s="20"/>
      <c r="F209" s="20"/>
      <c r="G209" s="20"/>
      <c r="I209" s="27"/>
      <c r="J209" s="27"/>
      <c r="K209" s="27"/>
    </row>
    <row r="210" spans="1:12" x14ac:dyDescent="0.2">
      <c r="A210" s="20" t="s">
        <v>90</v>
      </c>
      <c r="B210" s="20" t="s">
        <v>91</v>
      </c>
      <c r="C210" s="20" t="s">
        <v>92</v>
      </c>
      <c r="D210" s="20" t="s">
        <v>93</v>
      </c>
      <c r="E210" s="20" t="s">
        <v>94</v>
      </c>
      <c r="F210" s="20" t="s">
        <v>95</v>
      </c>
      <c r="G210" s="20" t="s">
        <v>93</v>
      </c>
      <c r="I210" s="3"/>
    </row>
    <row r="211" spans="1:12" x14ac:dyDescent="0.2">
      <c r="A211" s="20">
        <v>15</v>
      </c>
      <c r="B211" s="20">
        <f>(112+500)/2</f>
        <v>306</v>
      </c>
      <c r="C211" s="20">
        <v>0</v>
      </c>
      <c r="D211" s="20">
        <f>LOG(B211)-LOG(1)</f>
        <v>2.4857214264815801</v>
      </c>
      <c r="E211" s="20">
        <v>0</v>
      </c>
      <c r="F211" s="20">
        <v>0</v>
      </c>
      <c r="G211" s="20">
        <f>LOG(1)-LOG(1)</f>
        <v>0</v>
      </c>
      <c r="H211" s="6"/>
      <c r="I211" s="11"/>
      <c r="J211" s="6"/>
      <c r="K211" s="6"/>
      <c r="L211" s="6"/>
    </row>
    <row r="212" spans="1:12" x14ac:dyDescent="0.2">
      <c r="A212" s="20">
        <v>14</v>
      </c>
      <c r="B212" s="20">
        <f>(83+32*100)/2</f>
        <v>1641.5</v>
      </c>
      <c r="C212" s="20">
        <v>0</v>
      </c>
      <c r="D212" s="20">
        <f>LOG(B212)-LOG(1)</f>
        <v>3.215240887065359</v>
      </c>
      <c r="E212" s="20">
        <f>(32+100)/2</f>
        <v>66</v>
      </c>
      <c r="F212" s="20">
        <v>0</v>
      </c>
      <c r="G212" s="20">
        <f>LOG(E212)-LOG(1)</f>
        <v>1.8195439355418688</v>
      </c>
      <c r="H212" s="6"/>
      <c r="I212" s="22"/>
      <c r="J212" s="6"/>
      <c r="K212" s="6"/>
      <c r="L212" s="6"/>
    </row>
    <row r="213" spans="1:12" x14ac:dyDescent="0.2">
      <c r="H213" s="6"/>
      <c r="I213" s="6"/>
      <c r="J213" s="6"/>
      <c r="K213" s="6"/>
      <c r="L213" s="6"/>
    </row>
    <row r="214" spans="1:12" x14ac:dyDescent="0.2">
      <c r="A214" s="30">
        <v>43892</v>
      </c>
      <c r="B214" s="30"/>
      <c r="C214" s="30"/>
      <c r="D214" s="20"/>
      <c r="E214" s="20"/>
      <c r="F214" s="20"/>
      <c r="G214" s="20"/>
      <c r="H214" s="6"/>
      <c r="I214" s="28"/>
      <c r="J214" s="28"/>
      <c r="K214" s="28"/>
      <c r="L214" s="6"/>
    </row>
    <row r="215" spans="1:12" x14ac:dyDescent="0.2">
      <c r="A215" s="20" t="s">
        <v>90</v>
      </c>
      <c r="B215" s="20" t="s">
        <v>91</v>
      </c>
      <c r="C215" s="20" t="s">
        <v>92</v>
      </c>
      <c r="D215" s="20" t="s">
        <v>93</v>
      </c>
      <c r="E215" s="20" t="s">
        <v>94</v>
      </c>
      <c r="F215" s="20" t="s">
        <v>95</v>
      </c>
      <c r="G215" s="20" t="s">
        <v>93</v>
      </c>
      <c r="H215" s="6"/>
      <c r="I215" s="5"/>
      <c r="J215" s="5"/>
      <c r="K215" s="5"/>
      <c r="L215" s="6"/>
    </row>
    <row r="216" spans="1:12" x14ac:dyDescent="0.2">
      <c r="A216" s="20">
        <v>18</v>
      </c>
      <c r="B216" s="20">
        <f>(55+100)/2</f>
        <v>77.5</v>
      </c>
      <c r="C216" s="20">
        <v>14</v>
      </c>
      <c r="D216" s="20">
        <f t="shared" ref="D216:D227" si="11">LOG(B216)-LOG(C216)</f>
        <v>0.7431736668280724</v>
      </c>
      <c r="E216" s="20">
        <v>0</v>
      </c>
      <c r="F216" s="20">
        <v>0</v>
      </c>
      <c r="G216" s="20">
        <f>LOG(1)-LOG(1)</f>
        <v>0</v>
      </c>
      <c r="H216" s="6"/>
      <c r="I216" s="7"/>
      <c r="J216" s="7"/>
      <c r="K216" s="7"/>
      <c r="L216" s="6"/>
    </row>
    <row r="217" spans="1:12" x14ac:dyDescent="0.2">
      <c r="A217" s="20">
        <v>19</v>
      </c>
      <c r="B217" s="21">
        <f>(47+100)/2</f>
        <v>73.5</v>
      </c>
      <c r="C217" s="21">
        <v>0</v>
      </c>
      <c r="D217" s="20">
        <f>LOG(B217)-LOG(1)</f>
        <v>1.866287339084195</v>
      </c>
      <c r="E217" s="20">
        <v>1</v>
      </c>
      <c r="F217" s="20">
        <v>0</v>
      </c>
      <c r="G217" s="20">
        <f>LOG(E217)-LOG(1)</f>
        <v>0</v>
      </c>
      <c r="H217" s="6"/>
      <c r="I217" s="5"/>
      <c r="J217" s="5"/>
      <c r="K217" s="5"/>
      <c r="L217" s="6"/>
    </row>
    <row r="218" spans="1:12" x14ac:dyDescent="0.2">
      <c r="A218" s="20">
        <v>12</v>
      </c>
      <c r="B218" s="20">
        <v>10</v>
      </c>
      <c r="C218" s="20">
        <f>40*100</f>
        <v>4000</v>
      </c>
      <c r="D218" s="20">
        <f>LOG(B218)-LOG(C218)</f>
        <v>-2.6020599913279625</v>
      </c>
      <c r="E218" s="20">
        <v>0</v>
      </c>
      <c r="F218" s="20">
        <v>0</v>
      </c>
      <c r="G218" s="20">
        <f>LOG(1)-LOG(1)</f>
        <v>0</v>
      </c>
      <c r="H218" s="6"/>
      <c r="I218" s="7"/>
      <c r="J218" s="7"/>
      <c r="K218" s="7"/>
      <c r="L218" s="6"/>
    </row>
    <row r="219" spans="1:12" x14ac:dyDescent="0.2">
      <c r="A219" s="20">
        <v>1</v>
      </c>
      <c r="B219" s="20">
        <f>(77+700)/2</f>
        <v>388.5</v>
      </c>
      <c r="C219" s="20"/>
      <c r="D219" s="20" t="e">
        <f t="shared" si="11"/>
        <v>#NUM!</v>
      </c>
      <c r="E219" s="20">
        <v>4</v>
      </c>
      <c r="F219" s="20"/>
      <c r="G219" s="20"/>
      <c r="H219" s="6"/>
      <c r="I219" s="22"/>
      <c r="J219" s="5"/>
      <c r="K219" s="5"/>
      <c r="L219" s="6"/>
    </row>
    <row r="220" spans="1:12" x14ac:dyDescent="0.2">
      <c r="A220" s="20">
        <v>13</v>
      </c>
      <c r="B220" s="20">
        <v>24</v>
      </c>
      <c r="C220" s="20">
        <v>0</v>
      </c>
      <c r="D220" s="20">
        <f>LOG(B220)-LOG(1)</f>
        <v>1.3802112417116059</v>
      </c>
      <c r="E220" s="20">
        <v>0</v>
      </c>
      <c r="F220" s="20">
        <v>0</v>
      </c>
      <c r="G220" s="20">
        <f>LOG(1)-LOG(1)</f>
        <v>0</v>
      </c>
      <c r="H220" s="6"/>
      <c r="I220" s="11"/>
      <c r="J220" s="7"/>
      <c r="K220" s="7"/>
      <c r="L220" s="6"/>
    </row>
    <row r="221" spans="1:12" x14ac:dyDescent="0.2">
      <c r="A221" s="20">
        <v>2</v>
      </c>
      <c r="B221" s="20">
        <f>(61+600)/2</f>
        <v>330.5</v>
      </c>
      <c r="C221" s="20">
        <f>(85+22*100)/2</f>
        <v>1142.5</v>
      </c>
      <c r="D221" s="20">
        <f t="shared" si="11"/>
        <v>-0.538684744920229</v>
      </c>
      <c r="E221" s="20">
        <v>0</v>
      </c>
      <c r="F221" s="20">
        <v>1</v>
      </c>
      <c r="G221" s="20">
        <f>LOG(1)-LOG(1)</f>
        <v>0</v>
      </c>
      <c r="H221" s="6"/>
      <c r="I221" s="22"/>
      <c r="J221" s="5"/>
      <c r="K221" s="5"/>
      <c r="L221" s="6"/>
    </row>
    <row r="222" spans="1:12" x14ac:dyDescent="0.2">
      <c r="A222" s="20">
        <v>4</v>
      </c>
      <c r="B222" s="20">
        <f>BJ26*100</f>
        <v>3700</v>
      </c>
      <c r="C222" s="20">
        <f>(99+15*100)/2</f>
        <v>799.5</v>
      </c>
      <c r="D222" s="20">
        <f t="shared" si="11"/>
        <v>0.66538325598474168</v>
      </c>
      <c r="E222" s="20">
        <v>4</v>
      </c>
      <c r="F222" s="20">
        <v>0</v>
      </c>
      <c r="G222" s="20">
        <f>LOG(E222)-LOG(1)</f>
        <v>0.6020599913279624</v>
      </c>
      <c r="H222" s="6"/>
      <c r="I222" s="11"/>
      <c r="J222" s="7"/>
      <c r="K222" s="7"/>
      <c r="L222" s="6"/>
    </row>
    <row r="223" spans="1:12" x14ac:dyDescent="0.2">
      <c r="A223" s="20">
        <v>7</v>
      </c>
      <c r="B223" s="20">
        <f>(125+900)/2</f>
        <v>512.5</v>
      </c>
      <c r="C223" s="20">
        <f>(19+200)/2</f>
        <v>109.5</v>
      </c>
      <c r="D223" s="20">
        <f t="shared" si="11"/>
        <v>0.67027975055165445</v>
      </c>
      <c r="E223" s="20">
        <v>0</v>
      </c>
      <c r="F223" s="20">
        <v>0</v>
      </c>
      <c r="G223" s="20">
        <f>LOG(1)-LOG(1)</f>
        <v>0</v>
      </c>
      <c r="H223" s="6"/>
      <c r="I223" s="22"/>
      <c r="J223" s="5"/>
      <c r="K223" s="5"/>
      <c r="L223" s="6"/>
    </row>
    <row r="224" spans="1:12" x14ac:dyDescent="0.2">
      <c r="A224" s="20">
        <v>9</v>
      </c>
      <c r="B224" s="20">
        <f>(19+200)/2</f>
        <v>109.5</v>
      </c>
      <c r="C224" s="20">
        <v>100</v>
      </c>
      <c r="D224" s="20">
        <f>LOG(B224)-LOG(1)</f>
        <v>2.0394141191761372</v>
      </c>
      <c r="E224" s="20">
        <v>1</v>
      </c>
      <c r="F224" s="20">
        <v>0</v>
      </c>
      <c r="G224" s="20">
        <f>LOG(E224)-LOG(1)</f>
        <v>0</v>
      </c>
      <c r="H224" s="6"/>
      <c r="I224" s="11"/>
      <c r="J224" s="7"/>
      <c r="K224" s="7"/>
      <c r="L224" s="6"/>
    </row>
    <row r="225" spans="1:12" x14ac:dyDescent="0.2">
      <c r="A225" s="20">
        <v>3</v>
      </c>
      <c r="B225" s="20">
        <f>BJ38*100</f>
        <v>25900</v>
      </c>
      <c r="C225" s="20">
        <v>0</v>
      </c>
      <c r="D225" s="20">
        <f>LOG(B225)-LOG(1)</f>
        <v>4.4132997640812519</v>
      </c>
      <c r="E225" s="20">
        <v>20</v>
      </c>
      <c r="F225" s="20">
        <v>0</v>
      </c>
      <c r="G225" s="20">
        <f>LOG(E225)-LOG(1)</f>
        <v>1.3010299956639813</v>
      </c>
      <c r="H225" s="6"/>
      <c r="I225" s="11"/>
      <c r="J225" s="7"/>
      <c r="K225" s="5"/>
      <c r="L225" s="6"/>
    </row>
    <row r="226" spans="1:12" x14ac:dyDescent="0.2">
      <c r="A226" s="20">
        <v>10</v>
      </c>
      <c r="B226" s="20">
        <f>(6+57*100)/2</f>
        <v>2853</v>
      </c>
      <c r="C226" s="20">
        <v>10</v>
      </c>
      <c r="D226" s="20">
        <f t="shared" si="11"/>
        <v>2.4553017716570764</v>
      </c>
      <c r="E226" s="20">
        <v>0</v>
      </c>
      <c r="F226" s="20">
        <v>0</v>
      </c>
      <c r="G226" s="20">
        <f>LOG(1)-LOG(1)</f>
        <v>0</v>
      </c>
      <c r="H226" s="6"/>
      <c r="I226" s="22"/>
      <c r="J226" s="5"/>
      <c r="K226" s="7"/>
      <c r="L226" s="6"/>
    </row>
    <row r="227" spans="1:12" x14ac:dyDescent="0.2">
      <c r="A227" s="20">
        <v>11</v>
      </c>
      <c r="B227" s="20">
        <f>(112+14*100)/2</f>
        <v>756</v>
      </c>
      <c r="C227" s="20">
        <f>(14+100)/2</f>
        <v>57</v>
      </c>
      <c r="D227" s="20">
        <f t="shared" si="11"/>
        <v>1.1226469398287149</v>
      </c>
      <c r="E227" s="20">
        <v>0</v>
      </c>
      <c r="F227" s="20">
        <v>1</v>
      </c>
      <c r="G227" s="20">
        <f>LOG(1)-LOG(1)</f>
        <v>0</v>
      </c>
      <c r="H227" s="6"/>
      <c r="I227" s="22"/>
      <c r="J227" s="5"/>
      <c r="K227" s="5"/>
      <c r="L227" s="6"/>
    </row>
    <row r="228" spans="1:12" x14ac:dyDescent="0.2">
      <c r="A228" s="20">
        <v>16</v>
      </c>
      <c r="B228" s="20">
        <f>(18+500)/2</f>
        <v>259</v>
      </c>
      <c r="C228" s="20">
        <v>0</v>
      </c>
      <c r="D228" s="20">
        <f>LOG(B228)-LOG(1)</f>
        <v>2.4132997640812519</v>
      </c>
      <c r="E228" s="20">
        <v>2</v>
      </c>
      <c r="F228" s="20">
        <v>0</v>
      </c>
      <c r="G228" s="20">
        <f>LOG(E228)-LOG(1)</f>
        <v>0.3010299956639812</v>
      </c>
      <c r="H228" s="6"/>
      <c r="I228" s="6"/>
      <c r="J228" s="6"/>
      <c r="K228" s="6"/>
      <c r="L228" s="6"/>
    </row>
    <row r="229" spans="1:12" x14ac:dyDescent="0.2">
      <c r="A229" s="20">
        <v>6</v>
      </c>
      <c r="B229" s="20">
        <f>(19+400)/2</f>
        <v>209.5</v>
      </c>
      <c r="C229" s="20">
        <v>0</v>
      </c>
      <c r="D229" s="20">
        <f>LOG(B229)-LOG(1)</f>
        <v>2.3211840273023143</v>
      </c>
      <c r="E229" s="20">
        <v>0</v>
      </c>
      <c r="F229" s="20">
        <v>0</v>
      </c>
      <c r="G229" s="20">
        <f>LOG(1)-LOG(1)</f>
        <v>0</v>
      </c>
      <c r="H229" s="6"/>
      <c r="I229" s="28"/>
      <c r="J229" s="28"/>
      <c r="K229" s="28"/>
      <c r="L229" s="6"/>
    </row>
    <row r="230" spans="1:12" x14ac:dyDescent="0.2">
      <c r="A230" s="20">
        <v>17</v>
      </c>
      <c r="B230" s="20">
        <v>25</v>
      </c>
      <c r="C230" s="20">
        <v>0</v>
      </c>
      <c r="D230" s="20">
        <f>LOG(B230)-LOG(1)</f>
        <v>1.3979400086720377</v>
      </c>
      <c r="E230" s="20">
        <v>0</v>
      </c>
      <c r="F230" s="20">
        <v>0</v>
      </c>
      <c r="G230" s="20">
        <f>LOG(1)-LOG(1)</f>
        <v>0</v>
      </c>
      <c r="H230" s="6"/>
      <c r="I230" s="5"/>
      <c r="J230" s="5"/>
      <c r="K230" s="5"/>
      <c r="L230" s="6"/>
    </row>
    <row r="231" spans="1:12" x14ac:dyDescent="0.2">
      <c r="H231" s="6"/>
      <c r="I231" s="7"/>
      <c r="J231" s="7"/>
      <c r="K231" s="7"/>
      <c r="L231" s="6"/>
    </row>
    <row r="232" spans="1:12" x14ac:dyDescent="0.2">
      <c r="A232" s="30">
        <v>43893</v>
      </c>
      <c r="B232" s="30"/>
      <c r="C232" s="30"/>
      <c r="D232" s="20"/>
      <c r="E232" s="20"/>
      <c r="F232" s="20"/>
      <c r="G232" s="20"/>
      <c r="H232" s="6"/>
      <c r="I232" s="5"/>
      <c r="J232" s="5"/>
      <c r="K232" s="5"/>
      <c r="L232" s="6"/>
    </row>
    <row r="233" spans="1:12" x14ac:dyDescent="0.2">
      <c r="A233" s="20" t="s">
        <v>90</v>
      </c>
      <c r="B233" s="20" t="s">
        <v>91</v>
      </c>
      <c r="C233" s="20" t="s">
        <v>92</v>
      </c>
      <c r="D233" s="20" t="s">
        <v>93</v>
      </c>
      <c r="E233" s="20" t="s">
        <v>94</v>
      </c>
      <c r="F233" s="20" t="s">
        <v>95</v>
      </c>
      <c r="G233" s="20" t="s">
        <v>93</v>
      </c>
      <c r="H233" s="6"/>
      <c r="I233" s="7"/>
      <c r="J233" s="7"/>
      <c r="K233" s="7"/>
      <c r="L233" s="6"/>
    </row>
    <row r="234" spans="1:12" x14ac:dyDescent="0.2">
      <c r="A234" s="20">
        <v>18</v>
      </c>
      <c r="B234" s="21">
        <f>(100+107)/2</f>
        <v>103.5</v>
      </c>
      <c r="C234" s="21">
        <v>0</v>
      </c>
      <c r="D234" s="20">
        <f>LOG(B234)-LOG(1)</f>
        <v>2.0149403497929366</v>
      </c>
      <c r="E234" s="20">
        <v>0</v>
      </c>
      <c r="F234" s="20">
        <v>0</v>
      </c>
      <c r="G234" s="20">
        <f>LOG(1)-LOG(1)</f>
        <v>0</v>
      </c>
      <c r="H234" s="6"/>
      <c r="I234" s="5"/>
      <c r="J234" s="5"/>
      <c r="K234" s="5"/>
      <c r="L234" s="6"/>
    </row>
    <row r="235" spans="1:12" x14ac:dyDescent="0.2">
      <c r="A235" s="20">
        <v>7</v>
      </c>
      <c r="B235" s="20">
        <f>(171+12*100)/2</f>
        <v>685.5</v>
      </c>
      <c r="C235" s="20">
        <v>17</v>
      </c>
      <c r="D235" s="20">
        <f t="shared" ref="D235:D245" si="12">LOG(B235)-LOG(C235)</f>
        <v>1.6055585377472574</v>
      </c>
      <c r="E235" s="20">
        <v>0</v>
      </c>
      <c r="F235" s="20">
        <v>0</v>
      </c>
      <c r="G235" s="20">
        <f>LOG(1)-LOG(1)</f>
        <v>0</v>
      </c>
      <c r="H235" s="6"/>
      <c r="I235" s="7"/>
      <c r="J235" s="7"/>
      <c r="K235" s="7"/>
      <c r="L235" s="6"/>
    </row>
    <row r="236" spans="1:12" x14ac:dyDescent="0.2">
      <c r="A236" s="20">
        <v>5</v>
      </c>
      <c r="B236" s="21">
        <f>(79+500)/2</f>
        <v>289.5</v>
      </c>
      <c r="C236" s="20">
        <f>10*100</f>
        <v>1000</v>
      </c>
      <c r="D236" s="20">
        <f t="shared" si="12"/>
        <v>-0.53835143193654478</v>
      </c>
      <c r="E236" s="20">
        <v>4</v>
      </c>
      <c r="F236" s="20">
        <f>103/2</f>
        <v>51.5</v>
      </c>
      <c r="G236" s="20">
        <f>LOG(E236)-LOG(F236)</f>
        <v>-1.1097472377132287</v>
      </c>
      <c r="H236" s="6"/>
      <c r="I236" s="5"/>
      <c r="J236" s="5"/>
      <c r="K236" s="5"/>
      <c r="L236" s="6"/>
    </row>
    <row r="237" spans="1:12" x14ac:dyDescent="0.2">
      <c r="A237" s="20">
        <v>9</v>
      </c>
      <c r="B237" s="20">
        <f>(17+2*100)</f>
        <v>217</v>
      </c>
      <c r="C237" s="20">
        <v>0</v>
      </c>
      <c r="D237" s="20">
        <f>LOG(B237)-LOG(1)</f>
        <v>2.3364597338485296</v>
      </c>
      <c r="E237" s="20">
        <v>4</v>
      </c>
      <c r="F237" s="20">
        <v>0</v>
      </c>
      <c r="G237" s="20">
        <f>LOG(E237)-LOG(1)</f>
        <v>0.6020599913279624</v>
      </c>
      <c r="H237" s="6"/>
      <c r="I237" s="7"/>
      <c r="J237" s="7"/>
      <c r="K237" s="7"/>
      <c r="L237" s="6"/>
    </row>
    <row r="238" spans="1:12" x14ac:dyDescent="0.2">
      <c r="A238" s="20">
        <v>16</v>
      </c>
      <c r="B238" s="21">
        <f>(107+800)/2</f>
        <v>453.5</v>
      </c>
      <c r="C238" s="21">
        <v>1</v>
      </c>
      <c r="D238" s="20">
        <f t="shared" si="12"/>
        <v>2.6565772913961139</v>
      </c>
      <c r="E238" s="20">
        <v>2</v>
      </c>
      <c r="F238" s="20">
        <v>0</v>
      </c>
      <c r="G238" s="20">
        <f>LOG(E238)-LOG(1)</f>
        <v>0.3010299956639812</v>
      </c>
      <c r="H238" s="6"/>
      <c r="I238" s="5"/>
      <c r="J238" s="5"/>
      <c r="K238" s="5"/>
      <c r="L238" s="6"/>
    </row>
    <row r="239" spans="1:12" x14ac:dyDescent="0.2">
      <c r="A239" s="20">
        <v>13</v>
      </c>
      <c r="B239" s="20">
        <v>21</v>
      </c>
      <c r="C239" s="20">
        <v>0</v>
      </c>
      <c r="D239" s="20">
        <f>LOG(B239)-LOG(1)</f>
        <v>1.3222192947339193</v>
      </c>
      <c r="E239" s="20">
        <v>0</v>
      </c>
      <c r="F239" s="20">
        <v>0</v>
      </c>
      <c r="G239" s="20">
        <f>LOG(1)-LOG(1)</f>
        <v>0</v>
      </c>
      <c r="H239" s="6"/>
      <c r="I239" s="7"/>
      <c r="J239" s="7"/>
      <c r="K239" s="7"/>
      <c r="L239" s="6"/>
    </row>
    <row r="240" spans="1:12" x14ac:dyDescent="0.2">
      <c r="A240" s="20">
        <v>12</v>
      </c>
      <c r="B240" s="21">
        <f>(179+14*100)/2</f>
        <v>789.5</v>
      </c>
      <c r="C240" s="21">
        <f>(121+100)/2</f>
        <v>110.5</v>
      </c>
      <c r="D240" s="20">
        <f t="shared" si="12"/>
        <v>0.8539898563231838</v>
      </c>
      <c r="E240" s="20">
        <v>0</v>
      </c>
      <c r="F240" s="20">
        <v>0</v>
      </c>
      <c r="G240" s="20">
        <f>LOG(1)-LOG(1)</f>
        <v>0</v>
      </c>
      <c r="H240" s="6"/>
      <c r="I240" s="7"/>
      <c r="J240" s="7"/>
      <c r="K240" s="5"/>
      <c r="L240" s="6"/>
    </row>
    <row r="241" spans="1:12" x14ac:dyDescent="0.2">
      <c r="A241" s="20">
        <v>10</v>
      </c>
      <c r="B241" s="20">
        <f>BO32*100</f>
        <v>2100</v>
      </c>
      <c r="C241" s="20">
        <v>15</v>
      </c>
      <c r="D241" s="20">
        <f t="shared" si="12"/>
        <v>2.1461280356782377</v>
      </c>
      <c r="E241" s="20">
        <v>0</v>
      </c>
      <c r="F241" s="20">
        <v>0</v>
      </c>
      <c r="G241" s="20">
        <f>LOG(1)-LOG(1)</f>
        <v>0</v>
      </c>
      <c r="H241" s="6"/>
      <c r="I241" s="5"/>
      <c r="J241" s="5"/>
      <c r="K241" s="7"/>
      <c r="L241" s="6"/>
    </row>
    <row r="242" spans="1:12" x14ac:dyDescent="0.2">
      <c r="A242" s="20">
        <v>15</v>
      </c>
      <c r="B242" s="21">
        <f>(215+24*100)/2</f>
        <v>1307.5</v>
      </c>
      <c r="C242" s="21">
        <v>0</v>
      </c>
      <c r="D242" s="20">
        <f>LOG(B242)-LOG(1)</f>
        <v>3.1164416975393117</v>
      </c>
      <c r="E242" s="20">
        <v>3</v>
      </c>
      <c r="F242" s="20">
        <v>0</v>
      </c>
      <c r="G242" s="20">
        <f>LOG(E242)-LOG(1)</f>
        <v>0.47712125471966244</v>
      </c>
      <c r="H242" s="6"/>
      <c r="I242" s="5"/>
      <c r="J242" s="5"/>
      <c r="K242" s="5"/>
      <c r="L242" s="6"/>
    </row>
    <row r="243" spans="1:12" x14ac:dyDescent="0.2">
      <c r="A243" s="20">
        <v>17</v>
      </c>
      <c r="B243" s="20">
        <f>(55+400)/2</f>
        <v>227.5</v>
      </c>
      <c r="C243" s="20">
        <v>50</v>
      </c>
      <c r="D243" s="20">
        <f>LOG(B243)-LOG(C243)</f>
        <v>0.65801139665711261</v>
      </c>
      <c r="E243" s="20">
        <v>0</v>
      </c>
      <c r="F243" s="20">
        <v>0</v>
      </c>
      <c r="G243" s="20">
        <f>LOG(1)-LOG(1)</f>
        <v>0</v>
      </c>
      <c r="H243" s="6"/>
      <c r="I243" s="7"/>
      <c r="J243" s="7"/>
      <c r="K243" s="7"/>
      <c r="L243" s="6"/>
    </row>
    <row r="244" spans="1:12" x14ac:dyDescent="0.2">
      <c r="A244" s="20">
        <v>6</v>
      </c>
      <c r="B244" s="21">
        <v>44</v>
      </c>
      <c r="C244" s="21">
        <v>0</v>
      </c>
      <c r="D244" s="20">
        <f>LOG(B244)-LOG(1)</f>
        <v>1.6434526764861874</v>
      </c>
      <c r="E244" s="20">
        <v>0</v>
      </c>
      <c r="F244" s="20">
        <v>0</v>
      </c>
      <c r="G244" s="20">
        <f>LOG(1)-LOG(1)</f>
        <v>0</v>
      </c>
      <c r="H244" s="6"/>
      <c r="I244" s="5"/>
      <c r="J244" s="5"/>
      <c r="K244" s="5"/>
      <c r="L244" s="6"/>
    </row>
    <row r="245" spans="1:12" x14ac:dyDescent="0.2">
      <c r="A245" s="20">
        <v>14</v>
      </c>
      <c r="B245" s="20">
        <f>(44+400)/2</f>
        <v>222</v>
      </c>
      <c r="C245" s="20">
        <v>27</v>
      </c>
      <c r="D245" s="20">
        <f t="shared" si="12"/>
        <v>0.91498921029165148</v>
      </c>
      <c r="E245" s="20">
        <v>1</v>
      </c>
      <c r="F245" s="20">
        <v>0</v>
      </c>
      <c r="G245" s="20">
        <f>LOG(E245)-LOG(1)</f>
        <v>0</v>
      </c>
      <c r="H245" s="6"/>
      <c r="I245" s="7"/>
      <c r="J245" s="7"/>
      <c r="K245" s="7"/>
      <c r="L245" s="6"/>
    </row>
    <row r="246" spans="1:12" x14ac:dyDescent="0.2">
      <c r="A246" s="20">
        <v>19</v>
      </c>
      <c r="B246" s="21">
        <f>(53+17*100)/2</f>
        <v>876.5</v>
      </c>
      <c r="C246" s="21">
        <v>0</v>
      </c>
      <c r="D246" s="20">
        <f>LOG(B246)-LOG(1)</f>
        <v>2.9427519204298136</v>
      </c>
      <c r="E246" s="20">
        <v>1</v>
      </c>
      <c r="F246" s="20">
        <v>0</v>
      </c>
      <c r="G246" s="20">
        <f>LOG(E246)-LOG(1)</f>
        <v>0</v>
      </c>
      <c r="H246" s="6"/>
      <c r="I246" s="5"/>
      <c r="J246" s="5"/>
      <c r="K246" s="5"/>
      <c r="L246" s="6"/>
    </row>
    <row r="247" spans="1:12" x14ac:dyDescent="0.2">
      <c r="A247" s="20">
        <v>8</v>
      </c>
      <c r="B247" s="20">
        <f>(52+11*100)/2</f>
        <v>576</v>
      </c>
      <c r="C247" s="20">
        <v>0</v>
      </c>
      <c r="D247" s="20">
        <f>LOG(B247)-LOG(1)</f>
        <v>2.7604224834232118</v>
      </c>
      <c r="E247" s="20">
        <v>1</v>
      </c>
      <c r="F247" s="20">
        <v>0</v>
      </c>
      <c r="G247" s="20">
        <f>LOG(E247)-LOG(1)</f>
        <v>0</v>
      </c>
      <c r="H247" s="6"/>
      <c r="I247" s="6"/>
      <c r="J247" s="6"/>
      <c r="K247" s="7"/>
      <c r="L247" s="6"/>
    </row>
    <row r="248" spans="1:12" x14ac:dyDescent="0.2">
      <c r="H248" s="6"/>
      <c r="I248" s="28"/>
      <c r="J248" s="28"/>
      <c r="K248" s="5"/>
      <c r="L248" s="6"/>
    </row>
    <row r="249" spans="1:12" x14ac:dyDescent="0.2">
      <c r="A249" s="31">
        <v>43894</v>
      </c>
      <c r="B249" s="31"/>
      <c r="C249" s="31"/>
      <c r="D249" s="20"/>
      <c r="E249" s="20"/>
      <c r="F249" s="20"/>
      <c r="G249" s="20"/>
      <c r="H249" s="6"/>
      <c r="I249" s="11"/>
      <c r="J249" s="7"/>
      <c r="K249" s="7"/>
      <c r="L249" s="6"/>
    </row>
    <row r="250" spans="1:12" x14ac:dyDescent="0.2">
      <c r="A250" s="20" t="s">
        <v>90</v>
      </c>
      <c r="B250" s="20" t="s">
        <v>91</v>
      </c>
      <c r="C250" s="20" t="s">
        <v>92</v>
      </c>
      <c r="D250" s="20" t="s">
        <v>93</v>
      </c>
      <c r="E250" s="20" t="s">
        <v>94</v>
      </c>
      <c r="F250" s="20" t="s">
        <v>95</v>
      </c>
      <c r="G250" s="20" t="s">
        <v>93</v>
      </c>
      <c r="H250" s="6"/>
      <c r="I250" s="11"/>
      <c r="J250" s="7"/>
      <c r="K250" s="5"/>
      <c r="L250" s="6"/>
    </row>
    <row r="251" spans="1:12" x14ac:dyDescent="0.2">
      <c r="A251" s="20">
        <v>15</v>
      </c>
      <c r="B251" s="20">
        <v>14</v>
      </c>
      <c r="C251" s="20">
        <v>0</v>
      </c>
      <c r="D251" s="20">
        <f>LOG(B251)-LOG(1)</f>
        <v>1.146128035678238</v>
      </c>
      <c r="E251" s="20">
        <v>0</v>
      </c>
      <c r="F251" s="20">
        <v>0</v>
      </c>
      <c r="G251" s="20">
        <f>LOG(1)-LOG(1)</f>
        <v>0</v>
      </c>
      <c r="H251" s="6"/>
      <c r="I251" s="11"/>
      <c r="J251" s="7"/>
      <c r="K251" s="7"/>
      <c r="L251" s="6"/>
    </row>
    <row r="252" spans="1:12" x14ac:dyDescent="0.2">
      <c r="A252" s="20">
        <v>11</v>
      </c>
      <c r="B252" s="20">
        <v>500</v>
      </c>
      <c r="C252" s="20">
        <v>15</v>
      </c>
      <c r="D252" s="20">
        <f>LOG(B252)-LOG(C252)</f>
        <v>1.5228787452803374</v>
      </c>
      <c r="E252" s="20">
        <v>2</v>
      </c>
      <c r="F252" s="20">
        <v>0</v>
      </c>
      <c r="G252" s="20">
        <f>LOG(E252)-LOG(1)</f>
        <v>0.3010299956639812</v>
      </c>
      <c r="H252" s="6"/>
      <c r="I252" s="11"/>
      <c r="J252" s="7"/>
      <c r="K252" s="5"/>
      <c r="L252" s="6"/>
    </row>
    <row r="253" spans="1:12" x14ac:dyDescent="0.2">
      <c r="A253" s="20">
        <v>20</v>
      </c>
      <c r="B253" s="20">
        <f>(137+10*100)/2</f>
        <v>568.5</v>
      </c>
      <c r="C253" s="20">
        <v>0</v>
      </c>
      <c r="D253" s="20">
        <f>LOG(B253)-LOG(1)</f>
        <v>2.7547304690237535</v>
      </c>
      <c r="E253" s="20">
        <v>1</v>
      </c>
      <c r="F253" s="20">
        <v>0</v>
      </c>
      <c r="G253" s="20">
        <f>LOG(E253)-LOG(1)</f>
        <v>0</v>
      </c>
      <c r="H253" s="6"/>
      <c r="I253" s="7"/>
      <c r="J253" s="7"/>
      <c r="K253" s="7"/>
      <c r="L253" s="6"/>
    </row>
    <row r="254" spans="1:12" x14ac:dyDescent="0.2">
      <c r="A254" s="20">
        <v>4</v>
      </c>
      <c r="B254" s="20">
        <f>(108+200)/2</f>
        <v>154</v>
      </c>
      <c r="C254" s="20">
        <v>0</v>
      </c>
      <c r="D254" s="20">
        <f>LOG(B254)-LOG(1)</f>
        <v>2.1875207208364631</v>
      </c>
      <c r="E254" s="20">
        <v>1</v>
      </c>
      <c r="F254" s="20">
        <v>0</v>
      </c>
      <c r="G254" s="20">
        <f>LOG(E254)-LOG(1)</f>
        <v>0</v>
      </c>
      <c r="H254" s="6"/>
      <c r="I254" s="7"/>
      <c r="J254" s="7"/>
      <c r="K254" s="5"/>
      <c r="L254" s="6"/>
    </row>
    <row r="255" spans="1:12" x14ac:dyDescent="0.2">
      <c r="A255" s="20">
        <v>2</v>
      </c>
      <c r="B255" s="20">
        <f>(43+300)/2</f>
        <v>171.5</v>
      </c>
      <c r="C255" s="20">
        <f>45*100</f>
        <v>4500</v>
      </c>
      <c r="D255" s="20">
        <f>LOG(B255)-LOG(C255)</f>
        <v>-1.418948389396554</v>
      </c>
      <c r="E255" s="20">
        <v>1</v>
      </c>
      <c r="F255" s="20">
        <v>0</v>
      </c>
      <c r="G255" s="20">
        <f>LOG(E255)-LOG(1)</f>
        <v>0</v>
      </c>
      <c r="H255" s="6"/>
      <c r="I255" s="7"/>
      <c r="J255" s="7"/>
      <c r="K255" s="7"/>
      <c r="L255" s="6"/>
    </row>
    <row r="256" spans="1:12" x14ac:dyDescent="0.2">
      <c r="H256" s="6"/>
      <c r="I256" s="7"/>
      <c r="J256" s="7"/>
      <c r="K256" s="5"/>
      <c r="L256" s="6"/>
    </row>
    <row r="257" spans="1:12" x14ac:dyDescent="0.2">
      <c r="A257" s="30">
        <v>43895</v>
      </c>
      <c r="B257" s="30"/>
      <c r="C257" s="30"/>
      <c r="D257" s="20"/>
      <c r="E257" s="20"/>
      <c r="F257" s="20"/>
      <c r="G257" s="20"/>
      <c r="H257" s="6"/>
      <c r="I257" s="11"/>
      <c r="J257" s="7"/>
      <c r="K257" s="7"/>
      <c r="L257" s="6"/>
    </row>
    <row r="258" spans="1:12" x14ac:dyDescent="0.2">
      <c r="A258" s="20" t="s">
        <v>90</v>
      </c>
      <c r="B258" s="20" t="s">
        <v>91</v>
      </c>
      <c r="C258" s="20" t="s">
        <v>92</v>
      </c>
      <c r="D258" s="20" t="s">
        <v>93</v>
      </c>
      <c r="E258" s="20" t="s">
        <v>94</v>
      </c>
      <c r="F258" s="20" t="s">
        <v>95</v>
      </c>
      <c r="G258" s="20" t="s">
        <v>93</v>
      </c>
      <c r="H258" s="6"/>
      <c r="I258" s="11"/>
      <c r="J258" s="7"/>
      <c r="K258" s="5"/>
      <c r="L258" s="6"/>
    </row>
    <row r="259" spans="1:12" x14ac:dyDescent="0.2">
      <c r="A259" s="20">
        <v>14</v>
      </c>
      <c r="B259" s="20">
        <f>300*100</f>
        <v>30000</v>
      </c>
      <c r="C259" s="20">
        <v>0</v>
      </c>
      <c r="D259" s="20">
        <f>LOG(B259)-LOG(1)</f>
        <v>4.4771212547196626</v>
      </c>
      <c r="E259" s="20">
        <v>1</v>
      </c>
      <c r="F259" s="20">
        <v>0</v>
      </c>
      <c r="G259" s="20">
        <f>LOG(E259)-LOG(1)</f>
        <v>0</v>
      </c>
      <c r="H259" s="6"/>
      <c r="I259" s="11"/>
      <c r="J259" s="7"/>
      <c r="K259" s="7"/>
      <c r="L259" s="6"/>
    </row>
    <row r="260" spans="1:12" x14ac:dyDescent="0.2">
      <c r="A260" s="20">
        <v>5</v>
      </c>
      <c r="B260" s="20">
        <f>(106+300)/2</f>
        <v>203</v>
      </c>
      <c r="C260" s="20">
        <f>(17+100)/2</f>
        <v>58.5</v>
      </c>
      <c r="D260" s="20">
        <f>LOG(B260)-LOG(C260)</f>
        <v>0.54034017183103256</v>
      </c>
      <c r="E260" s="20">
        <v>1</v>
      </c>
      <c r="F260" s="20">
        <f>101/2</f>
        <v>50.5</v>
      </c>
      <c r="G260" s="20">
        <f>LOG(E260)-LOG(F260)</f>
        <v>-1.7032913781186614</v>
      </c>
      <c r="H260" s="6"/>
      <c r="I260" s="11"/>
      <c r="J260" s="7"/>
      <c r="K260" s="5"/>
      <c r="L260" s="6"/>
    </row>
    <row r="261" spans="1:12" x14ac:dyDescent="0.2">
      <c r="A261" s="20">
        <v>20</v>
      </c>
      <c r="B261" s="20">
        <f>(176+10*100)/2</f>
        <v>588</v>
      </c>
      <c r="C261" s="20">
        <v>0</v>
      </c>
      <c r="D261" s="20">
        <f>LOG(B261)-LOG(1)</f>
        <v>2.7693773260761385</v>
      </c>
      <c r="E261" s="20">
        <v>2</v>
      </c>
      <c r="F261" s="20">
        <v>0</v>
      </c>
      <c r="G261" s="20">
        <f>LOG(E261)-LOG(1)</f>
        <v>0.3010299956639812</v>
      </c>
      <c r="H261" s="6"/>
      <c r="I261" s="7"/>
      <c r="J261" s="7"/>
      <c r="K261" s="7"/>
      <c r="L261" s="6"/>
    </row>
    <row r="262" spans="1:12" x14ac:dyDescent="0.2">
      <c r="A262" s="20">
        <v>8</v>
      </c>
      <c r="B262" s="20">
        <f>(203+900)/2</f>
        <v>551.5</v>
      </c>
      <c r="C262" s="20">
        <v>0</v>
      </c>
      <c r="D262" s="20">
        <f>LOG(B262)-LOG(1)</f>
        <v>2.7415455167762093</v>
      </c>
      <c r="E262" s="20">
        <v>0</v>
      </c>
      <c r="F262" s="20">
        <v>0</v>
      </c>
      <c r="G262" s="20">
        <f>LOG(1)-LOG(1)</f>
        <v>0</v>
      </c>
      <c r="H262" s="6"/>
      <c r="I262" s="7"/>
      <c r="J262" s="7"/>
      <c r="K262" s="5"/>
      <c r="L262" s="6"/>
    </row>
    <row r="263" spans="1:12" x14ac:dyDescent="0.2">
      <c r="A263" s="20">
        <v>1</v>
      </c>
      <c r="B263" s="20">
        <f>(35+600)/2</f>
        <v>317.5</v>
      </c>
      <c r="C263" s="20">
        <v>91</v>
      </c>
      <c r="D263" s="20">
        <f>LOG(B263)-LOG(C263)</f>
        <v>0.54270233730690065</v>
      </c>
      <c r="E263" s="20">
        <v>0</v>
      </c>
      <c r="F263" s="20">
        <v>1</v>
      </c>
      <c r="G263" s="20">
        <f>LOG(1)-LOG(1)</f>
        <v>0</v>
      </c>
      <c r="H263" s="6"/>
      <c r="I263" s="7"/>
      <c r="J263" s="7"/>
      <c r="K263" s="7"/>
      <c r="L263" s="6"/>
    </row>
    <row r="264" spans="1:12" x14ac:dyDescent="0.2">
      <c r="H264" s="6"/>
      <c r="I264" s="7"/>
      <c r="J264" s="7"/>
      <c r="K264" s="5"/>
      <c r="L264" s="6"/>
    </row>
    <row r="265" spans="1:12" x14ac:dyDescent="0.2">
      <c r="H265" s="6"/>
      <c r="I265" s="11"/>
      <c r="J265" s="7"/>
      <c r="K265" s="7"/>
      <c r="L265" s="6"/>
    </row>
    <row r="266" spans="1:12" x14ac:dyDescent="0.2">
      <c r="H266" s="6"/>
      <c r="I266" s="11"/>
      <c r="J266" s="7"/>
      <c r="K266" s="5"/>
      <c r="L266" s="6"/>
    </row>
    <row r="267" spans="1:12" x14ac:dyDescent="0.2">
      <c r="H267" s="6"/>
      <c r="I267" s="11"/>
      <c r="J267" s="7"/>
      <c r="K267" s="7"/>
      <c r="L267" s="6"/>
    </row>
    <row r="268" spans="1:12" x14ac:dyDescent="0.2">
      <c r="H268" s="6"/>
      <c r="I268" s="11"/>
      <c r="J268" s="7"/>
      <c r="K268" s="5"/>
      <c r="L268" s="6"/>
    </row>
    <row r="269" spans="1:12" x14ac:dyDescent="0.2">
      <c r="H269" s="6"/>
      <c r="I269" s="11"/>
      <c r="J269" s="7"/>
      <c r="K269" s="7"/>
      <c r="L269" s="6"/>
    </row>
    <row r="270" spans="1:12" x14ac:dyDescent="0.2">
      <c r="H270" s="6"/>
      <c r="I270" s="5"/>
      <c r="J270" s="5"/>
      <c r="K270" s="5"/>
      <c r="L270" s="6"/>
    </row>
    <row r="271" spans="1:12" x14ac:dyDescent="0.2">
      <c r="H271" s="6"/>
      <c r="I271" s="7"/>
      <c r="J271" s="7"/>
      <c r="K271" s="7"/>
      <c r="L271" s="6"/>
    </row>
    <row r="272" spans="1:12" x14ac:dyDescent="0.2">
      <c r="H272" s="6"/>
      <c r="I272" s="5"/>
      <c r="J272" s="5"/>
      <c r="K272" s="5"/>
      <c r="L272" s="6"/>
    </row>
    <row r="273" spans="8:12" x14ac:dyDescent="0.2">
      <c r="H273" s="6"/>
      <c r="I273" s="7"/>
      <c r="J273" s="7"/>
      <c r="K273" s="7"/>
      <c r="L273" s="6"/>
    </row>
    <row r="274" spans="8:12" x14ac:dyDescent="0.2">
      <c r="H274" s="6"/>
      <c r="I274" s="22"/>
      <c r="J274" s="5"/>
      <c r="K274" s="5"/>
      <c r="L274" s="6"/>
    </row>
    <row r="275" spans="8:12" x14ac:dyDescent="0.2">
      <c r="I275" s="11"/>
      <c r="J275" s="7"/>
      <c r="K275" s="7"/>
    </row>
    <row r="276" spans="8:12" x14ac:dyDescent="0.2">
      <c r="I276" s="22"/>
      <c r="J276" s="5"/>
      <c r="K276" s="5"/>
    </row>
    <row r="277" spans="8:12" x14ac:dyDescent="0.2">
      <c r="I277" s="11"/>
      <c r="J277" s="7"/>
      <c r="K277" s="7"/>
    </row>
    <row r="278" spans="8:12" x14ac:dyDescent="0.2">
      <c r="I278" s="22"/>
      <c r="J278" s="5"/>
      <c r="K278" s="5"/>
    </row>
    <row r="279" spans="8:12" x14ac:dyDescent="0.2">
      <c r="I279" s="11"/>
      <c r="J279" s="7"/>
      <c r="K279" s="7"/>
    </row>
    <row r="280" spans="8:12" x14ac:dyDescent="0.2">
      <c r="I280" s="22"/>
      <c r="J280" s="5"/>
      <c r="K280" s="5"/>
    </row>
    <row r="281" spans="8:12" x14ac:dyDescent="0.2">
      <c r="I281" s="11"/>
      <c r="J281" s="7"/>
      <c r="K281" s="7"/>
    </row>
    <row r="282" spans="8:12" x14ac:dyDescent="0.2">
      <c r="I282" s="5"/>
      <c r="J282" s="5"/>
      <c r="K282" s="5"/>
    </row>
    <row r="283" spans="8:12" x14ac:dyDescent="0.2">
      <c r="I283" s="7"/>
      <c r="J283" s="7"/>
      <c r="K283" s="7"/>
    </row>
    <row r="284" spans="8:12" x14ac:dyDescent="0.2">
      <c r="I284" s="7"/>
      <c r="J284" s="7"/>
      <c r="K284" s="7"/>
    </row>
    <row r="285" spans="8:12" x14ac:dyDescent="0.2">
      <c r="I285" s="7"/>
      <c r="J285" s="7"/>
      <c r="K285" s="7"/>
    </row>
    <row r="286" spans="8:12" x14ac:dyDescent="0.2">
      <c r="I286" s="6"/>
      <c r="J286" s="6"/>
      <c r="K286" s="6"/>
    </row>
  </sheetData>
  <mergeCells count="46">
    <mergeCell ref="BN2:BP2"/>
    <mergeCell ref="BS2:BT2"/>
    <mergeCell ref="A57:C57"/>
    <mergeCell ref="A70:C70"/>
    <mergeCell ref="A87:C87"/>
    <mergeCell ref="AE2:AG2"/>
    <mergeCell ref="AJ2:AL2"/>
    <mergeCell ref="AO2:AQ2"/>
    <mergeCell ref="AT2:AV2"/>
    <mergeCell ref="AY2:BA2"/>
    <mergeCell ref="BD2:BF2"/>
    <mergeCell ref="A2:C2"/>
    <mergeCell ref="F2:H2"/>
    <mergeCell ref="K2:M2"/>
    <mergeCell ref="P2:R2"/>
    <mergeCell ref="U2:W2"/>
    <mergeCell ref="A131:C131"/>
    <mergeCell ref="A148:C148"/>
    <mergeCell ref="A154:C154"/>
    <mergeCell ref="A173:C173"/>
    <mergeCell ref="BI2:BK2"/>
    <mergeCell ref="Z2:AB2"/>
    <mergeCell ref="A257:C257"/>
    <mergeCell ref="I59:K59"/>
    <mergeCell ref="I71:K71"/>
    <mergeCell ref="I87:K87"/>
    <mergeCell ref="I102:K102"/>
    <mergeCell ref="I117:K117"/>
    <mergeCell ref="I126:K126"/>
    <mergeCell ref="I147:K147"/>
    <mergeCell ref="A185:C185"/>
    <mergeCell ref="A201:C201"/>
    <mergeCell ref="A209:C209"/>
    <mergeCell ref="A214:C214"/>
    <mergeCell ref="A232:C232"/>
    <mergeCell ref="A249:C249"/>
    <mergeCell ref="A102:C102"/>
    <mergeCell ref="A117:C117"/>
    <mergeCell ref="I229:K229"/>
    <mergeCell ref="I248:J248"/>
    <mergeCell ref="I153:K153"/>
    <mergeCell ref="I171:K171"/>
    <mergeCell ref="I184:K184"/>
    <mergeCell ref="I201:K201"/>
    <mergeCell ref="I209:K209"/>
    <mergeCell ref="I214:K2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E488D2-FA5D-F84D-AB37-92E3F6BA3567}">
  <dimension ref="A1:BF180"/>
  <sheetViews>
    <sheetView topLeftCell="P39" zoomScale="75" zoomScaleNormal="75" workbookViewId="0">
      <selection activeCell="S45" sqref="S45"/>
    </sheetView>
  </sheetViews>
  <sheetFormatPr baseColWidth="10" defaultRowHeight="16" x14ac:dyDescent="0.2"/>
  <cols>
    <col min="40" max="40" width="13.6640625" customWidth="1"/>
    <col min="41" max="41" width="15.83203125" bestFit="1" customWidth="1"/>
    <col min="43" max="43" width="18.83203125" bestFit="1" customWidth="1"/>
    <col min="46" max="46" width="14.1640625" customWidth="1"/>
  </cols>
  <sheetData>
    <row r="1" spans="1:58" x14ac:dyDescent="0.2">
      <c r="A1" t="s">
        <v>97</v>
      </c>
      <c r="B1" t="s">
        <v>91</v>
      </c>
      <c r="C1" t="s">
        <v>92</v>
      </c>
      <c r="D1" t="s">
        <v>99</v>
      </c>
      <c r="E1" t="s">
        <v>100</v>
      </c>
      <c r="F1" t="s">
        <v>93</v>
      </c>
      <c r="G1" t="s">
        <v>94</v>
      </c>
      <c r="H1" t="s">
        <v>95</v>
      </c>
      <c r="I1" t="s">
        <v>101</v>
      </c>
      <c r="J1" t="s">
        <v>102</v>
      </c>
      <c r="K1" t="s">
        <v>103</v>
      </c>
      <c r="M1" t="s">
        <v>98</v>
      </c>
      <c r="Z1" t="s">
        <v>105</v>
      </c>
    </row>
    <row r="2" spans="1:58" x14ac:dyDescent="0.2">
      <c r="A2">
        <v>1</v>
      </c>
      <c r="B2" s="8">
        <v>173</v>
      </c>
      <c r="C2" s="8">
        <v>0</v>
      </c>
      <c r="D2" s="8">
        <f>LOG(B2)</f>
        <v>2.2380461031287955</v>
      </c>
      <c r="E2" s="8">
        <f>LOG(1)</f>
        <v>0</v>
      </c>
      <c r="F2" s="8">
        <f>D2-E2</f>
        <v>2.2380461031287955</v>
      </c>
      <c r="G2" s="8">
        <v>12</v>
      </c>
      <c r="H2" s="8">
        <v>0</v>
      </c>
      <c r="I2" s="8">
        <f>LOG(G2)</f>
        <v>1.0791812460476249</v>
      </c>
      <c r="J2" s="13">
        <v>0</v>
      </c>
      <c r="K2" s="8">
        <f>I2-J2</f>
        <v>1.0791812460476249</v>
      </c>
      <c r="M2" t="s">
        <v>97</v>
      </c>
      <c r="N2" t="s">
        <v>91</v>
      </c>
      <c r="O2" t="s">
        <v>92</v>
      </c>
      <c r="P2" t="s">
        <v>99</v>
      </c>
      <c r="Q2" t="s">
        <v>100</v>
      </c>
      <c r="R2" t="s">
        <v>93</v>
      </c>
      <c r="S2" t="s">
        <v>132</v>
      </c>
      <c r="T2" t="s">
        <v>94</v>
      </c>
      <c r="U2" t="s">
        <v>95</v>
      </c>
      <c r="V2" t="s">
        <v>101</v>
      </c>
      <c r="W2" t="s">
        <v>102</v>
      </c>
      <c r="X2" t="s">
        <v>103</v>
      </c>
      <c r="Z2" t="s">
        <v>97</v>
      </c>
      <c r="AA2" t="s">
        <v>91</v>
      </c>
      <c r="AB2" t="s">
        <v>92</v>
      </c>
      <c r="AC2" t="s">
        <v>99</v>
      </c>
      <c r="AD2" t="s">
        <v>100</v>
      </c>
      <c r="AE2" t="s">
        <v>93</v>
      </c>
      <c r="AF2" t="s">
        <v>132</v>
      </c>
      <c r="AG2" t="s">
        <v>94</v>
      </c>
      <c r="AH2" t="s">
        <v>95</v>
      </c>
      <c r="AI2" t="s">
        <v>101</v>
      </c>
      <c r="AJ2" t="s">
        <v>102</v>
      </c>
      <c r="AK2" t="s">
        <v>103</v>
      </c>
    </row>
    <row r="3" spans="1:58" x14ac:dyDescent="0.2">
      <c r="B3" s="8">
        <v>76</v>
      </c>
      <c r="C3" s="8">
        <v>57</v>
      </c>
      <c r="D3" s="8">
        <f t="shared" ref="D3:D13" si="0">LOG(B3)</f>
        <v>1.8808135922807914</v>
      </c>
      <c r="E3" s="8">
        <f t="shared" ref="E3:E13" si="1">LOG(C3)</f>
        <v>1.7558748556724915</v>
      </c>
      <c r="F3" s="8">
        <f t="shared" ref="F3:F65" si="2">D3-E3</f>
        <v>0.12493873660829991</v>
      </c>
      <c r="G3" s="8">
        <v>2</v>
      </c>
      <c r="H3" s="8">
        <v>14</v>
      </c>
      <c r="I3" s="8">
        <f t="shared" ref="I3:I65" si="3">LOG(G3)</f>
        <v>0.3010299956639812</v>
      </c>
      <c r="J3" s="8">
        <f>LOG(H3)</f>
        <v>1.146128035678238</v>
      </c>
      <c r="K3" s="8">
        <f t="shared" ref="K3:K65" si="4">I3-J3</f>
        <v>-0.8450980400142567</v>
      </c>
      <c r="M3">
        <v>1</v>
      </c>
      <c r="N3">
        <v>173</v>
      </c>
      <c r="O3">
        <v>0</v>
      </c>
      <c r="P3">
        <f t="shared" ref="P3:P42" si="5">LOG(N3)</f>
        <v>2.2380461031287955</v>
      </c>
      <c r="Q3">
        <f>LOG(1)</f>
        <v>0</v>
      </c>
      <c r="R3">
        <f t="shared" ref="R3:R42" si="6">P3-Q3</f>
        <v>2.2380461031287955</v>
      </c>
      <c r="S3" t="s">
        <v>131</v>
      </c>
      <c r="T3">
        <v>12</v>
      </c>
      <c r="U3">
        <v>0</v>
      </c>
      <c r="V3">
        <f>LOG(T3)</f>
        <v>1.0791812460476249</v>
      </c>
      <c r="W3" s="2">
        <v>0</v>
      </c>
      <c r="X3">
        <f t="shared" ref="X3:X42" si="7">V3-W3</f>
        <v>1.0791812460476249</v>
      </c>
      <c r="Z3">
        <v>1</v>
      </c>
      <c r="AA3">
        <v>74</v>
      </c>
      <c r="AB3">
        <v>32</v>
      </c>
      <c r="AC3">
        <f>LOG(AA3)</f>
        <v>1.8692317197309762</v>
      </c>
      <c r="AD3">
        <f>LOG(AB3)</f>
        <v>1.505149978319906</v>
      </c>
      <c r="AE3">
        <f>AC3-AD3</f>
        <v>0.36408174141107019</v>
      </c>
      <c r="AF3">
        <f>AE3</f>
        <v>0.36408174141107019</v>
      </c>
      <c r="AG3">
        <v>7</v>
      </c>
      <c r="AH3">
        <v>1</v>
      </c>
      <c r="AI3">
        <f>LOG(AG3)</f>
        <v>0.84509804001425681</v>
      </c>
      <c r="AJ3">
        <f>LOG(AH3)</f>
        <v>0</v>
      </c>
      <c r="AK3">
        <f>AI3-AJ3</f>
        <v>0.84509804001425681</v>
      </c>
    </row>
    <row r="4" spans="1:58" x14ac:dyDescent="0.2">
      <c r="B4" s="8">
        <v>23</v>
      </c>
      <c r="C4" s="8">
        <v>1</v>
      </c>
      <c r="D4" s="8">
        <f t="shared" si="0"/>
        <v>1.3617278360175928</v>
      </c>
      <c r="E4" s="8">
        <f t="shared" si="1"/>
        <v>0</v>
      </c>
      <c r="F4" s="8">
        <f t="shared" si="2"/>
        <v>1.3617278360175928</v>
      </c>
      <c r="G4" s="8">
        <v>2</v>
      </c>
      <c r="H4" s="8">
        <v>0</v>
      </c>
      <c r="I4" s="8">
        <f t="shared" si="3"/>
        <v>0.3010299956639812</v>
      </c>
      <c r="J4" s="13">
        <v>0</v>
      </c>
      <c r="K4" s="8">
        <f t="shared" si="4"/>
        <v>0.3010299956639812</v>
      </c>
      <c r="N4">
        <v>76</v>
      </c>
      <c r="O4">
        <v>57</v>
      </c>
      <c r="P4">
        <f t="shared" si="5"/>
        <v>1.8808135922807914</v>
      </c>
      <c r="Q4">
        <f>LOG(O4)</f>
        <v>1.7558748556724915</v>
      </c>
      <c r="R4">
        <f t="shared" si="6"/>
        <v>0.12493873660829991</v>
      </c>
      <c r="S4">
        <f>R4</f>
        <v>0.12493873660829991</v>
      </c>
      <c r="T4">
        <v>2</v>
      </c>
      <c r="U4">
        <v>14</v>
      </c>
      <c r="V4">
        <f>LOG(T4)</f>
        <v>0.3010299956639812</v>
      </c>
      <c r="W4">
        <f>LOG(U4)</f>
        <v>1.146128035678238</v>
      </c>
      <c r="X4">
        <f t="shared" si="7"/>
        <v>-0.8450980400142567</v>
      </c>
      <c r="AF4">
        <f t="shared" ref="AF4:AF9" si="8">AE4</f>
        <v>0</v>
      </c>
      <c r="AN4" t="s">
        <v>98</v>
      </c>
      <c r="AO4" s="14" t="s">
        <v>107</v>
      </c>
      <c r="AP4" s="14" t="s">
        <v>109</v>
      </c>
      <c r="AQ4" s="14" t="s">
        <v>115</v>
      </c>
      <c r="AR4" s="14" t="s">
        <v>108</v>
      </c>
    </row>
    <row r="5" spans="1:58" x14ac:dyDescent="0.2">
      <c r="B5" s="8">
        <v>1600</v>
      </c>
      <c r="C5" s="8">
        <v>132</v>
      </c>
      <c r="D5" s="8">
        <f t="shared" si="0"/>
        <v>3.2041199826559246</v>
      </c>
      <c r="E5" s="8">
        <f t="shared" si="1"/>
        <v>2.12057393120585</v>
      </c>
      <c r="F5" s="8">
        <f t="shared" si="2"/>
        <v>1.0835460514500745</v>
      </c>
      <c r="G5" s="8">
        <v>20</v>
      </c>
      <c r="H5" s="8">
        <v>2</v>
      </c>
      <c r="I5" s="8">
        <f t="shared" si="3"/>
        <v>1.3010299956639813</v>
      </c>
      <c r="J5" s="8">
        <f>LOG(H5)</f>
        <v>0.3010299956639812</v>
      </c>
      <c r="K5" s="8">
        <f t="shared" si="4"/>
        <v>1</v>
      </c>
      <c r="M5">
        <v>2</v>
      </c>
      <c r="N5">
        <v>20</v>
      </c>
      <c r="O5">
        <v>0</v>
      </c>
      <c r="P5">
        <f t="shared" si="5"/>
        <v>1.3010299956639813</v>
      </c>
      <c r="Q5">
        <f>LOG(1)</f>
        <v>0</v>
      </c>
      <c r="R5">
        <f t="shared" si="6"/>
        <v>1.3010299956639813</v>
      </c>
      <c r="S5" t="s">
        <v>131</v>
      </c>
      <c r="T5">
        <v>13</v>
      </c>
      <c r="U5">
        <v>0</v>
      </c>
      <c r="V5">
        <f>LOG(T5)</f>
        <v>1.1139433523068367</v>
      </c>
      <c r="W5" s="2">
        <v>0</v>
      </c>
      <c r="X5">
        <f t="shared" si="7"/>
        <v>1.1139433523068367</v>
      </c>
      <c r="Z5">
        <v>2</v>
      </c>
      <c r="AA5">
        <v>100</v>
      </c>
      <c r="AB5">
        <v>7700</v>
      </c>
      <c r="AC5">
        <f t="shared" ref="AC5:AD7" si="9">LOG(AA5)</f>
        <v>2</v>
      </c>
      <c r="AD5">
        <f t="shared" si="9"/>
        <v>3.8864907251724818</v>
      </c>
      <c r="AE5">
        <f>AC5-AD5</f>
        <v>-1.8864907251724818</v>
      </c>
      <c r="AF5">
        <f t="shared" si="8"/>
        <v>-1.8864907251724818</v>
      </c>
      <c r="AG5">
        <v>200</v>
      </c>
      <c r="AH5">
        <v>100</v>
      </c>
      <c r="AI5">
        <f t="shared" ref="AI5:AJ7" si="10">LOG(AG5)</f>
        <v>2.3010299956639813</v>
      </c>
      <c r="AJ5">
        <f t="shared" si="10"/>
        <v>2</v>
      </c>
      <c r="AK5">
        <f>AI5-AJ5</f>
        <v>0.30102999566398125</v>
      </c>
      <c r="AN5" s="14" t="s">
        <v>110</v>
      </c>
      <c r="AO5" s="14">
        <f>MIN(P$3:P$42)</f>
        <v>0.6020599913279624</v>
      </c>
      <c r="AP5" s="14">
        <f>MIN(Q$3:Q$42)</f>
        <v>0</v>
      </c>
      <c r="AQ5" s="14">
        <f>MIN(V$3:V$42)</f>
        <v>0</v>
      </c>
      <c r="AR5" s="14">
        <f>MIN(W$3:W$42)</f>
        <v>0</v>
      </c>
    </row>
    <row r="6" spans="1:58" x14ac:dyDescent="0.2">
      <c r="B6" s="8">
        <v>74</v>
      </c>
      <c r="C6" s="8">
        <v>32</v>
      </c>
      <c r="D6" s="8">
        <f t="shared" si="0"/>
        <v>1.8692317197309762</v>
      </c>
      <c r="E6" s="8">
        <f t="shared" si="1"/>
        <v>1.505149978319906</v>
      </c>
      <c r="F6" s="8">
        <f t="shared" si="2"/>
        <v>0.36408174141107019</v>
      </c>
      <c r="G6" s="8">
        <v>7</v>
      </c>
      <c r="H6" s="8">
        <v>1</v>
      </c>
      <c r="I6" s="8">
        <f t="shared" si="3"/>
        <v>0.84509804001425681</v>
      </c>
      <c r="J6" s="8">
        <f>LOG(H6)</f>
        <v>0</v>
      </c>
      <c r="K6" s="8">
        <f t="shared" si="4"/>
        <v>0.84509804001425681</v>
      </c>
      <c r="N6">
        <v>4</v>
      </c>
      <c r="O6">
        <v>0</v>
      </c>
      <c r="P6">
        <f t="shared" si="5"/>
        <v>0.6020599913279624</v>
      </c>
      <c r="Q6">
        <f>LOG(1)</f>
        <v>0</v>
      </c>
      <c r="R6">
        <f t="shared" si="6"/>
        <v>0.6020599913279624</v>
      </c>
      <c r="S6" t="s">
        <v>131</v>
      </c>
      <c r="T6">
        <v>0</v>
      </c>
      <c r="U6">
        <v>0</v>
      </c>
      <c r="V6" s="2">
        <v>0</v>
      </c>
      <c r="W6" s="2">
        <v>0</v>
      </c>
      <c r="X6">
        <f t="shared" si="7"/>
        <v>0</v>
      </c>
      <c r="AA6">
        <v>13</v>
      </c>
      <c r="AB6">
        <v>280</v>
      </c>
      <c r="AC6">
        <f t="shared" si="9"/>
        <v>1.1139433523068367</v>
      </c>
      <c r="AD6">
        <f t="shared" si="9"/>
        <v>2.4471580313422194</v>
      </c>
      <c r="AE6">
        <f>AC6-AD6</f>
        <v>-1.3332146790353827</v>
      </c>
      <c r="AF6">
        <f t="shared" si="8"/>
        <v>-1.3332146790353827</v>
      </c>
      <c r="AG6">
        <v>102</v>
      </c>
      <c r="AH6">
        <v>91</v>
      </c>
      <c r="AI6">
        <f t="shared" si="10"/>
        <v>2.0086001717619175</v>
      </c>
      <c r="AJ6">
        <f t="shared" si="10"/>
        <v>1.9590413923210936</v>
      </c>
      <c r="AK6">
        <f>AI6-AJ6</f>
        <v>4.9558779440823875E-2</v>
      </c>
      <c r="AN6" s="14" t="s">
        <v>111</v>
      </c>
      <c r="AO6" s="14">
        <f>_xlfn.QUARTILE.EXC(P$3:P$42,1)</f>
        <v>1.4841284356197233</v>
      </c>
      <c r="AP6" s="14">
        <f>_xlfn.QUARTILE.EXC(Q$3:Q$42,1)</f>
        <v>0</v>
      </c>
      <c r="AQ6" s="14">
        <f>_xlfn.QUARTILE.EXC(V$3:V$42,1)</f>
        <v>0</v>
      </c>
      <c r="AR6" s="14">
        <f>_xlfn.QUARTILE.EXC(W$3:W$42,1)</f>
        <v>0</v>
      </c>
    </row>
    <row r="7" spans="1:58" x14ac:dyDescent="0.2">
      <c r="B7">
        <v>35</v>
      </c>
      <c r="C7">
        <v>91</v>
      </c>
      <c r="D7">
        <f t="shared" si="0"/>
        <v>1.5440680443502757</v>
      </c>
      <c r="E7">
        <f t="shared" si="1"/>
        <v>1.9590413923210936</v>
      </c>
      <c r="F7">
        <f t="shared" si="2"/>
        <v>-0.41497334797081797</v>
      </c>
      <c r="G7">
        <v>0</v>
      </c>
      <c r="H7">
        <v>1</v>
      </c>
      <c r="I7" s="2">
        <v>0</v>
      </c>
      <c r="J7">
        <f>LOG(H7)</f>
        <v>0</v>
      </c>
      <c r="K7">
        <f t="shared" si="4"/>
        <v>0</v>
      </c>
      <c r="M7">
        <v>3</v>
      </c>
      <c r="N7">
        <v>48</v>
      </c>
      <c r="O7">
        <v>0</v>
      </c>
      <c r="P7">
        <f t="shared" si="5"/>
        <v>1.6812412373755872</v>
      </c>
      <c r="Q7">
        <f>LOG(1)</f>
        <v>0</v>
      </c>
      <c r="R7">
        <f t="shared" si="6"/>
        <v>1.6812412373755872</v>
      </c>
      <c r="S7" t="s">
        <v>131</v>
      </c>
      <c r="T7">
        <v>0</v>
      </c>
      <c r="U7">
        <v>0</v>
      </c>
      <c r="V7" s="2">
        <v>0</v>
      </c>
      <c r="W7" s="2">
        <v>0</v>
      </c>
      <c r="X7">
        <f t="shared" si="7"/>
        <v>0</v>
      </c>
      <c r="Z7">
        <v>3</v>
      </c>
      <c r="AA7">
        <v>2500</v>
      </c>
      <c r="AB7">
        <v>83</v>
      </c>
      <c r="AC7">
        <f t="shared" si="9"/>
        <v>3.3979400086720375</v>
      </c>
      <c r="AD7">
        <f t="shared" si="9"/>
        <v>1.919078092376074</v>
      </c>
      <c r="AE7">
        <f>AC7-AD7</f>
        <v>1.4788619162959635</v>
      </c>
      <c r="AF7">
        <f t="shared" si="8"/>
        <v>1.4788619162959635</v>
      </c>
      <c r="AG7">
        <v>4</v>
      </c>
      <c r="AH7">
        <v>3</v>
      </c>
      <c r="AI7">
        <f t="shared" si="10"/>
        <v>0.6020599913279624</v>
      </c>
      <c r="AJ7">
        <f t="shared" si="10"/>
        <v>0.47712125471966244</v>
      </c>
      <c r="AK7">
        <f>AI7-AJ7</f>
        <v>0.12493873660829996</v>
      </c>
      <c r="AN7" s="14" t="s">
        <v>112</v>
      </c>
      <c r="AO7" s="14">
        <f>_xlfn.QUARTILE.EXC(P$3:P$42,2)</f>
        <v>1.9334389071687494</v>
      </c>
      <c r="AP7" s="14">
        <f>_xlfn.QUARTILE.EXC(Q$3:Q$42,2)</f>
        <v>0</v>
      </c>
      <c r="AQ7" s="14">
        <f>_xlfn.QUARTILE.EXC(V$3:V$42,2)</f>
        <v>0.1505149978319906</v>
      </c>
      <c r="AR7" s="14">
        <f>_xlfn.QUARTILE.EXC(W$3:W$42,2)</f>
        <v>0</v>
      </c>
    </row>
    <row r="8" spans="1:58" x14ac:dyDescent="0.2">
      <c r="A8">
        <v>2</v>
      </c>
      <c r="B8" s="8">
        <v>20</v>
      </c>
      <c r="C8" s="8">
        <v>0</v>
      </c>
      <c r="D8" s="8">
        <f t="shared" si="0"/>
        <v>1.3010299956639813</v>
      </c>
      <c r="E8" s="8">
        <f>LOG(1)</f>
        <v>0</v>
      </c>
      <c r="F8" s="8">
        <f t="shared" si="2"/>
        <v>1.3010299956639813</v>
      </c>
      <c r="G8" s="8">
        <v>13</v>
      </c>
      <c r="H8" s="8">
        <v>0</v>
      </c>
      <c r="I8" s="8">
        <f t="shared" si="3"/>
        <v>1.1139433523068367</v>
      </c>
      <c r="J8" s="13">
        <v>0</v>
      </c>
      <c r="K8" s="8">
        <f t="shared" si="4"/>
        <v>1.1139433523068367</v>
      </c>
      <c r="M8" s="12"/>
      <c r="N8">
        <v>52</v>
      </c>
      <c r="O8">
        <v>0</v>
      </c>
      <c r="P8">
        <f t="shared" si="5"/>
        <v>1.7160033436347992</v>
      </c>
      <c r="Q8">
        <f>LOG(1)</f>
        <v>0</v>
      </c>
      <c r="R8">
        <f t="shared" si="6"/>
        <v>1.7160033436347992</v>
      </c>
      <c r="S8" t="s">
        <v>131</v>
      </c>
      <c r="T8">
        <v>0</v>
      </c>
      <c r="U8">
        <v>0</v>
      </c>
      <c r="V8" s="2">
        <v>0</v>
      </c>
      <c r="W8" s="2">
        <v>0</v>
      </c>
      <c r="X8">
        <f t="shared" si="7"/>
        <v>0</v>
      </c>
      <c r="Z8" s="12"/>
      <c r="AF8">
        <f t="shared" si="8"/>
        <v>0</v>
      </c>
      <c r="AN8" s="14" t="s">
        <v>113</v>
      </c>
      <c r="AO8" s="14">
        <f>_xlfn.QUARTILE.EXC(P$3:P$42,3)</f>
        <v>2.4040226490652659</v>
      </c>
      <c r="AP8" s="14">
        <f>_xlfn.QUARTILE.EXC(Q$3:Q$42,3)</f>
        <v>0.75835593887173747</v>
      </c>
      <c r="AQ8" s="14">
        <f>_xlfn.QUARTILE.EXC(V$3:V$42,3)</f>
        <v>0.67474250108400469</v>
      </c>
      <c r="AR8" s="14">
        <f>_xlfn.QUARTILE.EXC(W$3:W$42,3)</f>
        <v>0</v>
      </c>
    </row>
    <row r="9" spans="1:58" x14ac:dyDescent="0.2">
      <c r="B9" s="8">
        <v>4</v>
      </c>
      <c r="C9" s="8">
        <v>0</v>
      </c>
      <c r="D9" s="8">
        <f t="shared" si="0"/>
        <v>0.6020599913279624</v>
      </c>
      <c r="E9" s="8">
        <f>LOG(1)</f>
        <v>0</v>
      </c>
      <c r="F9" s="8">
        <f t="shared" si="2"/>
        <v>0.6020599913279624</v>
      </c>
      <c r="G9" s="8">
        <v>0</v>
      </c>
      <c r="H9" s="8">
        <v>0</v>
      </c>
      <c r="I9" s="13">
        <v>0</v>
      </c>
      <c r="J9" s="13">
        <v>0</v>
      </c>
      <c r="K9" s="8">
        <f t="shared" si="4"/>
        <v>0</v>
      </c>
      <c r="M9">
        <v>4</v>
      </c>
      <c r="N9">
        <v>3400</v>
      </c>
      <c r="O9">
        <v>3</v>
      </c>
      <c r="P9">
        <f t="shared" si="5"/>
        <v>3.5314789170422549</v>
      </c>
      <c r="Q9">
        <f>LOG(O9)</f>
        <v>0.47712125471966244</v>
      </c>
      <c r="R9">
        <f t="shared" si="6"/>
        <v>3.0543576623225923</v>
      </c>
      <c r="S9">
        <f>R9</f>
        <v>3.0543576623225923</v>
      </c>
      <c r="T9">
        <v>2</v>
      </c>
      <c r="U9">
        <v>0</v>
      </c>
      <c r="V9">
        <f>LOG(T9)</f>
        <v>0.3010299956639812</v>
      </c>
      <c r="W9" s="2">
        <v>0</v>
      </c>
      <c r="X9">
        <f t="shared" si="7"/>
        <v>0.3010299956639812</v>
      </c>
      <c r="Z9">
        <v>4</v>
      </c>
      <c r="AA9">
        <v>71</v>
      </c>
      <c r="AB9">
        <v>117</v>
      </c>
      <c r="AC9">
        <f>LOG(AA9)</f>
        <v>1.8512583487190752</v>
      </c>
      <c r="AD9">
        <f>LOG(AB9)</f>
        <v>2.0681858617461617</v>
      </c>
      <c r="AE9">
        <f t="shared" ref="AE9:AE42" si="11">AC9-AD9</f>
        <v>-0.21692751302708646</v>
      </c>
      <c r="AF9">
        <f t="shared" si="8"/>
        <v>-0.21692751302708646</v>
      </c>
      <c r="AG9">
        <v>5</v>
      </c>
      <c r="AH9">
        <v>0</v>
      </c>
      <c r="AI9">
        <f>LOG(AG9)</f>
        <v>0.69897000433601886</v>
      </c>
      <c r="AJ9" s="2">
        <v>0</v>
      </c>
      <c r="AK9">
        <f t="shared" ref="AK9:AK42" si="12">AI9-AJ9</f>
        <v>0.69897000433601886</v>
      </c>
      <c r="AN9" s="14" t="s">
        <v>114</v>
      </c>
      <c r="AO9" s="14">
        <f>MAX(P$3:P$42)</f>
        <v>4.3692158574101425</v>
      </c>
      <c r="AP9" s="14">
        <f>MAX(Q$3:Q$42)</f>
        <v>3.9138138523837167</v>
      </c>
      <c r="AQ9" s="14">
        <f>MAX(V$3:V$42)</f>
        <v>3.2041199826559246</v>
      </c>
      <c r="AR9" s="14">
        <f>MAX(W$3:W$42)</f>
        <v>1.146128035678238</v>
      </c>
    </row>
    <row r="10" spans="1:58" x14ac:dyDescent="0.2">
      <c r="B10" s="8">
        <v>46</v>
      </c>
      <c r="C10" s="8">
        <v>0</v>
      </c>
      <c r="D10" s="8">
        <f t="shared" si="0"/>
        <v>1.6627578316815741</v>
      </c>
      <c r="E10" s="8">
        <f>LOG(1)</f>
        <v>0</v>
      </c>
      <c r="F10" s="8">
        <f t="shared" si="2"/>
        <v>1.6627578316815741</v>
      </c>
      <c r="G10" s="8">
        <v>0</v>
      </c>
      <c r="H10" s="8">
        <v>38</v>
      </c>
      <c r="I10" s="13">
        <v>0</v>
      </c>
      <c r="J10" s="8">
        <f>LOG(H10)</f>
        <v>1.5797835966168101</v>
      </c>
      <c r="K10" s="8">
        <f t="shared" si="4"/>
        <v>-1.5797835966168101</v>
      </c>
      <c r="N10">
        <v>4600</v>
      </c>
      <c r="O10">
        <v>5</v>
      </c>
      <c r="P10">
        <f t="shared" si="5"/>
        <v>3.6627578316815739</v>
      </c>
      <c r="Q10">
        <f>LOG(O10)</f>
        <v>0.69897000433601886</v>
      </c>
      <c r="R10">
        <f t="shared" si="6"/>
        <v>2.9637878273455551</v>
      </c>
      <c r="S10">
        <f>R10</f>
        <v>2.9637878273455551</v>
      </c>
      <c r="T10">
        <v>0</v>
      </c>
      <c r="U10">
        <v>0</v>
      </c>
      <c r="V10" s="2">
        <v>0</v>
      </c>
      <c r="W10" s="2">
        <v>0</v>
      </c>
      <c r="X10">
        <f t="shared" si="7"/>
        <v>0</v>
      </c>
      <c r="AA10">
        <v>2000</v>
      </c>
      <c r="AB10">
        <v>0</v>
      </c>
      <c r="AC10">
        <f t="shared" ref="AC10:AC21" si="13">LOG(AA10)</f>
        <v>3.3010299956639813</v>
      </c>
      <c r="AD10">
        <f>LOG(1)</f>
        <v>0</v>
      </c>
      <c r="AE10">
        <f t="shared" si="11"/>
        <v>3.3010299956639813</v>
      </c>
      <c r="AF10" t="s">
        <v>131</v>
      </c>
      <c r="AG10">
        <v>1</v>
      </c>
      <c r="AH10">
        <v>0</v>
      </c>
      <c r="AI10">
        <f>LOG(AG10)</f>
        <v>0</v>
      </c>
      <c r="AJ10" s="2">
        <v>0</v>
      </c>
      <c r="AK10">
        <f t="shared" si="12"/>
        <v>0</v>
      </c>
      <c r="BF10">
        <f>LOG(30000)</f>
        <v>4.4771212547196626</v>
      </c>
    </row>
    <row r="11" spans="1:58" x14ac:dyDescent="0.2">
      <c r="B11" s="8">
        <v>5</v>
      </c>
      <c r="C11" s="8">
        <v>2100</v>
      </c>
      <c r="D11" s="8">
        <f t="shared" si="0"/>
        <v>0.69897000433601886</v>
      </c>
      <c r="E11" s="8">
        <f t="shared" si="1"/>
        <v>3.3222192947339191</v>
      </c>
      <c r="F11" s="8">
        <f t="shared" si="2"/>
        <v>-2.6232492903979003</v>
      </c>
      <c r="G11" s="8">
        <v>0</v>
      </c>
      <c r="H11" s="8">
        <v>0</v>
      </c>
      <c r="I11" s="13">
        <v>0</v>
      </c>
      <c r="J11" s="13">
        <v>0</v>
      </c>
      <c r="K11" s="8">
        <f t="shared" si="4"/>
        <v>0</v>
      </c>
      <c r="M11">
        <v>5</v>
      </c>
      <c r="N11">
        <v>158</v>
      </c>
      <c r="O11">
        <v>0</v>
      </c>
      <c r="P11">
        <f t="shared" si="5"/>
        <v>2.1986570869544226</v>
      </c>
      <c r="Q11">
        <f>LOG(1)</f>
        <v>0</v>
      </c>
      <c r="R11">
        <f t="shared" si="6"/>
        <v>2.1986570869544226</v>
      </c>
      <c r="S11" t="s">
        <v>131</v>
      </c>
      <c r="T11">
        <v>1</v>
      </c>
      <c r="U11">
        <v>0</v>
      </c>
      <c r="V11">
        <f>LOG(T11)</f>
        <v>0</v>
      </c>
      <c r="W11" s="2">
        <v>0</v>
      </c>
      <c r="X11">
        <f t="shared" si="7"/>
        <v>0</v>
      </c>
      <c r="Z11">
        <v>5</v>
      </c>
      <c r="AA11">
        <v>62</v>
      </c>
      <c r="AB11">
        <v>46</v>
      </c>
      <c r="AC11">
        <f t="shared" si="13"/>
        <v>1.7923916894982539</v>
      </c>
      <c r="AD11">
        <f>LOG(AB11)</f>
        <v>1.6627578316815741</v>
      </c>
      <c r="AE11">
        <f t="shared" si="11"/>
        <v>0.1296338578166798</v>
      </c>
      <c r="AF11">
        <f>AE11</f>
        <v>0.1296338578166798</v>
      </c>
      <c r="AG11">
        <v>3</v>
      </c>
      <c r="AH11">
        <v>0</v>
      </c>
      <c r="AI11">
        <f>LOG(AG11)</f>
        <v>0.47712125471966244</v>
      </c>
      <c r="AJ11" s="2">
        <v>0</v>
      </c>
      <c r="AK11">
        <f t="shared" si="12"/>
        <v>0.47712125471966244</v>
      </c>
      <c r="AN11" t="s">
        <v>104</v>
      </c>
      <c r="AO11" s="14" t="s">
        <v>107</v>
      </c>
      <c r="AP11" s="14" t="s">
        <v>109</v>
      </c>
      <c r="AQ11" s="14" t="s">
        <v>115</v>
      </c>
      <c r="AR11" s="14" t="s">
        <v>108</v>
      </c>
    </row>
    <row r="12" spans="1:58" x14ac:dyDescent="0.2">
      <c r="B12" s="8">
        <v>100</v>
      </c>
      <c r="C12" s="8">
        <v>7700</v>
      </c>
      <c r="D12" s="8">
        <f t="shared" si="0"/>
        <v>2</v>
      </c>
      <c r="E12" s="8">
        <f t="shared" si="1"/>
        <v>3.8864907251724818</v>
      </c>
      <c r="F12" s="8">
        <f t="shared" si="2"/>
        <v>-1.8864907251724818</v>
      </c>
      <c r="G12" s="8">
        <v>200</v>
      </c>
      <c r="H12" s="8">
        <v>100</v>
      </c>
      <c r="I12" s="8">
        <f t="shared" si="3"/>
        <v>2.3010299956639813</v>
      </c>
      <c r="J12" s="8">
        <f>LOG(H12)</f>
        <v>2</v>
      </c>
      <c r="K12" s="8">
        <f t="shared" si="4"/>
        <v>0.30102999566398125</v>
      </c>
      <c r="N12">
        <v>1800</v>
      </c>
      <c r="O12">
        <v>28</v>
      </c>
      <c r="P12">
        <f t="shared" si="5"/>
        <v>3.255272505103306</v>
      </c>
      <c r="Q12">
        <f>LOG(O12)</f>
        <v>1.4471580313422192</v>
      </c>
      <c r="R12">
        <f t="shared" si="6"/>
        <v>1.8081144737610868</v>
      </c>
      <c r="S12">
        <f>R12</f>
        <v>1.8081144737610868</v>
      </c>
      <c r="T12">
        <v>0</v>
      </c>
      <c r="U12">
        <v>0</v>
      </c>
      <c r="V12" s="2">
        <v>0</v>
      </c>
      <c r="W12" s="2">
        <v>0</v>
      </c>
      <c r="X12">
        <f t="shared" si="7"/>
        <v>0</v>
      </c>
      <c r="AA12">
        <v>4200</v>
      </c>
      <c r="AB12">
        <v>139</v>
      </c>
      <c r="AC12">
        <f t="shared" si="13"/>
        <v>3.6232492903979003</v>
      </c>
      <c r="AD12">
        <f>LOG(AB12)</f>
        <v>2.143014800254095</v>
      </c>
      <c r="AE12">
        <f t="shared" si="11"/>
        <v>1.4802344901438054</v>
      </c>
      <c r="AF12">
        <f>AE12</f>
        <v>1.4802344901438054</v>
      </c>
      <c r="AG12">
        <v>1</v>
      </c>
      <c r="AH12">
        <v>1</v>
      </c>
      <c r="AI12">
        <f>LOG(AG12)</f>
        <v>0</v>
      </c>
      <c r="AJ12">
        <f>LOG(AH12)</f>
        <v>0</v>
      </c>
      <c r="AK12">
        <f t="shared" si="12"/>
        <v>0</v>
      </c>
      <c r="AN12" s="14" t="s">
        <v>110</v>
      </c>
      <c r="AO12" s="14">
        <f>MIN(P$50:P$89)</f>
        <v>0</v>
      </c>
      <c r="AP12" s="14">
        <f>MIN(Q$50:Q$89)</f>
        <v>0</v>
      </c>
      <c r="AQ12" s="14">
        <f>MIN(V$50:V$89)</f>
        <v>0</v>
      </c>
      <c r="AR12" s="14">
        <f>MIN(W$50:W$89)</f>
        <v>0</v>
      </c>
    </row>
    <row r="13" spans="1:58" x14ac:dyDescent="0.2">
      <c r="B13" s="8">
        <v>13</v>
      </c>
      <c r="C13" s="8">
        <v>280</v>
      </c>
      <c r="D13" s="8">
        <f t="shared" si="0"/>
        <v>1.1139433523068367</v>
      </c>
      <c r="E13" s="8">
        <f t="shared" si="1"/>
        <v>2.4471580313422194</v>
      </c>
      <c r="F13" s="8">
        <f t="shared" si="2"/>
        <v>-1.3332146790353827</v>
      </c>
      <c r="G13" s="8">
        <v>102</v>
      </c>
      <c r="H13" s="8">
        <v>91</v>
      </c>
      <c r="I13" s="8">
        <f t="shared" si="3"/>
        <v>2.0086001717619175</v>
      </c>
      <c r="J13" s="8">
        <f>LOG(H13)</f>
        <v>1.9590413923210936</v>
      </c>
      <c r="K13" s="8">
        <f t="shared" si="4"/>
        <v>4.9558779440823875E-2</v>
      </c>
      <c r="M13">
        <v>6</v>
      </c>
      <c r="N13">
        <v>197</v>
      </c>
      <c r="O13">
        <v>0</v>
      </c>
      <c r="P13">
        <f t="shared" si="5"/>
        <v>2.2944662261615929</v>
      </c>
      <c r="Q13">
        <f>LOG(1)</f>
        <v>0</v>
      </c>
      <c r="R13">
        <f t="shared" si="6"/>
        <v>2.2944662261615929</v>
      </c>
      <c r="S13" t="s">
        <v>131</v>
      </c>
      <c r="T13">
        <v>3</v>
      </c>
      <c r="U13">
        <v>0</v>
      </c>
      <c r="V13">
        <f>LOG(T13)</f>
        <v>0.47712125471966244</v>
      </c>
      <c r="W13" s="2">
        <v>0</v>
      </c>
      <c r="X13">
        <f t="shared" si="7"/>
        <v>0.47712125471966244</v>
      </c>
      <c r="Z13">
        <v>6</v>
      </c>
      <c r="AA13">
        <v>40</v>
      </c>
      <c r="AB13">
        <v>0</v>
      </c>
      <c r="AC13">
        <f t="shared" si="13"/>
        <v>1.6020599913279623</v>
      </c>
      <c r="AD13">
        <f>LOG(1)</f>
        <v>0</v>
      </c>
      <c r="AE13">
        <f t="shared" si="11"/>
        <v>1.6020599913279623</v>
      </c>
      <c r="AF13" t="s">
        <v>131</v>
      </c>
      <c r="AG13">
        <v>1</v>
      </c>
      <c r="AH13">
        <v>0</v>
      </c>
      <c r="AI13">
        <f>LOG(AG13)</f>
        <v>0</v>
      </c>
      <c r="AJ13" s="2">
        <v>0</v>
      </c>
      <c r="AK13">
        <f t="shared" si="12"/>
        <v>0</v>
      </c>
      <c r="AN13" s="14" t="s">
        <v>111</v>
      </c>
      <c r="AO13" s="14">
        <f>_xlfn.QUARTILE.EXC(P$50:P$89,1)</f>
        <v>1.3617278360175928</v>
      </c>
      <c r="AP13" s="14">
        <f>_xlfn.QUARTILE.EXC(Q$50:Q$89,1)</f>
        <v>0</v>
      </c>
      <c r="AQ13" s="14">
        <f>_xlfn.QUARTILE.EXC(V$50:V$89,1)</f>
        <v>0</v>
      </c>
      <c r="AR13" s="14">
        <f>_xlfn.QUARTILE.EXC(W$50:W$89,1)</f>
        <v>0</v>
      </c>
    </row>
    <row r="14" spans="1:58" x14ac:dyDescent="0.2">
      <c r="B14">
        <v>61</v>
      </c>
      <c r="C14">
        <v>85</v>
      </c>
      <c r="D14">
        <f>LOG(B14)</f>
        <v>1.7853298350107671</v>
      </c>
      <c r="E14">
        <f>LOG(C14)</f>
        <v>1.9294189257142926</v>
      </c>
      <c r="F14">
        <f t="shared" si="2"/>
        <v>-0.14408909070352549</v>
      </c>
      <c r="G14">
        <v>0</v>
      </c>
      <c r="H14">
        <v>1</v>
      </c>
      <c r="I14" s="2">
        <v>0</v>
      </c>
      <c r="J14">
        <f>LOG(H14)</f>
        <v>0</v>
      </c>
      <c r="K14">
        <f t="shared" si="4"/>
        <v>0</v>
      </c>
      <c r="N14">
        <v>177</v>
      </c>
      <c r="O14">
        <v>0</v>
      </c>
      <c r="P14">
        <f t="shared" si="5"/>
        <v>2.2479732663618068</v>
      </c>
      <c r="Q14">
        <f>LOG(1)</f>
        <v>0</v>
      </c>
      <c r="R14">
        <f t="shared" si="6"/>
        <v>2.2479732663618068</v>
      </c>
      <c r="S14" t="s">
        <v>131</v>
      </c>
      <c r="T14">
        <v>6</v>
      </c>
      <c r="U14">
        <v>5</v>
      </c>
      <c r="V14">
        <f>LOG(T14)</f>
        <v>0.77815125038364363</v>
      </c>
      <c r="W14">
        <f>LOG(U14)</f>
        <v>0.69897000433601886</v>
      </c>
      <c r="X14">
        <f t="shared" si="7"/>
        <v>7.9181246047624776E-2</v>
      </c>
      <c r="AA14">
        <v>25</v>
      </c>
      <c r="AB14">
        <v>0</v>
      </c>
      <c r="AC14">
        <f t="shared" si="13"/>
        <v>1.3979400086720377</v>
      </c>
      <c r="AD14">
        <f>LOG(1)</f>
        <v>0</v>
      </c>
      <c r="AE14">
        <f t="shared" si="11"/>
        <v>1.3979400086720377</v>
      </c>
      <c r="AF14" t="s">
        <v>131</v>
      </c>
      <c r="AG14">
        <v>0</v>
      </c>
      <c r="AH14">
        <v>0</v>
      </c>
      <c r="AI14" s="2">
        <v>0</v>
      </c>
      <c r="AJ14" s="2">
        <v>0</v>
      </c>
      <c r="AK14">
        <f t="shared" si="12"/>
        <v>0</v>
      </c>
      <c r="AN14" s="14" t="s">
        <v>112</v>
      </c>
      <c r="AO14" s="14">
        <f>_xlfn.QUARTILE.EXC(P$50:P$89,2)</f>
        <v>1.8450980400142569</v>
      </c>
      <c r="AP14" s="14">
        <f>_xlfn.QUARTILE.EXC(Q$50:Q$89,2)</f>
        <v>0</v>
      </c>
      <c r="AQ14" s="14">
        <f>_xlfn.QUARTILE.EXC(V$50:V$89,2)</f>
        <v>0</v>
      </c>
      <c r="AR14" s="14">
        <f>_xlfn.QUARTILE.EXC(W$50:W$89,2)</f>
        <v>0</v>
      </c>
    </row>
    <row r="15" spans="1:58" x14ac:dyDescent="0.2">
      <c r="B15">
        <v>43</v>
      </c>
      <c r="C15">
        <v>4500</v>
      </c>
      <c r="D15">
        <f t="shared" ref="D15:D65" si="14">LOG(B15)</f>
        <v>1.6334684555795864</v>
      </c>
      <c r="E15">
        <f t="shared" ref="E15:E78" si="15">LOG(C15)</f>
        <v>3.6532125137753435</v>
      </c>
      <c r="F15">
        <f t="shared" si="2"/>
        <v>-2.0197440581957569</v>
      </c>
      <c r="G15">
        <v>1</v>
      </c>
      <c r="H15">
        <v>0</v>
      </c>
      <c r="I15">
        <f t="shared" si="3"/>
        <v>0</v>
      </c>
      <c r="J15" s="2">
        <v>0</v>
      </c>
      <c r="K15">
        <f t="shared" si="4"/>
        <v>0</v>
      </c>
      <c r="M15">
        <v>7</v>
      </c>
      <c r="N15">
        <v>23400</v>
      </c>
      <c r="O15">
        <v>6</v>
      </c>
      <c r="P15">
        <f t="shared" si="5"/>
        <v>4.3692158574101425</v>
      </c>
      <c r="Q15">
        <f>LOG(O15)</f>
        <v>0.77815125038364363</v>
      </c>
      <c r="R15">
        <f t="shared" si="6"/>
        <v>3.5910646070264987</v>
      </c>
      <c r="S15">
        <f>R15</f>
        <v>3.5910646070264987</v>
      </c>
      <c r="T15">
        <v>5</v>
      </c>
      <c r="U15">
        <v>0</v>
      </c>
      <c r="V15">
        <f>LOG(T15)</f>
        <v>0.69897000433601886</v>
      </c>
      <c r="W15" s="2">
        <v>0</v>
      </c>
      <c r="X15">
        <f t="shared" si="7"/>
        <v>0.69897000433601886</v>
      </c>
      <c r="Z15">
        <v>7</v>
      </c>
      <c r="AA15">
        <v>73</v>
      </c>
      <c r="AB15">
        <v>57</v>
      </c>
      <c r="AC15">
        <f t="shared" si="13"/>
        <v>1.8633228601204559</v>
      </c>
      <c r="AD15">
        <f>LOG(AB15)</f>
        <v>1.7558748556724915</v>
      </c>
      <c r="AE15">
        <f t="shared" si="11"/>
        <v>0.10744800444796443</v>
      </c>
      <c r="AF15">
        <f>AE15</f>
        <v>0.10744800444796443</v>
      </c>
      <c r="AG15">
        <v>0</v>
      </c>
      <c r="AH15">
        <v>0</v>
      </c>
      <c r="AI15" s="2">
        <v>0</v>
      </c>
      <c r="AJ15" s="2">
        <v>0</v>
      </c>
      <c r="AK15">
        <f t="shared" si="12"/>
        <v>0</v>
      </c>
      <c r="AN15" s="14" t="s">
        <v>113</v>
      </c>
      <c r="AO15" s="14">
        <f>_xlfn.QUARTILE.EXC(P$50:P$89,3)</f>
        <v>2.4048337166199381</v>
      </c>
      <c r="AP15" s="14">
        <f>_xlfn.QUARTILE.EXC(Q$50:Q$89,3)</f>
        <v>1.8633228601204559</v>
      </c>
      <c r="AQ15" s="14">
        <f>_xlfn.QUARTILE.EXC(V$50:V$89,3)</f>
        <v>0.47712125471966244</v>
      </c>
      <c r="AR15" s="14">
        <f>_xlfn.QUARTILE.EXC(W$50:W$89,3)</f>
        <v>0</v>
      </c>
    </row>
    <row r="16" spans="1:58" x14ac:dyDescent="0.2">
      <c r="A16">
        <v>3</v>
      </c>
      <c r="B16" s="8">
        <v>48</v>
      </c>
      <c r="C16" s="8">
        <v>0</v>
      </c>
      <c r="D16" s="8">
        <f t="shared" si="14"/>
        <v>1.6812412373755872</v>
      </c>
      <c r="E16" s="8">
        <f>LOG(1)</f>
        <v>0</v>
      </c>
      <c r="F16" s="8">
        <f t="shared" si="2"/>
        <v>1.6812412373755872</v>
      </c>
      <c r="G16" s="8">
        <v>0</v>
      </c>
      <c r="H16" s="8">
        <v>0</v>
      </c>
      <c r="I16" s="13">
        <v>0</v>
      </c>
      <c r="J16" s="13">
        <v>0</v>
      </c>
      <c r="K16" s="8">
        <f t="shared" si="4"/>
        <v>0</v>
      </c>
      <c r="N16">
        <v>15400</v>
      </c>
      <c r="O16">
        <v>169</v>
      </c>
      <c r="P16">
        <f t="shared" si="5"/>
        <v>4.1875207208364627</v>
      </c>
      <c r="Q16">
        <f>LOG(O16)</f>
        <v>2.2278867046136734</v>
      </c>
      <c r="R16">
        <f t="shared" si="6"/>
        <v>1.9596340162227892</v>
      </c>
      <c r="S16">
        <f>R16</f>
        <v>1.9596340162227892</v>
      </c>
      <c r="T16">
        <v>1</v>
      </c>
      <c r="U16">
        <v>0</v>
      </c>
      <c r="V16">
        <f>LOG(T16)</f>
        <v>0</v>
      </c>
      <c r="W16" s="2">
        <v>0</v>
      </c>
      <c r="X16">
        <f t="shared" si="7"/>
        <v>0</v>
      </c>
      <c r="AA16">
        <v>125</v>
      </c>
      <c r="AB16">
        <v>19</v>
      </c>
      <c r="AC16">
        <f t="shared" si="13"/>
        <v>2.0969100130080562</v>
      </c>
      <c r="AD16">
        <f>LOG(AB16)</f>
        <v>1.2787536009528289</v>
      </c>
      <c r="AE16">
        <f t="shared" si="11"/>
        <v>0.81815641205522738</v>
      </c>
      <c r="AF16">
        <f>AE16</f>
        <v>0.81815641205522738</v>
      </c>
      <c r="AG16">
        <v>0</v>
      </c>
      <c r="AH16">
        <v>0</v>
      </c>
      <c r="AI16" s="2">
        <v>0</v>
      </c>
      <c r="AJ16" s="2">
        <v>0</v>
      </c>
      <c r="AK16">
        <f t="shared" si="12"/>
        <v>0</v>
      </c>
      <c r="AN16" s="14" t="s">
        <v>114</v>
      </c>
      <c r="AO16" s="14">
        <f>MAX(P$50:P$89)</f>
        <v>4.4771212547196626</v>
      </c>
      <c r="AP16" s="14">
        <f>MAX(Q$50:Q$89)</f>
        <v>3.6127838567197355</v>
      </c>
      <c r="AQ16" s="14">
        <f>MAX(V$50:V$89)</f>
        <v>2.1492191126553797</v>
      </c>
      <c r="AR16" s="14">
        <f>MAX(W$50:W$89)</f>
        <v>1.5797835966168101</v>
      </c>
    </row>
    <row r="17" spans="1:47" x14ac:dyDescent="0.2">
      <c r="A17" s="12"/>
      <c r="B17" s="8">
        <v>52</v>
      </c>
      <c r="C17" s="8">
        <v>0</v>
      </c>
      <c r="D17" s="8">
        <f t="shared" si="14"/>
        <v>1.7160033436347992</v>
      </c>
      <c r="E17" s="8">
        <f>LOG(1)</f>
        <v>0</v>
      </c>
      <c r="F17" s="8">
        <f t="shared" si="2"/>
        <v>1.7160033436347992</v>
      </c>
      <c r="G17" s="8">
        <v>0</v>
      </c>
      <c r="H17" s="8">
        <v>0</v>
      </c>
      <c r="I17" s="13">
        <v>0</v>
      </c>
      <c r="J17" s="13">
        <v>0</v>
      </c>
      <c r="K17" s="8">
        <f t="shared" si="4"/>
        <v>0</v>
      </c>
      <c r="M17">
        <v>8</v>
      </c>
      <c r="N17">
        <v>222</v>
      </c>
      <c r="O17">
        <v>0</v>
      </c>
      <c r="P17">
        <f t="shared" si="5"/>
        <v>2.3463529744506388</v>
      </c>
      <c r="Q17">
        <f>LOG(1)</f>
        <v>0</v>
      </c>
      <c r="R17">
        <f t="shared" si="6"/>
        <v>2.3463529744506388</v>
      </c>
      <c r="S17" t="s">
        <v>131</v>
      </c>
      <c r="T17">
        <v>22</v>
      </c>
      <c r="U17">
        <v>0</v>
      </c>
      <c r="V17">
        <f>LOG(T17)</f>
        <v>1.3424226808222062</v>
      </c>
      <c r="W17" s="2">
        <v>0</v>
      </c>
      <c r="X17">
        <f t="shared" si="7"/>
        <v>1.3424226808222062</v>
      </c>
      <c r="Z17">
        <v>8</v>
      </c>
      <c r="AA17">
        <v>2000</v>
      </c>
      <c r="AB17">
        <v>0</v>
      </c>
      <c r="AC17">
        <f t="shared" si="13"/>
        <v>3.3010299956639813</v>
      </c>
      <c r="AD17">
        <f>LOG(1)</f>
        <v>0</v>
      </c>
      <c r="AE17">
        <f t="shared" si="11"/>
        <v>3.3010299956639813</v>
      </c>
      <c r="AF17" t="s">
        <v>131</v>
      </c>
      <c r="AG17">
        <v>0</v>
      </c>
      <c r="AH17">
        <v>0</v>
      </c>
      <c r="AI17" s="2">
        <v>0</v>
      </c>
      <c r="AJ17" s="2">
        <v>0</v>
      </c>
      <c r="AK17">
        <f t="shared" si="12"/>
        <v>0</v>
      </c>
    </row>
    <row r="18" spans="1:47" x14ac:dyDescent="0.2">
      <c r="B18" s="8">
        <v>30000</v>
      </c>
      <c r="C18" s="8">
        <v>0</v>
      </c>
      <c r="D18" s="8">
        <f t="shared" si="14"/>
        <v>4.4771212547196626</v>
      </c>
      <c r="E18" s="8">
        <f>LOG(1)</f>
        <v>0</v>
      </c>
      <c r="F18" s="8">
        <f t="shared" si="2"/>
        <v>4.4771212547196626</v>
      </c>
      <c r="G18" s="8">
        <v>86</v>
      </c>
      <c r="H18" s="8">
        <v>0</v>
      </c>
      <c r="I18" s="8">
        <f t="shared" si="3"/>
        <v>1.9344984512435677</v>
      </c>
      <c r="J18" s="13">
        <v>0</v>
      </c>
      <c r="K18" s="8">
        <f t="shared" si="4"/>
        <v>1.9344984512435677</v>
      </c>
      <c r="N18">
        <v>2700</v>
      </c>
      <c r="O18">
        <v>56</v>
      </c>
      <c r="P18">
        <f t="shared" si="5"/>
        <v>3.4313637641589874</v>
      </c>
      <c r="Q18">
        <f>LOG(O18)</f>
        <v>1.7481880270062005</v>
      </c>
      <c r="R18">
        <f t="shared" si="6"/>
        <v>1.6831757371527869</v>
      </c>
      <c r="S18">
        <f>R18</f>
        <v>1.6831757371527869</v>
      </c>
      <c r="T18">
        <v>0</v>
      </c>
      <c r="U18">
        <v>0</v>
      </c>
      <c r="V18" s="2">
        <v>0</v>
      </c>
      <c r="W18" s="2">
        <v>0</v>
      </c>
      <c r="X18">
        <f t="shared" si="7"/>
        <v>0</v>
      </c>
      <c r="AA18">
        <v>52</v>
      </c>
      <c r="AB18">
        <v>0</v>
      </c>
      <c r="AC18">
        <f t="shared" si="13"/>
        <v>1.7160033436347992</v>
      </c>
      <c r="AD18">
        <f>LOG(1)</f>
        <v>0</v>
      </c>
      <c r="AE18">
        <f t="shared" si="11"/>
        <v>1.7160033436347992</v>
      </c>
      <c r="AF18" t="s">
        <v>131</v>
      </c>
      <c r="AG18">
        <v>1</v>
      </c>
      <c r="AH18">
        <v>0</v>
      </c>
      <c r="AI18">
        <f>LOG(AG18)</f>
        <v>0</v>
      </c>
      <c r="AJ18" s="2">
        <v>0</v>
      </c>
      <c r="AK18">
        <f t="shared" si="12"/>
        <v>0</v>
      </c>
      <c r="AN18" t="s">
        <v>105</v>
      </c>
      <c r="AO18" s="14" t="s">
        <v>107</v>
      </c>
      <c r="AP18" s="14" t="s">
        <v>109</v>
      </c>
      <c r="AQ18" s="14" t="s">
        <v>115</v>
      </c>
      <c r="AR18" s="14" t="s">
        <v>108</v>
      </c>
    </row>
    <row r="19" spans="1:47" x14ac:dyDescent="0.2">
      <c r="B19" s="8">
        <v>2500</v>
      </c>
      <c r="C19" s="8">
        <v>83</v>
      </c>
      <c r="D19" s="8">
        <f t="shared" si="14"/>
        <v>3.3979400086720375</v>
      </c>
      <c r="E19" s="8">
        <f t="shared" si="15"/>
        <v>1.919078092376074</v>
      </c>
      <c r="F19" s="8">
        <f t="shared" si="2"/>
        <v>1.4788619162959635</v>
      </c>
      <c r="G19" s="8">
        <v>4</v>
      </c>
      <c r="H19" s="8">
        <v>3</v>
      </c>
      <c r="I19" s="8">
        <f t="shared" si="3"/>
        <v>0.6020599913279624</v>
      </c>
      <c r="J19" s="8">
        <f>LOG(H19)</f>
        <v>0.47712125471966244</v>
      </c>
      <c r="K19" s="8">
        <f t="shared" si="4"/>
        <v>0.12493873660829996</v>
      </c>
      <c r="M19">
        <v>9</v>
      </c>
      <c r="N19">
        <v>10</v>
      </c>
      <c r="O19">
        <v>0</v>
      </c>
      <c r="P19">
        <f t="shared" si="5"/>
        <v>1</v>
      </c>
      <c r="Q19" s="2">
        <v>0</v>
      </c>
      <c r="R19">
        <f t="shared" si="6"/>
        <v>1</v>
      </c>
      <c r="S19" t="s">
        <v>131</v>
      </c>
      <c r="T19">
        <v>4</v>
      </c>
      <c r="U19">
        <v>0</v>
      </c>
      <c r="V19">
        <f>LOG(T19)</f>
        <v>0.6020599913279624</v>
      </c>
      <c r="W19" s="2">
        <v>0</v>
      </c>
      <c r="X19">
        <f t="shared" si="7"/>
        <v>0.6020599913279624</v>
      </c>
      <c r="Z19">
        <v>9</v>
      </c>
      <c r="AA19">
        <v>29</v>
      </c>
      <c r="AB19">
        <v>0</v>
      </c>
      <c r="AC19">
        <f t="shared" si="13"/>
        <v>1.4623979978989561</v>
      </c>
      <c r="AD19" s="2">
        <v>0</v>
      </c>
      <c r="AE19">
        <f t="shared" si="11"/>
        <v>1.4623979978989561</v>
      </c>
      <c r="AF19" t="s">
        <v>131</v>
      </c>
      <c r="AG19">
        <v>0</v>
      </c>
      <c r="AH19">
        <v>0</v>
      </c>
      <c r="AI19" s="2">
        <v>0</v>
      </c>
      <c r="AJ19" s="2">
        <v>0</v>
      </c>
      <c r="AK19">
        <f t="shared" si="12"/>
        <v>0</v>
      </c>
      <c r="AN19" s="14" t="s">
        <v>110</v>
      </c>
      <c r="AO19" s="14">
        <f>MIN(AC$3:AC$42)</f>
        <v>0</v>
      </c>
      <c r="AP19" s="14">
        <f>MIN(AD$3:AD$42)</f>
        <v>0</v>
      </c>
      <c r="AQ19" s="14">
        <f>MIN(AI$3:AI$42)</f>
        <v>0</v>
      </c>
      <c r="AR19" s="14">
        <f>MIN(AJ$3:AJ$42)</f>
        <v>0</v>
      </c>
    </row>
    <row r="20" spans="1:47" x14ac:dyDescent="0.2">
      <c r="B20">
        <v>25900</v>
      </c>
      <c r="C20">
        <v>0</v>
      </c>
      <c r="D20">
        <f t="shared" si="14"/>
        <v>4.4132997640812519</v>
      </c>
      <c r="E20">
        <f>LOG(1)</f>
        <v>0</v>
      </c>
      <c r="F20">
        <f t="shared" si="2"/>
        <v>4.4132997640812519</v>
      </c>
      <c r="G20">
        <v>20</v>
      </c>
      <c r="H20">
        <v>0</v>
      </c>
      <c r="I20">
        <f t="shared" si="3"/>
        <v>1.3010299956639813</v>
      </c>
      <c r="J20" s="2">
        <v>0</v>
      </c>
      <c r="K20">
        <f t="shared" si="4"/>
        <v>1.3010299956639813</v>
      </c>
      <c r="N20">
        <v>14</v>
      </c>
      <c r="O20">
        <v>0</v>
      </c>
      <c r="P20">
        <f t="shared" si="5"/>
        <v>1.146128035678238</v>
      </c>
      <c r="Q20" s="2">
        <v>0</v>
      </c>
      <c r="R20">
        <f t="shared" si="6"/>
        <v>1.146128035678238</v>
      </c>
      <c r="S20" t="s">
        <v>131</v>
      </c>
      <c r="T20">
        <v>2</v>
      </c>
      <c r="U20">
        <v>0</v>
      </c>
      <c r="V20">
        <f>LOG(T20)</f>
        <v>0.3010299956639812</v>
      </c>
      <c r="W20" s="2">
        <v>0</v>
      </c>
      <c r="X20">
        <f t="shared" si="7"/>
        <v>0.3010299956639812</v>
      </c>
      <c r="AA20">
        <v>39</v>
      </c>
      <c r="AB20">
        <v>0</v>
      </c>
      <c r="AC20">
        <f t="shared" si="13"/>
        <v>1.5910646070264991</v>
      </c>
      <c r="AD20" s="2">
        <v>0</v>
      </c>
      <c r="AE20">
        <f t="shared" si="11"/>
        <v>1.5910646070264991</v>
      </c>
      <c r="AF20" t="s">
        <v>131</v>
      </c>
      <c r="AG20">
        <v>0</v>
      </c>
      <c r="AH20">
        <v>0</v>
      </c>
      <c r="AI20" s="2">
        <v>0</v>
      </c>
      <c r="AJ20" s="2">
        <v>0</v>
      </c>
      <c r="AK20">
        <f t="shared" si="12"/>
        <v>0</v>
      </c>
      <c r="AN20" s="14" t="s">
        <v>111</v>
      </c>
      <c r="AO20" s="14">
        <f>_xlfn.QUARTILE.EXC(AC$3:AC$42,1)</f>
        <v>1.4623979978989561</v>
      </c>
      <c r="AP20" s="14">
        <f>_xlfn.QUARTILE.EXC(AD$3:AD$42,1)</f>
        <v>0</v>
      </c>
      <c r="AQ20" s="14">
        <f>_xlfn.QUARTILE.EXC(AI$3:AI$42,1)</f>
        <v>0</v>
      </c>
      <c r="AR20" s="14">
        <f>_xlfn.QUARTILE.EXC(AJ$3:AJ$42,1)</f>
        <v>0</v>
      </c>
    </row>
    <row r="21" spans="1:47" x14ac:dyDescent="0.2">
      <c r="A21">
        <v>4</v>
      </c>
      <c r="B21" s="8">
        <v>3400</v>
      </c>
      <c r="C21" s="8">
        <v>3</v>
      </c>
      <c r="D21" s="8">
        <f t="shared" si="14"/>
        <v>3.5314789170422549</v>
      </c>
      <c r="E21" s="8">
        <f t="shared" si="15"/>
        <v>0.47712125471966244</v>
      </c>
      <c r="F21" s="8">
        <f t="shared" si="2"/>
        <v>3.0543576623225923</v>
      </c>
      <c r="G21" s="8">
        <v>2</v>
      </c>
      <c r="H21" s="8">
        <v>0</v>
      </c>
      <c r="I21" s="8">
        <f t="shared" si="3"/>
        <v>0.3010299956639812</v>
      </c>
      <c r="J21" s="13">
        <v>0</v>
      </c>
      <c r="K21" s="8">
        <f t="shared" si="4"/>
        <v>0.3010299956639812</v>
      </c>
      <c r="M21">
        <v>10</v>
      </c>
      <c r="N21">
        <v>71</v>
      </c>
      <c r="O21">
        <v>7</v>
      </c>
      <c r="P21">
        <f t="shared" si="5"/>
        <v>1.8512583487190752</v>
      </c>
      <c r="Q21">
        <f>LOG(O21)</f>
        <v>0.84509804001425681</v>
      </c>
      <c r="R21">
        <f t="shared" si="6"/>
        <v>1.0061603087048185</v>
      </c>
      <c r="S21">
        <f>R21</f>
        <v>1.0061603087048185</v>
      </c>
      <c r="T21">
        <v>74</v>
      </c>
      <c r="U21">
        <v>0</v>
      </c>
      <c r="V21">
        <f>LOG(T21)</f>
        <v>1.8692317197309762</v>
      </c>
      <c r="W21" s="2">
        <v>0</v>
      </c>
      <c r="X21">
        <f t="shared" si="7"/>
        <v>1.8692317197309762</v>
      </c>
      <c r="Z21">
        <v>10</v>
      </c>
      <c r="AA21">
        <v>17</v>
      </c>
      <c r="AB21">
        <v>7</v>
      </c>
      <c r="AC21">
        <f t="shared" si="13"/>
        <v>1.2304489213782739</v>
      </c>
      <c r="AD21">
        <f>LOG(AB21)</f>
        <v>0.84509804001425681</v>
      </c>
      <c r="AE21">
        <f t="shared" si="11"/>
        <v>0.38535088136401707</v>
      </c>
      <c r="AF21">
        <f>AE21</f>
        <v>0.38535088136401707</v>
      </c>
      <c r="AG21">
        <v>0</v>
      </c>
      <c r="AH21">
        <v>0</v>
      </c>
      <c r="AI21" s="2">
        <v>0</v>
      </c>
      <c r="AJ21" s="2">
        <v>0</v>
      </c>
      <c r="AK21">
        <f t="shared" si="12"/>
        <v>0</v>
      </c>
      <c r="AN21" s="14" t="s">
        <v>112</v>
      </c>
      <c r="AO21" s="14">
        <f>_xlfn.QUARTILE.EXC(AC$3:AC$42,2)</f>
        <v>1.8542954225751718</v>
      </c>
      <c r="AP21" s="14">
        <f>_xlfn.QUARTILE.EXC(AD$3:AD$42,2)</f>
        <v>0.3010299956639812</v>
      </c>
      <c r="AQ21" s="14">
        <f>_xlfn.QUARTILE.EXC(AI$3:AI$42,2)</f>
        <v>0</v>
      </c>
      <c r="AR21" s="14">
        <f>_xlfn.QUARTILE.EXC(AJ$3:AJ$42,2)</f>
        <v>0</v>
      </c>
    </row>
    <row r="22" spans="1:47" x14ac:dyDescent="0.2">
      <c r="B22" s="8">
        <v>4600</v>
      </c>
      <c r="C22" s="8">
        <v>5</v>
      </c>
      <c r="D22" s="8">
        <f t="shared" si="14"/>
        <v>3.6627578316815739</v>
      </c>
      <c r="E22" s="8">
        <f t="shared" si="15"/>
        <v>0.69897000433601886</v>
      </c>
      <c r="F22" s="8">
        <f t="shared" si="2"/>
        <v>2.9637878273455551</v>
      </c>
      <c r="G22" s="8">
        <v>0</v>
      </c>
      <c r="H22" s="8">
        <v>0</v>
      </c>
      <c r="I22" s="13">
        <v>0</v>
      </c>
      <c r="J22" s="13">
        <v>0</v>
      </c>
      <c r="K22" s="8">
        <f t="shared" si="4"/>
        <v>0</v>
      </c>
      <c r="N22">
        <v>42</v>
      </c>
      <c r="O22">
        <v>64</v>
      </c>
      <c r="P22">
        <f t="shared" si="5"/>
        <v>1.6232492903979006</v>
      </c>
      <c r="Q22">
        <f>LOG(O22)</f>
        <v>1.8061799739838871</v>
      </c>
      <c r="R22">
        <f t="shared" si="6"/>
        <v>-0.18293068358598652</v>
      </c>
      <c r="S22">
        <f>R22</f>
        <v>-0.18293068358598652</v>
      </c>
      <c r="T22">
        <v>0</v>
      </c>
      <c r="U22">
        <v>0</v>
      </c>
      <c r="V22" s="2">
        <v>0</v>
      </c>
      <c r="W22" s="2">
        <v>0</v>
      </c>
      <c r="X22">
        <f t="shared" si="7"/>
        <v>0</v>
      </c>
      <c r="AA22">
        <v>0</v>
      </c>
      <c r="AB22">
        <v>146</v>
      </c>
      <c r="AC22">
        <f>LOG(1)</f>
        <v>0</v>
      </c>
      <c r="AD22">
        <f>LOG(AB22)</f>
        <v>2.1643528557844371</v>
      </c>
      <c r="AE22">
        <f t="shared" si="11"/>
        <v>-2.1643528557844371</v>
      </c>
      <c r="AF22">
        <f>AE22</f>
        <v>-2.1643528557844371</v>
      </c>
      <c r="AG22">
        <v>0</v>
      </c>
      <c r="AH22">
        <v>0</v>
      </c>
      <c r="AI22" s="2">
        <v>0</v>
      </c>
      <c r="AJ22" s="2">
        <v>0</v>
      </c>
      <c r="AK22">
        <f t="shared" si="12"/>
        <v>0</v>
      </c>
      <c r="AN22" s="14" t="s">
        <v>113</v>
      </c>
      <c r="AO22" s="14">
        <f>_xlfn.QUARTILE.EXC(AC$3:AC$42,3)</f>
        <v>2.0727982458277268</v>
      </c>
      <c r="AP22" s="14">
        <f>_xlfn.QUARTILE.EXC(AD$3:AD$42,3)</f>
        <v>1.6860370876793034</v>
      </c>
      <c r="AQ22" s="14">
        <f>_xlfn.QUARTILE.EXC(AI$3:AI$42,3)</f>
        <v>0</v>
      </c>
      <c r="AR22" s="14">
        <f>_xlfn.QUARTILE.EXC(AJ$3:AJ$42,3)</f>
        <v>0</v>
      </c>
    </row>
    <row r="23" spans="1:47" x14ac:dyDescent="0.2">
      <c r="B23" s="8">
        <v>29</v>
      </c>
      <c r="C23" s="8">
        <v>30</v>
      </c>
      <c r="D23" s="8">
        <f t="shared" si="14"/>
        <v>1.4623979978989561</v>
      </c>
      <c r="E23" s="8">
        <f t="shared" si="15"/>
        <v>1.4771212547196624</v>
      </c>
      <c r="F23" s="8">
        <f t="shared" si="2"/>
        <v>-1.4723256820706299E-2</v>
      </c>
      <c r="G23" s="8">
        <v>0</v>
      </c>
      <c r="H23" s="8">
        <v>0</v>
      </c>
      <c r="I23" s="13">
        <v>0</v>
      </c>
      <c r="J23" s="13">
        <v>0</v>
      </c>
      <c r="K23" s="8">
        <f t="shared" si="4"/>
        <v>0</v>
      </c>
      <c r="M23">
        <v>11</v>
      </c>
      <c r="N23">
        <v>32</v>
      </c>
      <c r="O23">
        <v>0</v>
      </c>
      <c r="P23">
        <f t="shared" si="5"/>
        <v>1.505149978319906</v>
      </c>
      <c r="Q23" s="2">
        <v>0</v>
      </c>
      <c r="R23">
        <f t="shared" si="6"/>
        <v>1.505149978319906</v>
      </c>
      <c r="S23" t="s">
        <v>131</v>
      </c>
      <c r="T23">
        <v>0</v>
      </c>
      <c r="U23">
        <v>0</v>
      </c>
      <c r="V23" s="2">
        <v>0</v>
      </c>
      <c r="W23" s="2">
        <v>0</v>
      </c>
      <c r="X23">
        <f t="shared" si="7"/>
        <v>0</v>
      </c>
      <c r="Z23">
        <v>11</v>
      </c>
      <c r="AA23">
        <v>41</v>
      </c>
      <c r="AB23">
        <v>36</v>
      </c>
      <c r="AC23">
        <f>LOG(AA23)</f>
        <v>1.6127838567197355</v>
      </c>
      <c r="AD23">
        <f>LOG(AB23)</f>
        <v>1.5563025007672873</v>
      </c>
      <c r="AE23">
        <f t="shared" si="11"/>
        <v>5.6481355952448187E-2</v>
      </c>
      <c r="AF23">
        <f>AE23</f>
        <v>5.6481355952448187E-2</v>
      </c>
      <c r="AG23">
        <v>1</v>
      </c>
      <c r="AH23">
        <v>0</v>
      </c>
      <c r="AI23">
        <f>LOG(AG23)</f>
        <v>0</v>
      </c>
      <c r="AJ23" s="2">
        <v>0</v>
      </c>
      <c r="AK23">
        <f t="shared" si="12"/>
        <v>0</v>
      </c>
      <c r="AN23" s="14" t="s">
        <v>114</v>
      </c>
      <c r="AO23" s="14">
        <f>MAX(AC$3:AC$42)</f>
        <v>3.6434526764861874</v>
      </c>
      <c r="AP23" s="14">
        <f>MAX(AD$3:AD$42)</f>
        <v>4.4771212547196626</v>
      </c>
      <c r="AQ23" s="14">
        <f>MAX(AI$3:AI$42)</f>
        <v>2.3010299956639813</v>
      </c>
      <c r="AR23" s="14">
        <f>MAX(AJ$3:AJ$42)</f>
        <v>2</v>
      </c>
    </row>
    <row r="24" spans="1:47" x14ac:dyDescent="0.2">
      <c r="B24" s="8">
        <v>8100</v>
      </c>
      <c r="C24" s="8">
        <v>62</v>
      </c>
      <c r="D24" s="8">
        <f t="shared" si="14"/>
        <v>3.90848501887865</v>
      </c>
      <c r="E24" s="8">
        <f t="shared" si="15"/>
        <v>1.7923916894982539</v>
      </c>
      <c r="F24" s="8">
        <f t="shared" si="2"/>
        <v>2.1160933293803961</v>
      </c>
      <c r="G24" s="8">
        <v>3</v>
      </c>
      <c r="H24" s="8">
        <v>0</v>
      </c>
      <c r="I24" s="8">
        <f t="shared" si="3"/>
        <v>0.47712125471966244</v>
      </c>
      <c r="J24" s="13">
        <v>0</v>
      </c>
      <c r="K24" s="8">
        <f t="shared" si="4"/>
        <v>0.47712125471966244</v>
      </c>
      <c r="N24">
        <v>147</v>
      </c>
      <c r="O24">
        <v>0</v>
      </c>
      <c r="P24">
        <f t="shared" si="5"/>
        <v>2.167317334748176</v>
      </c>
      <c r="Q24" s="2">
        <v>0</v>
      </c>
      <c r="R24">
        <f t="shared" si="6"/>
        <v>2.167317334748176</v>
      </c>
      <c r="S24" t="s">
        <v>131</v>
      </c>
      <c r="T24">
        <v>0</v>
      </c>
      <c r="U24">
        <v>0</v>
      </c>
      <c r="V24" s="2">
        <v>0</v>
      </c>
      <c r="W24" s="2">
        <v>0</v>
      </c>
      <c r="X24">
        <f t="shared" si="7"/>
        <v>0</v>
      </c>
      <c r="AA24">
        <v>118</v>
      </c>
      <c r="AB24">
        <v>0</v>
      </c>
      <c r="AC24">
        <f>LOG(AA24)</f>
        <v>2.0718820073061255</v>
      </c>
      <c r="AD24" s="2">
        <v>0</v>
      </c>
      <c r="AE24">
        <f t="shared" si="11"/>
        <v>2.0718820073061255</v>
      </c>
      <c r="AF24" t="s">
        <v>131</v>
      </c>
      <c r="AG24">
        <v>0</v>
      </c>
      <c r="AH24">
        <v>0</v>
      </c>
      <c r="AI24" s="2">
        <v>0</v>
      </c>
      <c r="AJ24" s="2">
        <v>0</v>
      </c>
      <c r="AK24">
        <f t="shared" si="12"/>
        <v>0</v>
      </c>
      <c r="AU24">
        <f>10^AQ44</f>
        <v>1.4142135623730951</v>
      </c>
    </row>
    <row r="25" spans="1:47" x14ac:dyDescent="0.2">
      <c r="B25" s="8">
        <v>71</v>
      </c>
      <c r="C25" s="8">
        <v>117</v>
      </c>
      <c r="D25" s="8">
        <f t="shared" si="14"/>
        <v>1.8512583487190752</v>
      </c>
      <c r="E25" s="8">
        <f t="shared" si="15"/>
        <v>2.0681858617461617</v>
      </c>
      <c r="F25" s="8">
        <f t="shared" si="2"/>
        <v>-0.21692751302708646</v>
      </c>
      <c r="G25" s="8">
        <v>5</v>
      </c>
      <c r="H25" s="8">
        <v>0</v>
      </c>
      <c r="I25" s="8">
        <f t="shared" si="3"/>
        <v>0.69897000433601886</v>
      </c>
      <c r="J25" s="13">
        <v>0</v>
      </c>
      <c r="K25" s="8">
        <f t="shared" si="4"/>
        <v>0.69897000433601886</v>
      </c>
      <c r="M25">
        <v>12</v>
      </c>
      <c r="N25">
        <v>13</v>
      </c>
      <c r="O25">
        <v>0</v>
      </c>
      <c r="P25">
        <f t="shared" si="5"/>
        <v>1.1139433523068367</v>
      </c>
      <c r="Q25" s="2">
        <v>0</v>
      </c>
      <c r="R25">
        <f t="shared" si="6"/>
        <v>1.1139433523068367</v>
      </c>
      <c r="S25" t="s">
        <v>131</v>
      </c>
      <c r="T25">
        <v>0</v>
      </c>
      <c r="U25">
        <v>0</v>
      </c>
      <c r="V25" s="2">
        <v>0</v>
      </c>
      <c r="W25" s="2">
        <v>0</v>
      </c>
      <c r="X25">
        <f t="shared" si="7"/>
        <v>0</v>
      </c>
      <c r="Z25">
        <v>12</v>
      </c>
      <c r="AA25">
        <v>0</v>
      </c>
      <c r="AB25">
        <v>0</v>
      </c>
      <c r="AC25">
        <f>LOG(1)</f>
        <v>0</v>
      </c>
      <c r="AD25" s="2">
        <v>0</v>
      </c>
      <c r="AE25">
        <f t="shared" si="11"/>
        <v>0</v>
      </c>
      <c r="AF25" t="s">
        <v>131</v>
      </c>
      <c r="AG25">
        <v>0</v>
      </c>
      <c r="AH25">
        <v>0</v>
      </c>
      <c r="AI25" s="2">
        <v>0</v>
      </c>
      <c r="AJ25" s="2">
        <v>0</v>
      </c>
      <c r="AK25">
        <f t="shared" si="12"/>
        <v>0</v>
      </c>
      <c r="AN25" t="s">
        <v>106</v>
      </c>
      <c r="AO25" s="14" t="s">
        <v>107</v>
      </c>
      <c r="AP25" s="14" t="s">
        <v>109</v>
      </c>
      <c r="AQ25" s="14" t="s">
        <v>115</v>
      </c>
      <c r="AR25" s="14" t="s">
        <v>108</v>
      </c>
      <c r="AU25">
        <f>10^AQ45</f>
        <v>1</v>
      </c>
    </row>
    <row r="26" spans="1:47" x14ac:dyDescent="0.2">
      <c r="B26" s="8">
        <v>2000</v>
      </c>
      <c r="C26" s="8">
        <v>0</v>
      </c>
      <c r="D26" s="8">
        <f t="shared" si="14"/>
        <v>3.3010299956639813</v>
      </c>
      <c r="E26" s="8">
        <f>LOG(1)</f>
        <v>0</v>
      </c>
      <c r="F26" s="8">
        <f t="shared" si="2"/>
        <v>3.3010299956639813</v>
      </c>
      <c r="G26" s="8">
        <v>1</v>
      </c>
      <c r="H26" s="8">
        <v>0</v>
      </c>
      <c r="I26" s="8">
        <f t="shared" si="3"/>
        <v>0</v>
      </c>
      <c r="J26" s="13">
        <v>0</v>
      </c>
      <c r="K26" s="8">
        <f t="shared" si="4"/>
        <v>0</v>
      </c>
      <c r="N26">
        <v>114</v>
      </c>
      <c r="O26">
        <v>0</v>
      </c>
      <c r="P26">
        <f t="shared" si="5"/>
        <v>2.0569048513364727</v>
      </c>
      <c r="Q26" s="2">
        <v>0</v>
      </c>
      <c r="R26">
        <f t="shared" si="6"/>
        <v>2.0569048513364727</v>
      </c>
      <c r="S26" t="s">
        <v>131</v>
      </c>
      <c r="T26">
        <v>0</v>
      </c>
      <c r="U26">
        <v>0</v>
      </c>
      <c r="V26" s="2">
        <v>0</v>
      </c>
      <c r="W26" s="2">
        <v>0</v>
      </c>
      <c r="X26">
        <f t="shared" si="7"/>
        <v>0</v>
      </c>
      <c r="AA26">
        <v>4</v>
      </c>
      <c r="AB26">
        <v>2</v>
      </c>
      <c r="AC26">
        <f>LOG(AA26)</f>
        <v>0.6020599913279624</v>
      </c>
      <c r="AD26">
        <f>LOG(AB26)</f>
        <v>0.3010299956639812</v>
      </c>
      <c r="AE26">
        <f t="shared" si="11"/>
        <v>0.3010299956639812</v>
      </c>
      <c r="AF26">
        <f>AE26</f>
        <v>0.3010299956639812</v>
      </c>
      <c r="AG26">
        <v>0</v>
      </c>
      <c r="AH26">
        <v>0</v>
      </c>
      <c r="AI26" s="2">
        <v>0</v>
      </c>
      <c r="AJ26" s="2">
        <v>0</v>
      </c>
      <c r="AK26">
        <f t="shared" si="12"/>
        <v>0</v>
      </c>
      <c r="AN26" s="14" t="s">
        <v>110</v>
      </c>
      <c r="AO26" s="14">
        <f>MIN(AC$50:AC$89)</f>
        <v>0.77815125038364363</v>
      </c>
      <c r="AP26" s="14">
        <f>MIN(AD$50:AD$89)</f>
        <v>0</v>
      </c>
      <c r="AQ26" s="14">
        <f>MIN(AI$50:AI$89)</f>
        <v>0</v>
      </c>
      <c r="AR26" s="14">
        <f>MIN(AJ$50:AJ$89)</f>
        <v>0</v>
      </c>
      <c r="AU26">
        <f>10^AQ46</f>
        <v>1</v>
      </c>
    </row>
    <row r="27" spans="1:47" x14ac:dyDescent="0.2">
      <c r="B27">
        <v>3700</v>
      </c>
      <c r="C27">
        <v>99</v>
      </c>
      <c r="D27">
        <f t="shared" si="14"/>
        <v>3.568201724066995</v>
      </c>
      <c r="E27">
        <f t="shared" si="15"/>
        <v>1.9956351945975499</v>
      </c>
      <c r="F27">
        <f t="shared" si="2"/>
        <v>1.5725665294694451</v>
      </c>
      <c r="G27">
        <v>4</v>
      </c>
      <c r="H27">
        <v>0</v>
      </c>
      <c r="I27">
        <f t="shared" si="3"/>
        <v>0.6020599913279624</v>
      </c>
      <c r="J27" s="2">
        <v>0</v>
      </c>
      <c r="K27">
        <f t="shared" si="4"/>
        <v>0.6020599913279624</v>
      </c>
      <c r="M27">
        <v>13</v>
      </c>
      <c r="N27">
        <v>5500</v>
      </c>
      <c r="O27">
        <v>0</v>
      </c>
      <c r="P27">
        <f t="shared" si="5"/>
        <v>3.7403626894942437</v>
      </c>
      <c r="Q27" s="2">
        <v>0</v>
      </c>
      <c r="R27">
        <f t="shared" si="6"/>
        <v>3.7403626894942437</v>
      </c>
      <c r="S27" t="s">
        <v>131</v>
      </c>
      <c r="T27">
        <v>2</v>
      </c>
      <c r="U27">
        <v>0</v>
      </c>
      <c r="V27">
        <f>LOG(T27)</f>
        <v>0.3010299956639812</v>
      </c>
      <c r="W27" s="2">
        <v>0</v>
      </c>
      <c r="X27">
        <f t="shared" si="7"/>
        <v>0.3010299956639812</v>
      </c>
      <c r="Z27">
        <v>13</v>
      </c>
      <c r="AA27">
        <v>46</v>
      </c>
      <c r="AB27">
        <v>0</v>
      </c>
      <c r="AC27">
        <f t="shared" ref="AC27:AC42" si="16">LOG(AA27)</f>
        <v>1.6627578316815741</v>
      </c>
      <c r="AD27" s="2">
        <v>0</v>
      </c>
      <c r="AE27">
        <f t="shared" si="11"/>
        <v>1.6627578316815741</v>
      </c>
      <c r="AF27" t="s">
        <v>131</v>
      </c>
      <c r="AG27">
        <v>0</v>
      </c>
      <c r="AH27">
        <v>0</v>
      </c>
      <c r="AI27" s="2">
        <v>0</v>
      </c>
      <c r="AJ27" s="2">
        <v>0</v>
      </c>
      <c r="AK27">
        <f t="shared" si="12"/>
        <v>0</v>
      </c>
      <c r="AN27" s="14" t="s">
        <v>111</v>
      </c>
      <c r="AO27" s="14">
        <f>_xlfn.QUARTILE.EXC(AC$50:AC$89,1)</f>
        <v>1.3802112417116059</v>
      </c>
      <c r="AP27" s="14">
        <f>_xlfn.QUARTILE.EXC(AD$50:AD$89,1)</f>
        <v>0</v>
      </c>
      <c r="AQ27" s="14">
        <f>_xlfn.QUARTILE.EXC(AI$50:AI$89,1)</f>
        <v>0</v>
      </c>
      <c r="AR27" s="14">
        <f>_xlfn.QUARTILE.EXC(AJ$50:AJ$89,1)</f>
        <v>0</v>
      </c>
      <c r="AU27">
        <f>10^AQ47</f>
        <v>1</v>
      </c>
    </row>
    <row r="28" spans="1:47" x14ac:dyDescent="0.2">
      <c r="B28">
        <v>108</v>
      </c>
      <c r="C28">
        <v>0</v>
      </c>
      <c r="D28">
        <f t="shared" si="14"/>
        <v>2.0334237554869499</v>
      </c>
      <c r="E28">
        <f>LOG(1)</f>
        <v>0</v>
      </c>
      <c r="F28">
        <f t="shared" si="2"/>
        <v>2.0334237554869499</v>
      </c>
      <c r="G28">
        <v>1</v>
      </c>
      <c r="H28">
        <v>0</v>
      </c>
      <c r="I28">
        <f t="shared" si="3"/>
        <v>0</v>
      </c>
      <c r="J28" s="2">
        <v>0</v>
      </c>
      <c r="K28">
        <f t="shared" si="4"/>
        <v>0</v>
      </c>
      <c r="N28">
        <v>9</v>
      </c>
      <c r="O28">
        <v>0</v>
      </c>
      <c r="P28">
        <f t="shared" si="5"/>
        <v>0.95424250943932487</v>
      </c>
      <c r="Q28" s="2">
        <v>0</v>
      </c>
      <c r="R28">
        <f t="shared" si="6"/>
        <v>0.95424250943932487</v>
      </c>
      <c r="S28" t="s">
        <v>131</v>
      </c>
      <c r="T28">
        <v>0</v>
      </c>
      <c r="U28">
        <v>0</v>
      </c>
      <c r="V28" s="2">
        <v>0</v>
      </c>
      <c r="W28" s="2">
        <v>0</v>
      </c>
      <c r="X28">
        <f t="shared" si="7"/>
        <v>0</v>
      </c>
      <c r="AA28">
        <v>4200</v>
      </c>
      <c r="AB28">
        <v>0</v>
      </c>
      <c r="AC28">
        <f t="shared" si="16"/>
        <v>3.6232492903979003</v>
      </c>
      <c r="AD28" s="2">
        <v>0</v>
      </c>
      <c r="AE28">
        <f t="shared" si="11"/>
        <v>3.6232492903979003</v>
      </c>
      <c r="AF28" t="s">
        <v>131</v>
      </c>
      <c r="AG28">
        <v>1</v>
      </c>
      <c r="AH28">
        <v>0</v>
      </c>
      <c r="AI28">
        <f>LOG(AG28)</f>
        <v>0</v>
      </c>
      <c r="AJ28" s="2">
        <v>0</v>
      </c>
      <c r="AK28">
        <f t="shared" si="12"/>
        <v>0</v>
      </c>
      <c r="AN28" s="14" t="s">
        <v>112</v>
      </c>
      <c r="AO28" s="14">
        <f>_xlfn.QUARTILE.EXC(AC$50:AC$89,2)</f>
        <v>1.7853298350107671</v>
      </c>
      <c r="AP28" s="14">
        <f>_xlfn.QUARTILE.EXC(AD$50:AD$89,2)</f>
        <v>0</v>
      </c>
      <c r="AQ28" s="14">
        <f>_xlfn.QUARTILE.EXC(AI$50:AI$89,2)</f>
        <v>0</v>
      </c>
      <c r="AR28" s="14">
        <f>_xlfn.QUARTILE.EXC(AJ$50:AJ$89,2)</f>
        <v>0</v>
      </c>
    </row>
    <row r="29" spans="1:47" x14ac:dyDescent="0.2">
      <c r="A29">
        <v>5</v>
      </c>
      <c r="B29" s="8">
        <v>158</v>
      </c>
      <c r="C29" s="8">
        <v>0</v>
      </c>
      <c r="D29" s="8">
        <f t="shared" si="14"/>
        <v>2.1986570869544226</v>
      </c>
      <c r="E29" s="8">
        <f>LOG(1)</f>
        <v>0</v>
      </c>
      <c r="F29" s="8">
        <f t="shared" si="2"/>
        <v>2.1986570869544226</v>
      </c>
      <c r="G29" s="8">
        <v>1</v>
      </c>
      <c r="H29" s="8">
        <v>0</v>
      </c>
      <c r="I29" s="8">
        <f t="shared" si="3"/>
        <v>0</v>
      </c>
      <c r="J29" s="13">
        <v>0</v>
      </c>
      <c r="K29" s="8">
        <f t="shared" si="4"/>
        <v>0</v>
      </c>
      <c r="M29">
        <v>14</v>
      </c>
      <c r="N29">
        <v>210</v>
      </c>
      <c r="O29">
        <v>0</v>
      </c>
      <c r="P29">
        <f t="shared" si="5"/>
        <v>2.3222192947339191</v>
      </c>
      <c r="Q29" s="2">
        <v>0</v>
      </c>
      <c r="R29">
        <f t="shared" si="6"/>
        <v>2.3222192947339191</v>
      </c>
      <c r="S29" t="s">
        <v>131</v>
      </c>
      <c r="T29">
        <v>2</v>
      </c>
      <c r="U29">
        <v>0</v>
      </c>
      <c r="V29">
        <f>LOG(T29)</f>
        <v>0.3010299956639812</v>
      </c>
      <c r="W29" s="2">
        <v>0</v>
      </c>
      <c r="X29">
        <f t="shared" si="7"/>
        <v>0.3010299956639812</v>
      </c>
      <c r="Z29">
        <v>14</v>
      </c>
      <c r="AA29">
        <v>83</v>
      </c>
      <c r="AB29">
        <v>0</v>
      </c>
      <c r="AC29">
        <f t="shared" si="16"/>
        <v>1.919078092376074</v>
      </c>
      <c r="AD29" s="2">
        <v>0</v>
      </c>
      <c r="AE29">
        <f t="shared" si="11"/>
        <v>1.919078092376074</v>
      </c>
      <c r="AF29" t="s">
        <v>131</v>
      </c>
      <c r="AG29">
        <v>32</v>
      </c>
      <c r="AH29">
        <v>0</v>
      </c>
      <c r="AI29">
        <f>LOG(AG29)</f>
        <v>1.505149978319906</v>
      </c>
      <c r="AJ29" s="2">
        <v>0</v>
      </c>
      <c r="AK29">
        <f t="shared" si="12"/>
        <v>1.505149978319906</v>
      </c>
      <c r="AN29" s="14" t="s">
        <v>113</v>
      </c>
      <c r="AO29" s="14">
        <f>_xlfn.QUARTILE.EXC(AC$50:AC$89,3)</f>
        <v>2.2455126678141499</v>
      </c>
      <c r="AP29" s="14">
        <f>_xlfn.QUARTILE.EXC(AD$50:AD$89,3)</f>
        <v>1.1760912590556813</v>
      </c>
      <c r="AQ29" s="14">
        <f>_xlfn.QUARTILE.EXC(AI$50:AI$89,3)</f>
        <v>0.3010299956639812</v>
      </c>
      <c r="AR29" s="14">
        <f>_xlfn.QUARTILE.EXC(AJ$50:AJ$89,3)</f>
        <v>0</v>
      </c>
    </row>
    <row r="30" spans="1:47" x14ac:dyDescent="0.2">
      <c r="B30" s="8">
        <v>1800</v>
      </c>
      <c r="C30" s="8">
        <v>28</v>
      </c>
      <c r="D30" s="8">
        <f t="shared" si="14"/>
        <v>3.255272505103306</v>
      </c>
      <c r="E30" s="8">
        <f t="shared" si="15"/>
        <v>1.4471580313422192</v>
      </c>
      <c r="F30" s="8">
        <f t="shared" si="2"/>
        <v>1.8081144737610868</v>
      </c>
      <c r="G30" s="8">
        <v>0</v>
      </c>
      <c r="H30" s="8">
        <v>0</v>
      </c>
      <c r="I30" s="13">
        <v>0</v>
      </c>
      <c r="J30" s="13">
        <v>0</v>
      </c>
      <c r="K30" s="8">
        <f t="shared" si="4"/>
        <v>0</v>
      </c>
      <c r="N30">
        <v>92</v>
      </c>
      <c r="O30">
        <v>0</v>
      </c>
      <c r="P30">
        <f t="shared" si="5"/>
        <v>1.9637878273455553</v>
      </c>
      <c r="Q30" s="2">
        <v>0</v>
      </c>
      <c r="R30">
        <f t="shared" si="6"/>
        <v>1.9637878273455553</v>
      </c>
      <c r="S30" t="s">
        <v>131</v>
      </c>
      <c r="T30">
        <v>4</v>
      </c>
      <c r="U30">
        <v>0</v>
      </c>
      <c r="V30">
        <f>LOG(T30)</f>
        <v>0.6020599913279624</v>
      </c>
      <c r="W30" s="2">
        <v>0</v>
      </c>
      <c r="X30">
        <f t="shared" si="7"/>
        <v>0.6020599913279624</v>
      </c>
      <c r="AA30">
        <v>44</v>
      </c>
      <c r="AB30">
        <v>27</v>
      </c>
      <c r="AC30">
        <f t="shared" si="16"/>
        <v>1.6434526764861874</v>
      </c>
      <c r="AD30">
        <f>LOG(AB30)</f>
        <v>1.4313637641589874</v>
      </c>
      <c r="AE30">
        <f t="shared" si="11"/>
        <v>0.21208891232720006</v>
      </c>
      <c r="AF30">
        <f>AE30</f>
        <v>0.21208891232720006</v>
      </c>
      <c r="AG30">
        <v>1</v>
      </c>
      <c r="AH30">
        <v>0</v>
      </c>
      <c r="AI30">
        <f>LOG(AG30)</f>
        <v>0</v>
      </c>
      <c r="AJ30" s="2">
        <v>0</v>
      </c>
      <c r="AK30">
        <f t="shared" si="12"/>
        <v>0</v>
      </c>
      <c r="AN30" s="14" t="s">
        <v>114</v>
      </c>
      <c r="AO30" s="14">
        <f>MAX(AC$50:AC$89)</f>
        <v>4.4771212547196626</v>
      </c>
      <c r="AP30" s="14">
        <f>MAX(AD$50:AD$89)</f>
        <v>3.6532125137753435</v>
      </c>
      <c r="AQ30" s="14">
        <f>MAX(AI$50:AI$89)</f>
        <v>1.3010299956639813</v>
      </c>
      <c r="AR30" s="14">
        <f>MAX(AJ$50:AJ$89)</f>
        <v>0.47712125471966244</v>
      </c>
    </row>
    <row r="31" spans="1:47" x14ac:dyDescent="0.2">
      <c r="B31" s="8">
        <v>10800</v>
      </c>
      <c r="C31" s="8">
        <v>4100</v>
      </c>
      <c r="D31" s="8">
        <f t="shared" si="14"/>
        <v>4.0334237554869494</v>
      </c>
      <c r="E31" s="8">
        <f t="shared" si="15"/>
        <v>3.6127838567197355</v>
      </c>
      <c r="F31" s="8">
        <f t="shared" si="2"/>
        <v>0.42063989876721397</v>
      </c>
      <c r="G31" s="8">
        <v>0</v>
      </c>
      <c r="H31" s="8">
        <v>0</v>
      </c>
      <c r="I31" s="13">
        <v>0</v>
      </c>
      <c r="J31" s="13">
        <v>0</v>
      </c>
      <c r="K31" s="8">
        <f t="shared" si="4"/>
        <v>0</v>
      </c>
      <c r="M31">
        <v>15</v>
      </c>
      <c r="N31">
        <v>6</v>
      </c>
      <c r="O31">
        <v>0</v>
      </c>
      <c r="P31">
        <f t="shared" si="5"/>
        <v>0.77815125038364363</v>
      </c>
      <c r="Q31" s="2">
        <v>0</v>
      </c>
      <c r="R31">
        <f t="shared" si="6"/>
        <v>0.77815125038364363</v>
      </c>
      <c r="S31" t="s">
        <v>131</v>
      </c>
      <c r="T31">
        <v>0</v>
      </c>
      <c r="U31">
        <v>0</v>
      </c>
      <c r="V31" s="2">
        <v>0</v>
      </c>
      <c r="W31" s="2">
        <v>0</v>
      </c>
      <c r="X31">
        <f t="shared" si="7"/>
        <v>0</v>
      </c>
      <c r="Z31">
        <v>15</v>
      </c>
      <c r="AA31">
        <v>10</v>
      </c>
      <c r="AB31">
        <v>0</v>
      </c>
      <c r="AC31">
        <f t="shared" si="16"/>
        <v>1</v>
      </c>
      <c r="AD31" s="2">
        <v>0</v>
      </c>
      <c r="AE31">
        <f t="shared" si="11"/>
        <v>1</v>
      </c>
      <c r="AF31" t="s">
        <v>131</v>
      </c>
      <c r="AG31">
        <v>0</v>
      </c>
      <c r="AH31">
        <v>0</v>
      </c>
      <c r="AI31" s="2">
        <v>0</v>
      </c>
      <c r="AJ31" s="2">
        <v>0</v>
      </c>
      <c r="AK31">
        <f t="shared" si="12"/>
        <v>0</v>
      </c>
    </row>
    <row r="32" spans="1:47" x14ac:dyDescent="0.2">
      <c r="B32" s="8">
        <v>218</v>
      </c>
      <c r="C32" s="8">
        <v>56</v>
      </c>
      <c r="D32" s="8">
        <f t="shared" si="14"/>
        <v>2.3384564936046046</v>
      </c>
      <c r="E32" s="8">
        <f t="shared" si="15"/>
        <v>1.7481880270062005</v>
      </c>
      <c r="F32" s="8">
        <f t="shared" si="2"/>
        <v>0.59026846659840415</v>
      </c>
      <c r="G32" s="8">
        <v>4</v>
      </c>
      <c r="H32" s="8">
        <v>1</v>
      </c>
      <c r="I32" s="8">
        <f t="shared" si="3"/>
        <v>0.6020599913279624</v>
      </c>
      <c r="J32" s="8">
        <f>LOG(H32)</f>
        <v>0</v>
      </c>
      <c r="K32" s="8">
        <f t="shared" si="4"/>
        <v>0.6020599913279624</v>
      </c>
      <c r="N32">
        <v>14</v>
      </c>
      <c r="O32">
        <v>0</v>
      </c>
      <c r="P32">
        <f t="shared" si="5"/>
        <v>1.146128035678238</v>
      </c>
      <c r="Q32" s="2">
        <v>0</v>
      </c>
      <c r="R32">
        <f t="shared" si="6"/>
        <v>1.146128035678238</v>
      </c>
      <c r="S32" t="s">
        <v>131</v>
      </c>
      <c r="T32">
        <v>0</v>
      </c>
      <c r="U32">
        <v>0</v>
      </c>
      <c r="V32" s="2">
        <v>0</v>
      </c>
      <c r="W32" s="2">
        <v>0</v>
      </c>
      <c r="X32">
        <f t="shared" si="7"/>
        <v>0</v>
      </c>
      <c r="AA32">
        <v>112</v>
      </c>
      <c r="AB32">
        <v>0</v>
      </c>
      <c r="AC32">
        <f t="shared" si="16"/>
        <v>2.0492180226701815</v>
      </c>
      <c r="AD32" s="2">
        <v>0</v>
      </c>
      <c r="AE32">
        <f t="shared" si="11"/>
        <v>2.0492180226701815</v>
      </c>
      <c r="AF32" t="s">
        <v>131</v>
      </c>
      <c r="AG32">
        <v>0</v>
      </c>
      <c r="AH32">
        <v>0</v>
      </c>
      <c r="AI32" s="2">
        <v>0</v>
      </c>
      <c r="AJ32" s="2">
        <v>0</v>
      </c>
      <c r="AK32">
        <f t="shared" si="12"/>
        <v>0</v>
      </c>
    </row>
    <row r="33" spans="1:51" x14ac:dyDescent="0.2">
      <c r="B33" s="8">
        <v>62</v>
      </c>
      <c r="C33" s="8">
        <v>46</v>
      </c>
      <c r="D33" s="8">
        <f t="shared" si="14"/>
        <v>1.7923916894982539</v>
      </c>
      <c r="E33" s="8">
        <f t="shared" si="15"/>
        <v>1.6627578316815741</v>
      </c>
      <c r="F33" s="8">
        <f t="shared" si="2"/>
        <v>0.1296338578166798</v>
      </c>
      <c r="G33" s="8">
        <v>3</v>
      </c>
      <c r="H33" s="8">
        <v>0</v>
      </c>
      <c r="I33" s="8">
        <f t="shared" si="3"/>
        <v>0.47712125471966244</v>
      </c>
      <c r="J33" s="13">
        <v>0</v>
      </c>
      <c r="K33" s="8">
        <f t="shared" si="4"/>
        <v>0.47712125471966244</v>
      </c>
      <c r="M33">
        <v>16</v>
      </c>
      <c r="N33">
        <v>3200</v>
      </c>
      <c r="O33">
        <v>0</v>
      </c>
      <c r="P33">
        <f t="shared" si="5"/>
        <v>3.5051499783199058</v>
      </c>
      <c r="Q33" s="2">
        <v>0</v>
      </c>
      <c r="R33">
        <f t="shared" si="6"/>
        <v>3.5051499783199058</v>
      </c>
      <c r="S33" t="s">
        <v>131</v>
      </c>
      <c r="T33">
        <v>1600</v>
      </c>
      <c r="U33">
        <v>0</v>
      </c>
      <c r="V33">
        <f>LOG(T33)</f>
        <v>3.2041199826559246</v>
      </c>
      <c r="W33" s="2">
        <v>0</v>
      </c>
      <c r="X33">
        <f t="shared" si="7"/>
        <v>3.2041199826559246</v>
      </c>
      <c r="Z33">
        <v>16</v>
      </c>
      <c r="AA33">
        <v>61</v>
      </c>
      <c r="AB33">
        <v>290</v>
      </c>
      <c r="AC33">
        <f t="shared" si="16"/>
        <v>1.7853298350107671</v>
      </c>
      <c r="AD33">
        <f>LOG(AB33)</f>
        <v>2.4623979978989561</v>
      </c>
      <c r="AE33">
        <f t="shared" si="11"/>
        <v>-0.67706816288818894</v>
      </c>
      <c r="AF33">
        <f>AE33</f>
        <v>-0.67706816288818894</v>
      </c>
      <c r="AG33">
        <v>0</v>
      </c>
      <c r="AH33">
        <v>3</v>
      </c>
      <c r="AI33" s="2">
        <v>0</v>
      </c>
      <c r="AJ33">
        <f>LOG(AH33)</f>
        <v>0.47712125471966244</v>
      </c>
      <c r="AK33">
        <f t="shared" si="12"/>
        <v>-0.47712125471966244</v>
      </c>
    </row>
    <row r="34" spans="1:51" x14ac:dyDescent="0.2">
      <c r="B34" s="8">
        <v>4200</v>
      </c>
      <c r="C34" s="8">
        <v>139</v>
      </c>
      <c r="D34" s="8">
        <f t="shared" si="14"/>
        <v>3.6232492903979003</v>
      </c>
      <c r="E34" s="8">
        <f t="shared" si="15"/>
        <v>2.143014800254095</v>
      </c>
      <c r="F34" s="8">
        <f t="shared" si="2"/>
        <v>1.4802344901438054</v>
      </c>
      <c r="G34" s="8">
        <v>1</v>
      </c>
      <c r="H34" s="8">
        <v>1</v>
      </c>
      <c r="I34" s="8">
        <f>LOG(G34)</f>
        <v>0</v>
      </c>
      <c r="J34" s="8">
        <f>LOG(H34)</f>
        <v>0</v>
      </c>
      <c r="K34" s="8">
        <f t="shared" si="4"/>
        <v>0</v>
      </c>
      <c r="N34">
        <v>30</v>
      </c>
      <c r="O34">
        <v>8200</v>
      </c>
      <c r="P34">
        <f t="shared" si="5"/>
        <v>1.4771212547196624</v>
      </c>
      <c r="Q34">
        <f>LOG(O34)</f>
        <v>3.9138138523837167</v>
      </c>
      <c r="R34">
        <f t="shared" si="6"/>
        <v>-2.4366925976640541</v>
      </c>
      <c r="S34">
        <f>R34</f>
        <v>-2.4366925976640541</v>
      </c>
      <c r="T34">
        <v>1</v>
      </c>
      <c r="U34">
        <v>1</v>
      </c>
      <c r="V34">
        <f>LOG(T34)</f>
        <v>0</v>
      </c>
      <c r="W34">
        <f>LOG(U34)</f>
        <v>0</v>
      </c>
      <c r="X34">
        <f t="shared" si="7"/>
        <v>0</v>
      </c>
      <c r="AA34">
        <v>106</v>
      </c>
      <c r="AB34">
        <v>30000</v>
      </c>
      <c r="AC34">
        <f t="shared" si="16"/>
        <v>2.0253058652647704</v>
      </c>
      <c r="AD34">
        <f>LOG(AB34)</f>
        <v>4.4771212547196626</v>
      </c>
      <c r="AE34">
        <f t="shared" si="11"/>
        <v>-2.4518153894548922</v>
      </c>
      <c r="AF34">
        <f>AE34</f>
        <v>-2.4518153894548922</v>
      </c>
      <c r="AG34">
        <v>1</v>
      </c>
      <c r="AH34">
        <v>0</v>
      </c>
      <c r="AI34">
        <f>LOG(AG34)</f>
        <v>0</v>
      </c>
      <c r="AJ34" s="2">
        <v>0</v>
      </c>
      <c r="AK34">
        <f t="shared" si="12"/>
        <v>0</v>
      </c>
      <c r="AN34" s="15" t="s">
        <v>116</v>
      </c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</row>
    <row r="35" spans="1:51" x14ac:dyDescent="0.2">
      <c r="B35">
        <v>79</v>
      </c>
      <c r="C35">
        <v>1000</v>
      </c>
      <c r="D35">
        <f t="shared" si="14"/>
        <v>1.8976270912904414</v>
      </c>
      <c r="E35">
        <f t="shared" si="15"/>
        <v>3</v>
      </c>
      <c r="F35">
        <f t="shared" si="2"/>
        <v>-1.1023729087095586</v>
      </c>
      <c r="G35">
        <v>4</v>
      </c>
      <c r="H35">
        <v>3</v>
      </c>
      <c r="I35">
        <f t="shared" si="3"/>
        <v>0.6020599913279624</v>
      </c>
      <c r="J35">
        <f>LOG(H35)</f>
        <v>0.47712125471966244</v>
      </c>
      <c r="K35">
        <f t="shared" si="4"/>
        <v>0.12493873660829996</v>
      </c>
      <c r="M35">
        <v>17</v>
      </c>
      <c r="N35">
        <v>23100</v>
      </c>
      <c r="O35">
        <v>0</v>
      </c>
      <c r="P35">
        <f t="shared" si="5"/>
        <v>4.363611979892144</v>
      </c>
      <c r="Q35" s="2">
        <v>0</v>
      </c>
      <c r="R35">
        <f t="shared" si="6"/>
        <v>4.363611979892144</v>
      </c>
      <c r="S35" t="s">
        <v>131</v>
      </c>
      <c r="T35">
        <v>2</v>
      </c>
      <c r="U35">
        <v>0</v>
      </c>
      <c r="V35">
        <f>LOG(T35)</f>
        <v>0.3010299956639812</v>
      </c>
      <c r="W35" s="2">
        <v>0</v>
      </c>
      <c r="X35">
        <f t="shared" si="7"/>
        <v>0.3010299956639812</v>
      </c>
      <c r="Z35">
        <v>17</v>
      </c>
      <c r="AA35">
        <v>29</v>
      </c>
      <c r="AB35">
        <v>0</v>
      </c>
      <c r="AC35">
        <f t="shared" si="16"/>
        <v>1.4623979978989561</v>
      </c>
      <c r="AD35" s="2">
        <v>0</v>
      </c>
      <c r="AE35">
        <f t="shared" si="11"/>
        <v>1.4623979978989561</v>
      </c>
      <c r="AF35" t="s">
        <v>131</v>
      </c>
      <c r="AG35">
        <v>0</v>
      </c>
      <c r="AH35">
        <v>0</v>
      </c>
      <c r="AI35" s="2">
        <v>0</v>
      </c>
      <c r="AJ35" s="2">
        <v>0</v>
      </c>
      <c r="AK35">
        <f t="shared" si="12"/>
        <v>0</v>
      </c>
      <c r="AN35" s="14" t="s">
        <v>117</v>
      </c>
      <c r="AO35" s="14" t="s">
        <v>110</v>
      </c>
      <c r="AP35" s="14" t="s">
        <v>111</v>
      </c>
      <c r="AQ35" s="14" t="s">
        <v>112</v>
      </c>
      <c r="AR35" s="14" t="s">
        <v>113</v>
      </c>
      <c r="AS35" s="14" t="s">
        <v>114</v>
      </c>
      <c r="AT35" s="14" t="s">
        <v>118</v>
      </c>
      <c r="AU35" s="14" t="s">
        <v>110</v>
      </c>
      <c r="AV35" s="14" t="s">
        <v>111</v>
      </c>
      <c r="AW35" s="14" t="s">
        <v>112</v>
      </c>
      <c r="AX35" s="14" t="s">
        <v>113</v>
      </c>
      <c r="AY35" s="14" t="s">
        <v>114</v>
      </c>
    </row>
    <row r="36" spans="1:51" x14ac:dyDescent="0.2">
      <c r="B36">
        <v>106</v>
      </c>
      <c r="C36">
        <v>17</v>
      </c>
      <c r="D36">
        <f t="shared" si="14"/>
        <v>2.0253058652647704</v>
      </c>
      <c r="E36">
        <f t="shared" si="15"/>
        <v>1.2304489213782739</v>
      </c>
      <c r="F36">
        <f t="shared" si="2"/>
        <v>0.79485694388649653</v>
      </c>
      <c r="G36">
        <v>1</v>
      </c>
      <c r="H36">
        <v>1</v>
      </c>
      <c r="I36">
        <f t="shared" si="3"/>
        <v>0</v>
      </c>
      <c r="J36">
        <f>LOG(H36)</f>
        <v>0</v>
      </c>
      <c r="K36">
        <f t="shared" si="4"/>
        <v>0</v>
      </c>
      <c r="N36">
        <v>80</v>
      </c>
      <c r="O36">
        <v>0</v>
      </c>
      <c r="P36">
        <f t="shared" si="5"/>
        <v>1.9030899869919435</v>
      </c>
      <c r="Q36" s="2">
        <v>0</v>
      </c>
      <c r="R36">
        <f t="shared" si="6"/>
        <v>1.9030899869919435</v>
      </c>
      <c r="S36" t="s">
        <v>131</v>
      </c>
      <c r="T36">
        <v>0</v>
      </c>
      <c r="U36">
        <v>0</v>
      </c>
      <c r="V36" s="2">
        <v>0</v>
      </c>
      <c r="W36" s="2">
        <v>0</v>
      </c>
      <c r="X36">
        <f t="shared" si="7"/>
        <v>0</v>
      </c>
      <c r="AA36">
        <v>25</v>
      </c>
      <c r="AB36">
        <v>18</v>
      </c>
      <c r="AC36">
        <f t="shared" si="16"/>
        <v>1.3979400086720377</v>
      </c>
      <c r="AD36">
        <f>LOG(AB36)</f>
        <v>1.255272505103306</v>
      </c>
      <c r="AE36">
        <f t="shared" si="11"/>
        <v>0.1426675035687317</v>
      </c>
      <c r="AF36">
        <f>AE36</f>
        <v>0.1426675035687317</v>
      </c>
      <c r="AG36">
        <v>1</v>
      </c>
      <c r="AH36">
        <v>0</v>
      </c>
      <c r="AI36">
        <f>LOG(AG36)</f>
        <v>0</v>
      </c>
      <c r="AJ36" s="2">
        <v>0</v>
      </c>
      <c r="AK36">
        <f t="shared" si="12"/>
        <v>0</v>
      </c>
      <c r="AN36" s="14">
        <v>1</v>
      </c>
      <c r="AO36" s="14">
        <f>AO5</f>
        <v>0.6020599913279624</v>
      </c>
      <c r="AP36" s="14">
        <f>AO6</f>
        <v>1.4841284356197233</v>
      </c>
      <c r="AQ36" s="14">
        <f>AO7</f>
        <v>1.9334389071687494</v>
      </c>
      <c r="AR36" s="14">
        <f>AO8</f>
        <v>2.4040226490652659</v>
      </c>
      <c r="AS36" s="14">
        <f>AO9</f>
        <v>4.3692158574101425</v>
      </c>
      <c r="AT36" s="14">
        <v>1</v>
      </c>
      <c r="AU36" s="14">
        <f>AP5</f>
        <v>0</v>
      </c>
      <c r="AV36" s="14">
        <f>AP6</f>
        <v>0</v>
      </c>
      <c r="AW36" s="14">
        <f>AP7</f>
        <v>0</v>
      </c>
      <c r="AX36" s="14">
        <f>AP8</f>
        <v>0.75835593887173747</v>
      </c>
      <c r="AY36" s="14">
        <f>AP9</f>
        <v>3.9138138523837167</v>
      </c>
    </row>
    <row r="37" spans="1:51" x14ac:dyDescent="0.2">
      <c r="A37">
        <v>6</v>
      </c>
      <c r="B37" s="8">
        <v>197</v>
      </c>
      <c r="C37" s="8">
        <v>0</v>
      </c>
      <c r="D37" s="8">
        <f t="shared" si="14"/>
        <v>2.2944662261615929</v>
      </c>
      <c r="E37" s="8">
        <f t="shared" ref="E37:E44" si="17">LOG(1)</f>
        <v>0</v>
      </c>
      <c r="F37" s="8">
        <f t="shared" si="2"/>
        <v>2.2944662261615929</v>
      </c>
      <c r="G37" s="8">
        <v>3</v>
      </c>
      <c r="H37" s="8">
        <v>0</v>
      </c>
      <c r="I37" s="8">
        <f t="shared" si="3"/>
        <v>0.47712125471966244</v>
      </c>
      <c r="J37" s="13">
        <v>0</v>
      </c>
      <c r="K37" s="8">
        <f t="shared" si="4"/>
        <v>0.47712125471966244</v>
      </c>
      <c r="M37">
        <v>18</v>
      </c>
      <c r="N37">
        <v>265</v>
      </c>
      <c r="O37">
        <v>0</v>
      </c>
      <c r="P37">
        <f t="shared" si="5"/>
        <v>2.4232458739368079</v>
      </c>
      <c r="Q37" s="2">
        <v>0</v>
      </c>
      <c r="R37">
        <f t="shared" si="6"/>
        <v>2.4232458739368079</v>
      </c>
      <c r="S37" t="s">
        <v>131</v>
      </c>
      <c r="T37">
        <v>9</v>
      </c>
      <c r="U37">
        <v>0</v>
      </c>
      <c r="V37">
        <f>LOG(T37)</f>
        <v>0.95424250943932487</v>
      </c>
      <c r="W37" s="2">
        <v>0</v>
      </c>
      <c r="X37">
        <f t="shared" si="7"/>
        <v>0.95424250943932487</v>
      </c>
      <c r="Z37">
        <v>18</v>
      </c>
      <c r="AA37">
        <v>74</v>
      </c>
      <c r="AB37">
        <v>2</v>
      </c>
      <c r="AC37">
        <f t="shared" si="16"/>
        <v>1.8692317197309762</v>
      </c>
      <c r="AD37">
        <f>LOG(AB37)</f>
        <v>0.3010299956639812</v>
      </c>
      <c r="AE37">
        <f t="shared" si="11"/>
        <v>1.568201724066995</v>
      </c>
      <c r="AF37">
        <f>AE37</f>
        <v>1.568201724066995</v>
      </c>
      <c r="AG37">
        <v>0</v>
      </c>
      <c r="AH37">
        <v>0</v>
      </c>
      <c r="AI37" s="2">
        <v>0</v>
      </c>
      <c r="AJ37" s="2">
        <v>0</v>
      </c>
      <c r="AK37">
        <f t="shared" si="12"/>
        <v>0</v>
      </c>
      <c r="AN37" s="14">
        <v>2</v>
      </c>
      <c r="AO37" s="14">
        <f>AO12</f>
        <v>0</v>
      </c>
      <c r="AP37" s="14">
        <f>AO13</f>
        <v>1.3617278360175928</v>
      </c>
      <c r="AQ37" s="14">
        <f>AO14</f>
        <v>1.8450980400142569</v>
      </c>
      <c r="AR37" s="14">
        <f>AO15</f>
        <v>2.4048337166199381</v>
      </c>
      <c r="AS37" s="14">
        <f>AO16</f>
        <v>4.4771212547196626</v>
      </c>
      <c r="AT37" s="14">
        <v>2</v>
      </c>
      <c r="AU37" s="14">
        <f>AP12</f>
        <v>0</v>
      </c>
      <c r="AV37" s="14">
        <f>AP13</f>
        <v>0</v>
      </c>
      <c r="AW37" s="14">
        <f>AP14</f>
        <v>0</v>
      </c>
      <c r="AX37" s="14">
        <f>AP15</f>
        <v>1.8633228601204559</v>
      </c>
      <c r="AY37" s="14">
        <f>AP16</f>
        <v>3.6127838567197355</v>
      </c>
    </row>
    <row r="38" spans="1:51" x14ac:dyDescent="0.2">
      <c r="B38" s="8">
        <v>177</v>
      </c>
      <c r="C38" s="8">
        <v>0</v>
      </c>
      <c r="D38" s="8">
        <f t="shared" si="14"/>
        <v>2.2479732663618068</v>
      </c>
      <c r="E38" s="8">
        <f t="shared" si="17"/>
        <v>0</v>
      </c>
      <c r="F38" s="8">
        <f t="shared" si="2"/>
        <v>2.2479732663618068</v>
      </c>
      <c r="G38" s="8">
        <v>6</v>
      </c>
      <c r="H38" s="8">
        <v>5</v>
      </c>
      <c r="I38" s="8">
        <f t="shared" si="3"/>
        <v>0.77815125038364363</v>
      </c>
      <c r="J38" s="8">
        <f>LOG(H38)</f>
        <v>0.69897000433601886</v>
      </c>
      <c r="K38" s="8">
        <f t="shared" si="4"/>
        <v>7.9181246047624776E-2</v>
      </c>
      <c r="N38">
        <v>148</v>
      </c>
      <c r="O38">
        <v>0</v>
      </c>
      <c r="P38">
        <f t="shared" si="5"/>
        <v>2.1702617153949575</v>
      </c>
      <c r="Q38" s="2">
        <v>0</v>
      </c>
      <c r="R38">
        <f t="shared" si="6"/>
        <v>2.1702617153949575</v>
      </c>
      <c r="S38" t="s">
        <v>131</v>
      </c>
      <c r="T38">
        <v>3</v>
      </c>
      <c r="U38">
        <v>0</v>
      </c>
      <c r="V38">
        <f>LOG(T38)</f>
        <v>0.47712125471966244</v>
      </c>
      <c r="W38" s="2">
        <v>0</v>
      </c>
      <c r="X38">
        <f t="shared" si="7"/>
        <v>0.47712125471966244</v>
      </c>
      <c r="AA38">
        <v>600</v>
      </c>
      <c r="AB38">
        <v>31</v>
      </c>
      <c r="AC38">
        <f t="shared" si="16"/>
        <v>2.7781512503836434</v>
      </c>
      <c r="AD38">
        <f>LOG(AB38)</f>
        <v>1.4913616938342726</v>
      </c>
      <c r="AE38">
        <f t="shared" si="11"/>
        <v>1.2867895565493708</v>
      </c>
      <c r="AF38">
        <f>AE38</f>
        <v>1.2867895565493708</v>
      </c>
      <c r="AG38">
        <v>0</v>
      </c>
      <c r="AH38">
        <v>0</v>
      </c>
      <c r="AI38" s="2">
        <v>0</v>
      </c>
      <c r="AJ38" s="2">
        <v>0</v>
      </c>
      <c r="AK38">
        <f t="shared" si="12"/>
        <v>0</v>
      </c>
      <c r="AN38" s="14">
        <v>3</v>
      </c>
      <c r="AO38" s="14">
        <f>AO19</f>
        <v>0</v>
      </c>
      <c r="AP38" s="14">
        <f>AO20</f>
        <v>1.4623979978989561</v>
      </c>
      <c r="AQ38" s="14">
        <f>AO21</f>
        <v>1.8542954225751718</v>
      </c>
      <c r="AR38" s="14">
        <f>AO22</f>
        <v>2.0727982458277268</v>
      </c>
      <c r="AS38" s="14">
        <f>AO23</f>
        <v>3.6434526764861874</v>
      </c>
      <c r="AT38" s="14">
        <v>3</v>
      </c>
      <c r="AU38" s="14">
        <f>AP19</f>
        <v>0</v>
      </c>
      <c r="AV38" s="14">
        <f>AP20</f>
        <v>0</v>
      </c>
      <c r="AW38" s="14">
        <f>AP21</f>
        <v>0.3010299956639812</v>
      </c>
      <c r="AX38" s="14">
        <f>AP22</f>
        <v>1.6860370876793034</v>
      </c>
      <c r="AY38" s="14">
        <f>AP23</f>
        <v>4.4771212547196626</v>
      </c>
    </row>
    <row r="39" spans="1:51" x14ac:dyDescent="0.2">
      <c r="B39" s="8">
        <v>70</v>
      </c>
      <c r="C39" s="8">
        <v>0</v>
      </c>
      <c r="D39" s="8">
        <f t="shared" si="14"/>
        <v>1.8450980400142569</v>
      </c>
      <c r="E39" s="8">
        <f t="shared" si="17"/>
        <v>0</v>
      </c>
      <c r="F39" s="8">
        <f t="shared" si="2"/>
        <v>1.8450980400142569</v>
      </c>
      <c r="G39" s="8">
        <v>5</v>
      </c>
      <c r="H39" s="8">
        <v>0</v>
      </c>
      <c r="I39" s="8">
        <f t="shared" si="3"/>
        <v>0.69897000433601886</v>
      </c>
      <c r="J39" s="13">
        <v>0</v>
      </c>
      <c r="K39" s="8">
        <f t="shared" si="4"/>
        <v>0.69897000433601886</v>
      </c>
      <c r="M39">
        <v>19</v>
      </c>
      <c r="N39">
        <v>33</v>
      </c>
      <c r="O39">
        <v>0</v>
      </c>
      <c r="P39">
        <f t="shared" si="5"/>
        <v>1.5185139398778875</v>
      </c>
      <c r="Q39" s="2">
        <v>0</v>
      </c>
      <c r="R39">
        <f t="shared" si="6"/>
        <v>1.5185139398778875</v>
      </c>
      <c r="S39" t="s">
        <v>131</v>
      </c>
      <c r="T39">
        <v>6</v>
      </c>
      <c r="U39">
        <v>0</v>
      </c>
      <c r="V39">
        <f>LOG(T39)</f>
        <v>0.77815125038364363</v>
      </c>
      <c r="W39" s="2">
        <v>0</v>
      </c>
      <c r="X39">
        <f t="shared" si="7"/>
        <v>0.77815125038364363</v>
      </c>
      <c r="Z39">
        <v>19</v>
      </c>
      <c r="AA39">
        <v>113</v>
      </c>
      <c r="AB39">
        <v>0</v>
      </c>
      <c r="AC39">
        <f t="shared" si="16"/>
        <v>2.0530784434834195</v>
      </c>
      <c r="AD39" s="2">
        <v>0</v>
      </c>
      <c r="AE39">
        <f t="shared" si="11"/>
        <v>2.0530784434834195</v>
      </c>
      <c r="AF39" t="s">
        <v>131</v>
      </c>
      <c r="AG39">
        <v>0</v>
      </c>
      <c r="AH39">
        <v>0</v>
      </c>
      <c r="AI39" s="2">
        <v>0</v>
      </c>
      <c r="AJ39" s="2">
        <v>0</v>
      </c>
      <c r="AK39">
        <f t="shared" si="12"/>
        <v>0</v>
      </c>
      <c r="AN39" s="14">
        <v>4</v>
      </c>
      <c r="AO39" s="14">
        <f>AO26</f>
        <v>0.77815125038364363</v>
      </c>
      <c r="AP39" s="14">
        <f>AO27</f>
        <v>1.3802112417116059</v>
      </c>
      <c r="AQ39" s="14">
        <f>AO28</f>
        <v>1.7853298350107671</v>
      </c>
      <c r="AR39" s="14">
        <f>AO29</f>
        <v>2.2455126678141499</v>
      </c>
      <c r="AS39" s="14">
        <f>AO30</f>
        <v>4.4771212547196626</v>
      </c>
      <c r="AT39" s="14">
        <v>4</v>
      </c>
      <c r="AU39" s="14">
        <f>AP26</f>
        <v>0</v>
      </c>
      <c r="AV39" s="14">
        <f>AP27</f>
        <v>0</v>
      </c>
      <c r="AW39" s="14">
        <f>AP28</f>
        <v>0</v>
      </c>
      <c r="AX39" s="14">
        <f>AP29</f>
        <v>1.1760912590556813</v>
      </c>
      <c r="AY39" s="14">
        <f>AP30</f>
        <v>3.6532125137753435</v>
      </c>
    </row>
    <row r="40" spans="1:51" x14ac:dyDescent="0.2">
      <c r="B40" s="8">
        <v>33</v>
      </c>
      <c r="C40" s="8">
        <v>0</v>
      </c>
      <c r="D40" s="8">
        <f t="shared" si="14"/>
        <v>1.5185139398778875</v>
      </c>
      <c r="E40" s="8">
        <f t="shared" si="17"/>
        <v>0</v>
      </c>
      <c r="F40" s="8">
        <f t="shared" si="2"/>
        <v>1.5185139398778875</v>
      </c>
      <c r="G40" s="8">
        <v>0</v>
      </c>
      <c r="H40" s="8">
        <v>0</v>
      </c>
      <c r="I40" s="13">
        <v>0</v>
      </c>
      <c r="J40" s="13">
        <v>0</v>
      </c>
      <c r="K40" s="8">
        <f t="shared" si="4"/>
        <v>0</v>
      </c>
      <c r="N40">
        <v>18</v>
      </c>
      <c r="O40">
        <v>0</v>
      </c>
      <c r="P40">
        <f t="shared" si="5"/>
        <v>1.255272505103306</v>
      </c>
      <c r="Q40" s="2">
        <v>0</v>
      </c>
      <c r="R40">
        <f t="shared" si="6"/>
        <v>1.255272505103306</v>
      </c>
      <c r="S40" t="s">
        <v>131</v>
      </c>
      <c r="T40">
        <v>1</v>
      </c>
      <c r="U40">
        <v>0</v>
      </c>
      <c r="V40">
        <f>LOG(T40)</f>
        <v>0</v>
      </c>
      <c r="W40" s="2">
        <v>0</v>
      </c>
      <c r="X40">
        <f t="shared" si="7"/>
        <v>0</v>
      </c>
      <c r="AA40">
        <v>4400</v>
      </c>
      <c r="AB40">
        <v>0</v>
      </c>
      <c r="AC40">
        <f t="shared" si="16"/>
        <v>3.6434526764861874</v>
      </c>
      <c r="AD40" s="2">
        <v>0</v>
      </c>
      <c r="AE40">
        <f t="shared" si="11"/>
        <v>3.6434526764861874</v>
      </c>
      <c r="AF40" t="s">
        <v>131</v>
      </c>
      <c r="AG40">
        <v>0</v>
      </c>
      <c r="AH40">
        <v>0</v>
      </c>
      <c r="AI40" s="2">
        <v>0</v>
      </c>
      <c r="AJ40" s="2">
        <v>0</v>
      </c>
      <c r="AK40">
        <f t="shared" si="12"/>
        <v>0</v>
      </c>
    </row>
    <row r="41" spans="1:51" x14ac:dyDescent="0.2">
      <c r="B41" s="8">
        <v>40</v>
      </c>
      <c r="C41" s="8">
        <v>0</v>
      </c>
      <c r="D41" s="8">
        <f t="shared" si="14"/>
        <v>1.6020599913279623</v>
      </c>
      <c r="E41" s="8">
        <f t="shared" si="17"/>
        <v>0</v>
      </c>
      <c r="F41" s="8">
        <f t="shared" si="2"/>
        <v>1.6020599913279623</v>
      </c>
      <c r="G41" s="8">
        <v>1</v>
      </c>
      <c r="H41" s="8">
        <v>0</v>
      </c>
      <c r="I41" s="8">
        <f t="shared" si="3"/>
        <v>0</v>
      </c>
      <c r="J41" s="13">
        <v>0</v>
      </c>
      <c r="K41" s="8">
        <f t="shared" si="4"/>
        <v>0</v>
      </c>
      <c r="M41">
        <v>20</v>
      </c>
      <c r="N41">
        <v>44</v>
      </c>
      <c r="O41">
        <v>20</v>
      </c>
      <c r="P41">
        <f t="shared" si="5"/>
        <v>1.6434526764861874</v>
      </c>
      <c r="Q41">
        <f>LOG(O41)</f>
        <v>1.3010299956639813</v>
      </c>
      <c r="R41">
        <f t="shared" si="6"/>
        <v>0.34242268082220617</v>
      </c>
      <c r="S41">
        <f>R41</f>
        <v>0.34242268082220617</v>
      </c>
      <c r="T41">
        <v>5</v>
      </c>
      <c r="U41">
        <v>0</v>
      </c>
      <c r="V41">
        <f>LOG(T41)</f>
        <v>0.69897000433601886</v>
      </c>
      <c r="W41" s="2">
        <v>0</v>
      </c>
      <c r="X41">
        <f t="shared" si="7"/>
        <v>0.69897000433601886</v>
      </c>
      <c r="Z41">
        <v>20</v>
      </c>
      <c r="AA41">
        <v>72</v>
      </c>
      <c r="AB41">
        <v>0</v>
      </c>
      <c r="AC41">
        <f t="shared" si="16"/>
        <v>1.8573324964312685</v>
      </c>
      <c r="AD41" s="2">
        <v>0</v>
      </c>
      <c r="AE41">
        <f t="shared" si="11"/>
        <v>1.8573324964312685</v>
      </c>
      <c r="AF41" t="s">
        <v>131</v>
      </c>
      <c r="AG41">
        <v>3</v>
      </c>
      <c r="AH41">
        <v>0</v>
      </c>
      <c r="AI41">
        <f>LOG(AG41)</f>
        <v>0.47712125471966244</v>
      </c>
      <c r="AJ41" s="2">
        <v>0</v>
      </c>
      <c r="AK41">
        <f t="shared" si="12"/>
        <v>0.47712125471966244</v>
      </c>
    </row>
    <row r="42" spans="1:51" x14ac:dyDescent="0.2">
      <c r="B42" s="8">
        <v>25</v>
      </c>
      <c r="C42" s="8">
        <v>0</v>
      </c>
      <c r="D42" s="8">
        <f t="shared" si="14"/>
        <v>1.3979400086720377</v>
      </c>
      <c r="E42" s="8">
        <f t="shared" si="17"/>
        <v>0</v>
      </c>
      <c r="F42" s="8">
        <f t="shared" si="2"/>
        <v>1.3979400086720377</v>
      </c>
      <c r="G42" s="8">
        <v>0</v>
      </c>
      <c r="H42" s="8">
        <v>0</v>
      </c>
      <c r="I42" s="13">
        <v>0</v>
      </c>
      <c r="J42" s="13">
        <v>0</v>
      </c>
      <c r="K42" s="8">
        <f t="shared" si="4"/>
        <v>0</v>
      </c>
      <c r="N42">
        <v>55</v>
      </c>
      <c r="O42">
        <v>192</v>
      </c>
      <c r="P42">
        <f t="shared" si="5"/>
        <v>1.7403626894942439</v>
      </c>
      <c r="Q42">
        <f>LOG(O42)</f>
        <v>2.2833012287035497</v>
      </c>
      <c r="R42">
        <f t="shared" si="6"/>
        <v>-0.54293853920930579</v>
      </c>
      <c r="S42">
        <f>R42</f>
        <v>-0.54293853920930579</v>
      </c>
      <c r="T42">
        <v>0</v>
      </c>
      <c r="U42">
        <v>9</v>
      </c>
      <c r="V42" s="2">
        <v>0</v>
      </c>
      <c r="W42">
        <f>LOG(U42)</f>
        <v>0.95424250943932487</v>
      </c>
      <c r="X42">
        <f t="shared" si="7"/>
        <v>-0.95424250943932487</v>
      </c>
      <c r="AA42">
        <v>119</v>
      </c>
      <c r="AB42">
        <v>26</v>
      </c>
      <c r="AC42">
        <f t="shared" si="16"/>
        <v>2.0755469613925306</v>
      </c>
      <c r="AD42">
        <f>LOG(AB42)</f>
        <v>1.414973347970818</v>
      </c>
      <c r="AE42">
        <f t="shared" si="11"/>
        <v>0.66057361342171261</v>
      </c>
      <c r="AF42">
        <f>AE42</f>
        <v>0.66057361342171261</v>
      </c>
      <c r="AG42">
        <v>1</v>
      </c>
      <c r="AH42">
        <v>1</v>
      </c>
      <c r="AI42">
        <f>LOG(AG42)</f>
        <v>0</v>
      </c>
      <c r="AJ42">
        <f>LOG(AH42)</f>
        <v>0</v>
      </c>
      <c r="AK42">
        <f t="shared" si="12"/>
        <v>0</v>
      </c>
      <c r="AN42" s="15" t="s">
        <v>2</v>
      </c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</row>
    <row r="43" spans="1:51" x14ac:dyDescent="0.2">
      <c r="B43">
        <v>19</v>
      </c>
      <c r="C43">
        <v>0</v>
      </c>
      <c r="D43">
        <f t="shared" si="14"/>
        <v>1.2787536009528289</v>
      </c>
      <c r="E43">
        <f t="shared" si="17"/>
        <v>0</v>
      </c>
      <c r="F43">
        <f t="shared" si="2"/>
        <v>1.2787536009528289</v>
      </c>
      <c r="G43">
        <v>0</v>
      </c>
      <c r="H43">
        <v>0</v>
      </c>
      <c r="I43" s="2">
        <v>0</v>
      </c>
      <c r="J43" s="2">
        <v>0</v>
      </c>
      <c r="K43">
        <f t="shared" si="4"/>
        <v>0</v>
      </c>
      <c r="R43">
        <f>AVERAGE(R3:R42)</f>
        <v>1.6757601398387094</v>
      </c>
      <c r="S43">
        <f>AVERAGE(S3:S42)</f>
        <v>1.1142578524589406</v>
      </c>
      <c r="X43">
        <f>AVERAGE(X3:X42)</f>
        <v>0.34206464792669433</v>
      </c>
      <c r="AE43">
        <f>AVERAGE(AE3:AE42)</f>
        <v>0.94672903785112106</v>
      </c>
      <c r="AF43">
        <f>AVERAGE(AF3:AF42)</f>
        <v>1.1896847260122623E-2</v>
      </c>
      <c r="AK43">
        <f>AVERAGE(AK3:AK42)</f>
        <v>0.10531228392376184</v>
      </c>
      <c r="AN43" s="14" t="s">
        <v>117</v>
      </c>
      <c r="AO43" s="14" t="s">
        <v>110</v>
      </c>
      <c r="AP43" s="14" t="s">
        <v>111</v>
      </c>
      <c r="AQ43" s="14" t="s">
        <v>112</v>
      </c>
      <c r="AR43" s="14" t="s">
        <v>113</v>
      </c>
      <c r="AS43" s="14" t="s">
        <v>114</v>
      </c>
      <c r="AT43" s="14" t="s">
        <v>118</v>
      </c>
      <c r="AU43" s="14" t="s">
        <v>110</v>
      </c>
      <c r="AV43" s="14" t="s">
        <v>111</v>
      </c>
      <c r="AW43" s="14" t="s">
        <v>112</v>
      </c>
      <c r="AX43" s="14" t="s">
        <v>113</v>
      </c>
      <c r="AY43" s="14" t="s">
        <v>114</v>
      </c>
    </row>
    <row r="44" spans="1:51" x14ac:dyDescent="0.2">
      <c r="B44">
        <v>44</v>
      </c>
      <c r="C44">
        <v>0</v>
      </c>
      <c r="D44">
        <f t="shared" si="14"/>
        <v>1.6434526764861874</v>
      </c>
      <c r="E44">
        <f t="shared" si="17"/>
        <v>0</v>
      </c>
      <c r="F44">
        <f t="shared" si="2"/>
        <v>1.6434526764861874</v>
      </c>
      <c r="G44">
        <v>0</v>
      </c>
      <c r="H44">
        <v>0</v>
      </c>
      <c r="I44" s="2">
        <v>0</v>
      </c>
      <c r="J44" s="2">
        <v>0</v>
      </c>
      <c r="K44">
        <f t="shared" si="4"/>
        <v>0</v>
      </c>
      <c r="R44">
        <f>(STDEV(R3:R42))/(SQRT(COUNT(R3:R42)))</f>
        <v>0.19572037376439474</v>
      </c>
      <c r="S44" t="e">
        <f>S</f>
        <v>#NAME?</v>
      </c>
      <c r="X44">
        <f>(STDEV(X3:X42))/(SQRT(COUNT(X3:X42)))</f>
        <v>0.11049212845551853</v>
      </c>
      <c r="AE44">
        <f>(STDEV(AE3:AE42))/(SQRT(COUNT(AE3:AE42)))</f>
        <v>0.23646996820348121</v>
      </c>
      <c r="AF44">
        <f>(STDEV(AF3:AF42))/(SQRT(COUNT(AF3:AF42)))</f>
        <v>0.23995846316008348</v>
      </c>
      <c r="AK44">
        <f>(STDEV(AK3:AK42))/(SQRT(COUNT(AK3:AK42)))</f>
        <v>5.2249533840202464E-2</v>
      </c>
      <c r="AN44" s="14">
        <v>1</v>
      </c>
      <c r="AO44" s="14">
        <f>AQ5</f>
        <v>0</v>
      </c>
      <c r="AP44" s="14">
        <f>AQ6</f>
        <v>0</v>
      </c>
      <c r="AQ44" s="14">
        <f>AQ7</f>
        <v>0.1505149978319906</v>
      </c>
      <c r="AR44" s="14">
        <f>AQ8</f>
        <v>0.67474250108400469</v>
      </c>
      <c r="AS44" s="14">
        <f>AQ9</f>
        <v>3.2041199826559246</v>
      </c>
      <c r="AT44" s="14">
        <v>1</v>
      </c>
      <c r="AU44" s="14">
        <f>AR5</f>
        <v>0</v>
      </c>
      <c r="AV44" s="14">
        <f>AR6</f>
        <v>0</v>
      </c>
      <c r="AW44" s="14">
        <f>AR7</f>
        <v>0</v>
      </c>
      <c r="AX44" s="14">
        <f>AR8</f>
        <v>0</v>
      </c>
      <c r="AY44" s="14">
        <f>AR9</f>
        <v>1.146128035678238</v>
      </c>
    </row>
    <row r="45" spans="1:51" x14ac:dyDescent="0.2">
      <c r="A45">
        <v>7</v>
      </c>
      <c r="B45" s="8">
        <v>23400</v>
      </c>
      <c r="C45" s="8">
        <v>6</v>
      </c>
      <c r="D45" s="8">
        <f t="shared" si="14"/>
        <v>4.3692158574101425</v>
      </c>
      <c r="E45" s="8">
        <f t="shared" si="15"/>
        <v>0.77815125038364363</v>
      </c>
      <c r="F45" s="8">
        <f t="shared" si="2"/>
        <v>3.5910646070264987</v>
      </c>
      <c r="G45" s="8">
        <v>5</v>
      </c>
      <c r="H45" s="8">
        <v>0</v>
      </c>
      <c r="I45" s="8">
        <f t="shared" si="3"/>
        <v>0.69897000433601886</v>
      </c>
      <c r="J45" s="13">
        <v>0</v>
      </c>
      <c r="K45" s="8">
        <f t="shared" si="4"/>
        <v>0.69897000433601886</v>
      </c>
      <c r="AN45" s="14">
        <v>2</v>
      </c>
      <c r="AO45" s="14">
        <f>AQ12</f>
        <v>0</v>
      </c>
      <c r="AP45" s="14">
        <f>AQ13</f>
        <v>0</v>
      </c>
      <c r="AQ45" s="14">
        <f>AQ14</f>
        <v>0</v>
      </c>
      <c r="AR45" s="14">
        <f>AQ15</f>
        <v>0.47712125471966244</v>
      </c>
      <c r="AS45" s="14">
        <f>AQ16</f>
        <v>2.1492191126553797</v>
      </c>
      <c r="AT45" s="14">
        <v>2</v>
      </c>
      <c r="AU45" s="14">
        <f>AR12</f>
        <v>0</v>
      </c>
      <c r="AV45" s="14">
        <f>AR13</f>
        <v>0</v>
      </c>
      <c r="AW45" s="14">
        <f>AR14</f>
        <v>0</v>
      </c>
      <c r="AX45" s="14">
        <f>AR15</f>
        <v>0</v>
      </c>
      <c r="AY45" s="14">
        <f>AR16</f>
        <v>1.5797835966168101</v>
      </c>
    </row>
    <row r="46" spans="1:51" x14ac:dyDescent="0.2">
      <c r="B46" s="8">
        <v>15400</v>
      </c>
      <c r="C46" s="8">
        <v>169</v>
      </c>
      <c r="D46" s="8">
        <f t="shared" si="14"/>
        <v>4.1875207208364627</v>
      </c>
      <c r="E46" s="8">
        <f t="shared" si="15"/>
        <v>2.2278867046136734</v>
      </c>
      <c r="F46" s="8">
        <f t="shared" si="2"/>
        <v>1.9596340162227892</v>
      </c>
      <c r="G46" s="8">
        <v>1</v>
      </c>
      <c r="H46" s="8">
        <v>0</v>
      </c>
      <c r="I46" s="8">
        <f t="shared" si="3"/>
        <v>0</v>
      </c>
      <c r="J46" s="13">
        <v>0</v>
      </c>
      <c r="K46" s="8">
        <f t="shared" si="4"/>
        <v>0</v>
      </c>
      <c r="AN46" s="14">
        <v>3</v>
      </c>
      <c r="AO46" s="14">
        <f>AQ19</f>
        <v>0</v>
      </c>
      <c r="AP46" s="14">
        <f>AQ20</f>
        <v>0</v>
      </c>
      <c r="AQ46" s="14">
        <f>AQ21</f>
        <v>0</v>
      </c>
      <c r="AR46" s="14">
        <f>AQ22</f>
        <v>0</v>
      </c>
      <c r="AS46" s="14">
        <f>AQ23</f>
        <v>2.3010299956639813</v>
      </c>
      <c r="AT46" s="14">
        <v>3</v>
      </c>
      <c r="AU46" s="14">
        <f>AR19</f>
        <v>0</v>
      </c>
      <c r="AV46" s="14">
        <f>AR20</f>
        <v>0</v>
      </c>
      <c r="AW46" s="14">
        <f>AR21</f>
        <v>0</v>
      </c>
      <c r="AX46" s="14">
        <f>AR22</f>
        <v>0</v>
      </c>
      <c r="AY46" s="14">
        <f>AR23</f>
        <v>2</v>
      </c>
    </row>
    <row r="47" spans="1:51" x14ac:dyDescent="0.2">
      <c r="B47" s="8">
        <v>62</v>
      </c>
      <c r="C47" s="8">
        <v>73</v>
      </c>
      <c r="D47" s="8">
        <f t="shared" si="14"/>
        <v>1.7923916894982539</v>
      </c>
      <c r="E47" s="8">
        <f t="shared" si="15"/>
        <v>1.8633228601204559</v>
      </c>
      <c r="F47" s="8">
        <f t="shared" si="2"/>
        <v>-7.0931170622202E-2</v>
      </c>
      <c r="G47" s="8">
        <v>3</v>
      </c>
      <c r="H47" s="8">
        <v>0</v>
      </c>
      <c r="I47" s="8">
        <f t="shared" si="3"/>
        <v>0.47712125471966244</v>
      </c>
      <c r="J47" s="13">
        <v>0</v>
      </c>
      <c r="K47" s="8">
        <f t="shared" si="4"/>
        <v>0.47712125471966244</v>
      </c>
      <c r="AN47" s="14">
        <v>4</v>
      </c>
      <c r="AO47" s="14">
        <f>AQ26</f>
        <v>0</v>
      </c>
      <c r="AP47" s="14">
        <f>AQ27</f>
        <v>0</v>
      </c>
      <c r="AQ47" s="14">
        <f>AQ28</f>
        <v>0</v>
      </c>
      <c r="AR47" s="14">
        <f>AQ29</f>
        <v>0.3010299956639812</v>
      </c>
      <c r="AS47" s="14">
        <f>AQ30</f>
        <v>1.3010299956639813</v>
      </c>
      <c r="AT47" s="14">
        <v>4</v>
      </c>
      <c r="AU47" s="14">
        <f>AR26</f>
        <v>0</v>
      </c>
      <c r="AV47" s="14">
        <f>AR27</f>
        <v>0</v>
      </c>
      <c r="AW47" s="14">
        <f>AR28</f>
        <v>0</v>
      </c>
      <c r="AX47" s="14">
        <f>AR29</f>
        <v>0</v>
      </c>
      <c r="AY47" s="14">
        <f>AR30</f>
        <v>0.47712125471966244</v>
      </c>
    </row>
    <row r="48" spans="1:51" x14ac:dyDescent="0.2">
      <c r="B48" s="8">
        <v>161</v>
      </c>
      <c r="C48" s="8">
        <v>78</v>
      </c>
      <c r="D48" s="8">
        <f t="shared" si="14"/>
        <v>2.2068258760318495</v>
      </c>
      <c r="E48" s="8">
        <f t="shared" si="15"/>
        <v>1.8920946026904804</v>
      </c>
      <c r="F48" s="8">
        <f t="shared" si="2"/>
        <v>0.31473127334136919</v>
      </c>
      <c r="G48" s="8">
        <v>0</v>
      </c>
      <c r="H48" s="8">
        <v>0</v>
      </c>
      <c r="I48" s="13">
        <v>0</v>
      </c>
      <c r="J48" s="13">
        <v>0</v>
      </c>
      <c r="K48" s="8">
        <f t="shared" si="4"/>
        <v>0</v>
      </c>
      <c r="M48" t="s">
        <v>104</v>
      </c>
      <c r="Z48" t="s">
        <v>106</v>
      </c>
    </row>
    <row r="49" spans="1:51" x14ac:dyDescent="0.2">
      <c r="B49" s="8">
        <v>73</v>
      </c>
      <c r="C49" s="8">
        <v>57</v>
      </c>
      <c r="D49" s="8">
        <f t="shared" si="14"/>
        <v>1.8633228601204559</v>
      </c>
      <c r="E49" s="8">
        <f t="shared" si="15"/>
        <v>1.7558748556724915</v>
      </c>
      <c r="F49" s="8">
        <f t="shared" si="2"/>
        <v>0.10744800444796443</v>
      </c>
      <c r="G49" s="8">
        <v>0</v>
      </c>
      <c r="H49" s="8">
        <v>0</v>
      </c>
      <c r="I49" s="13">
        <v>0</v>
      </c>
      <c r="J49" s="13">
        <v>0</v>
      </c>
      <c r="K49" s="8">
        <f t="shared" si="4"/>
        <v>0</v>
      </c>
      <c r="M49" t="s">
        <v>97</v>
      </c>
      <c r="N49" t="s">
        <v>91</v>
      </c>
      <c r="O49" t="s">
        <v>92</v>
      </c>
      <c r="P49" t="s">
        <v>99</v>
      </c>
      <c r="Q49" t="s">
        <v>100</v>
      </c>
      <c r="R49" t="s">
        <v>93</v>
      </c>
      <c r="S49" t="s">
        <v>132</v>
      </c>
      <c r="T49" t="s">
        <v>94</v>
      </c>
      <c r="U49" t="s">
        <v>95</v>
      </c>
      <c r="V49" t="s">
        <v>101</v>
      </c>
      <c r="W49" t="s">
        <v>102</v>
      </c>
      <c r="X49" t="s">
        <v>103</v>
      </c>
      <c r="Z49" t="s">
        <v>97</v>
      </c>
      <c r="AA49" t="s">
        <v>91</v>
      </c>
      <c r="AB49" t="s">
        <v>92</v>
      </c>
      <c r="AC49" t="s">
        <v>99</v>
      </c>
      <c r="AD49" t="s">
        <v>100</v>
      </c>
      <c r="AE49" t="s">
        <v>93</v>
      </c>
      <c r="AF49" s="2" t="s">
        <v>132</v>
      </c>
      <c r="AG49" t="s">
        <v>94</v>
      </c>
      <c r="AH49" t="s">
        <v>95</v>
      </c>
      <c r="AI49" t="s">
        <v>101</v>
      </c>
      <c r="AJ49" t="s">
        <v>102</v>
      </c>
      <c r="AK49" t="s">
        <v>103</v>
      </c>
      <c r="AN49" t="s">
        <v>116</v>
      </c>
    </row>
    <row r="50" spans="1:51" x14ac:dyDescent="0.2">
      <c r="B50" s="8">
        <v>125</v>
      </c>
      <c r="C50" s="8">
        <v>19</v>
      </c>
      <c r="D50" s="8">
        <f t="shared" si="14"/>
        <v>2.0969100130080562</v>
      </c>
      <c r="E50" s="8">
        <f t="shared" si="15"/>
        <v>1.2787536009528289</v>
      </c>
      <c r="F50" s="8">
        <f t="shared" si="2"/>
        <v>0.81815641205522738</v>
      </c>
      <c r="G50" s="8">
        <v>0</v>
      </c>
      <c r="H50" s="8">
        <v>0</v>
      </c>
      <c r="I50" s="13">
        <v>0</v>
      </c>
      <c r="J50" s="13">
        <v>0</v>
      </c>
      <c r="K50" s="8">
        <f t="shared" si="4"/>
        <v>0</v>
      </c>
      <c r="M50">
        <v>1</v>
      </c>
      <c r="N50">
        <v>23</v>
      </c>
      <c r="O50">
        <v>1</v>
      </c>
      <c r="P50">
        <f>LOG(N50)</f>
        <v>1.3617278360175928</v>
      </c>
      <c r="Q50">
        <f>LOG(O50)</f>
        <v>0</v>
      </c>
      <c r="R50">
        <f>P50-Q50</f>
        <v>1.3617278360175928</v>
      </c>
      <c r="S50" t="s">
        <v>131</v>
      </c>
      <c r="T50">
        <v>2</v>
      </c>
      <c r="U50">
        <v>0</v>
      </c>
      <c r="V50">
        <f>LOG(T50)</f>
        <v>0.3010299956639812</v>
      </c>
      <c r="W50" s="2">
        <v>0</v>
      </c>
      <c r="X50">
        <f>V50-W50</f>
        <v>0.3010299956639812</v>
      </c>
      <c r="Z50">
        <v>1</v>
      </c>
      <c r="AA50">
        <v>35</v>
      </c>
      <c r="AB50">
        <v>91</v>
      </c>
      <c r="AC50">
        <f>LOG(AA50)</f>
        <v>1.5440680443502757</v>
      </c>
      <c r="AD50">
        <f>LOG(AB50)</f>
        <v>1.9590413923210936</v>
      </c>
      <c r="AE50">
        <f>AC50-AD50</f>
        <v>-0.41497334797081797</v>
      </c>
      <c r="AF50">
        <f>AE50</f>
        <v>-0.41497334797081797</v>
      </c>
      <c r="AG50">
        <v>0</v>
      </c>
      <c r="AH50">
        <v>1</v>
      </c>
      <c r="AI50" s="2">
        <v>0</v>
      </c>
      <c r="AJ50">
        <f>LOG(AH50)</f>
        <v>0</v>
      </c>
      <c r="AK50">
        <f>AI50-AJ50</f>
        <v>0</v>
      </c>
      <c r="AN50" s="14" t="s">
        <v>117</v>
      </c>
      <c r="AO50" s="14" t="s">
        <v>119</v>
      </c>
      <c r="AP50" s="14" t="s">
        <v>120</v>
      </c>
      <c r="AQ50" s="14" t="s">
        <v>121</v>
      </c>
      <c r="AR50" s="14" t="s">
        <v>122</v>
      </c>
      <c r="AS50" s="14" t="s">
        <v>123</v>
      </c>
      <c r="AT50" s="14" t="s">
        <v>118</v>
      </c>
      <c r="AU50" s="14" t="s">
        <v>119</v>
      </c>
      <c r="AV50" s="14" t="s">
        <v>120</v>
      </c>
      <c r="AW50" s="14" t="s">
        <v>121</v>
      </c>
      <c r="AX50" s="14" t="s">
        <v>122</v>
      </c>
      <c r="AY50" s="14" t="s">
        <v>123</v>
      </c>
    </row>
    <row r="51" spans="1:51" x14ac:dyDescent="0.2">
      <c r="B51">
        <v>171</v>
      </c>
      <c r="C51">
        <v>17</v>
      </c>
      <c r="D51">
        <f t="shared" si="14"/>
        <v>2.2329961103921536</v>
      </c>
      <c r="E51">
        <f t="shared" si="15"/>
        <v>1.2304489213782739</v>
      </c>
      <c r="F51">
        <f t="shared" si="2"/>
        <v>1.0025471890138797</v>
      </c>
      <c r="G51">
        <v>0</v>
      </c>
      <c r="H51">
        <v>0</v>
      </c>
      <c r="I51" s="2">
        <v>0</v>
      </c>
      <c r="J51" s="2">
        <v>0</v>
      </c>
      <c r="K51">
        <f t="shared" si="4"/>
        <v>0</v>
      </c>
      <c r="N51">
        <v>1600</v>
      </c>
      <c r="O51">
        <v>132</v>
      </c>
      <c r="P51">
        <f>LOG(N51)</f>
        <v>3.2041199826559246</v>
      </c>
      <c r="Q51">
        <f>LOG(O51)</f>
        <v>2.12057393120585</v>
      </c>
      <c r="R51">
        <f>P51-Q51</f>
        <v>1.0835460514500745</v>
      </c>
      <c r="S51">
        <f>R51</f>
        <v>1.0835460514500745</v>
      </c>
      <c r="T51">
        <v>20</v>
      </c>
      <c r="U51">
        <v>2</v>
      </c>
      <c r="V51">
        <f>LOG(T51)</f>
        <v>1.3010299956639813</v>
      </c>
      <c r="W51">
        <f>LOG(U51)</f>
        <v>0.3010299956639812</v>
      </c>
      <c r="X51">
        <f>V51-W51</f>
        <v>1</v>
      </c>
      <c r="AN51" s="14">
        <v>1</v>
      </c>
      <c r="AO51" s="14">
        <f>AP36-AO36</f>
        <v>0.8820684442917609</v>
      </c>
      <c r="AP51" s="14">
        <f>AP36</f>
        <v>1.4841284356197233</v>
      </c>
      <c r="AQ51" s="14">
        <f>AQ36-AP36</f>
        <v>0.44931047154902615</v>
      </c>
      <c r="AR51" s="14">
        <f>AR36-AQ36</f>
        <v>0.47058374189651642</v>
      </c>
      <c r="AS51" s="14">
        <f>AS36-AR36</f>
        <v>1.9651932083448767</v>
      </c>
      <c r="AT51" s="14">
        <v>1</v>
      </c>
      <c r="AU51" s="14">
        <f>AV36-AU36</f>
        <v>0</v>
      </c>
      <c r="AV51" s="14">
        <f>AV36</f>
        <v>0</v>
      </c>
      <c r="AW51" s="14">
        <f>AW36-AV36</f>
        <v>0</v>
      </c>
      <c r="AX51" s="14">
        <f>AX36-AW36</f>
        <v>0.75835593887173747</v>
      </c>
      <c r="AY51" s="14">
        <f>AY36-AX36</f>
        <v>3.1554579135119791</v>
      </c>
    </row>
    <row r="52" spans="1:51" x14ac:dyDescent="0.2">
      <c r="A52">
        <v>8</v>
      </c>
      <c r="B52" s="8">
        <v>222</v>
      </c>
      <c r="C52" s="8">
        <v>0</v>
      </c>
      <c r="D52" s="8">
        <f t="shared" si="14"/>
        <v>2.3463529744506388</v>
      </c>
      <c r="E52" s="8">
        <f>LOG(1)</f>
        <v>0</v>
      </c>
      <c r="F52" s="8">
        <f t="shared" si="2"/>
        <v>2.3463529744506388</v>
      </c>
      <c r="G52" s="8">
        <v>22</v>
      </c>
      <c r="H52" s="8">
        <v>0</v>
      </c>
      <c r="I52" s="8">
        <f t="shared" si="3"/>
        <v>1.3424226808222062</v>
      </c>
      <c r="J52" s="13">
        <v>0</v>
      </c>
      <c r="K52" s="8">
        <f t="shared" si="4"/>
        <v>1.3424226808222062</v>
      </c>
      <c r="M52">
        <v>2</v>
      </c>
      <c r="N52">
        <v>46</v>
      </c>
      <c r="O52">
        <v>0</v>
      </c>
      <c r="P52">
        <f>LOG(N52)</f>
        <v>1.6627578316815741</v>
      </c>
      <c r="Q52">
        <f>LOG(1)</f>
        <v>0</v>
      </c>
      <c r="R52">
        <f>P52-Q52</f>
        <v>1.6627578316815741</v>
      </c>
      <c r="S52" t="s">
        <v>131</v>
      </c>
      <c r="T52">
        <v>0</v>
      </c>
      <c r="U52">
        <v>38</v>
      </c>
      <c r="V52" s="2">
        <v>0</v>
      </c>
      <c r="W52">
        <f>LOG(U52)</f>
        <v>1.5797835966168101</v>
      </c>
      <c r="X52">
        <f>V52-W52</f>
        <v>-1.5797835966168101</v>
      </c>
      <c r="Z52">
        <v>2</v>
      </c>
      <c r="AA52">
        <v>61</v>
      </c>
      <c r="AB52">
        <v>85</v>
      </c>
      <c r="AC52">
        <f>LOG(AA52)</f>
        <v>1.7853298350107671</v>
      </c>
      <c r="AD52">
        <f>LOG(AB52)</f>
        <v>1.9294189257142926</v>
      </c>
      <c r="AE52">
        <f>AC52-AD52</f>
        <v>-0.14408909070352549</v>
      </c>
      <c r="AF52">
        <f>AE52</f>
        <v>-0.14408909070352549</v>
      </c>
      <c r="AG52">
        <v>0</v>
      </c>
      <c r="AH52">
        <v>1</v>
      </c>
      <c r="AI52" s="2">
        <v>0</v>
      </c>
      <c r="AJ52">
        <f>LOG(AH52)</f>
        <v>0</v>
      </c>
      <c r="AK52">
        <f>AI52-AJ52</f>
        <v>0</v>
      </c>
      <c r="AN52" s="14">
        <v>2</v>
      </c>
      <c r="AO52" s="14">
        <f>AP37-AO37</f>
        <v>1.3617278360175928</v>
      </c>
      <c r="AP52" s="14">
        <f>AP37</f>
        <v>1.3617278360175928</v>
      </c>
      <c r="AQ52" s="14">
        <f t="shared" ref="AQ52:AS54" si="18">AQ37-AP37</f>
        <v>0.48337020399666408</v>
      </c>
      <c r="AR52" s="14">
        <f t="shared" si="18"/>
        <v>0.55973567660568113</v>
      </c>
      <c r="AS52" s="14">
        <f t="shared" si="18"/>
        <v>2.0722875380997245</v>
      </c>
      <c r="AT52" s="14">
        <v>2</v>
      </c>
      <c r="AU52" s="14">
        <f>AV37-AU37</f>
        <v>0</v>
      </c>
      <c r="AV52" s="14">
        <f>AV37</f>
        <v>0</v>
      </c>
      <c r="AW52" s="14">
        <f t="shared" ref="AW52:AY54" si="19">AW37-AV37</f>
        <v>0</v>
      </c>
      <c r="AX52" s="14">
        <f t="shared" si="19"/>
        <v>1.8633228601204559</v>
      </c>
      <c r="AY52" s="14">
        <f t="shared" si="19"/>
        <v>1.7494609965992796</v>
      </c>
    </row>
    <row r="53" spans="1:51" x14ac:dyDescent="0.2">
      <c r="B53" s="8">
        <v>2700</v>
      </c>
      <c r="C53" s="8">
        <v>56</v>
      </c>
      <c r="D53" s="8">
        <f t="shared" si="14"/>
        <v>3.4313637641589874</v>
      </c>
      <c r="E53" s="8">
        <f t="shared" si="15"/>
        <v>1.7481880270062005</v>
      </c>
      <c r="F53" s="8">
        <f t="shared" si="2"/>
        <v>1.6831757371527869</v>
      </c>
      <c r="G53" s="8">
        <v>0</v>
      </c>
      <c r="H53" s="8">
        <v>0</v>
      </c>
      <c r="I53" s="13">
        <v>0</v>
      </c>
      <c r="J53" s="13">
        <v>0</v>
      </c>
      <c r="K53" s="8">
        <f t="shared" si="4"/>
        <v>0</v>
      </c>
      <c r="N53">
        <v>5</v>
      </c>
      <c r="O53">
        <v>2100</v>
      </c>
      <c r="P53">
        <f>LOG(N53)</f>
        <v>0.69897000433601886</v>
      </c>
      <c r="Q53">
        <f>LOG(O53)</f>
        <v>3.3222192947339191</v>
      </c>
      <c r="R53">
        <f>P53-Q53</f>
        <v>-2.6232492903979003</v>
      </c>
      <c r="S53">
        <f>R53</f>
        <v>-2.6232492903979003</v>
      </c>
      <c r="T53">
        <v>0</v>
      </c>
      <c r="U53">
        <v>0</v>
      </c>
      <c r="V53" s="2">
        <v>0</v>
      </c>
      <c r="W53" s="2">
        <v>0</v>
      </c>
      <c r="X53">
        <f>V53-W53</f>
        <v>0</v>
      </c>
      <c r="AA53">
        <v>43</v>
      </c>
      <c r="AB53">
        <v>4500</v>
      </c>
      <c r="AC53">
        <f>LOG(AA53)</f>
        <v>1.6334684555795864</v>
      </c>
      <c r="AD53">
        <f>LOG(AB53)</f>
        <v>3.6532125137753435</v>
      </c>
      <c r="AE53">
        <f>AC53-AD53</f>
        <v>-2.0197440581957569</v>
      </c>
      <c r="AF53">
        <f>AE53</f>
        <v>-2.0197440581957569</v>
      </c>
      <c r="AG53">
        <v>1</v>
      </c>
      <c r="AH53">
        <v>0</v>
      </c>
      <c r="AI53">
        <f>LOG(AG53)</f>
        <v>0</v>
      </c>
      <c r="AJ53" s="2">
        <v>0</v>
      </c>
      <c r="AK53">
        <f>AI53-AJ53</f>
        <v>0</v>
      </c>
      <c r="AN53" s="14">
        <v>3</v>
      </c>
      <c r="AO53" s="14">
        <f>AP38-AO38</f>
        <v>1.4623979978989561</v>
      </c>
      <c r="AP53" s="14">
        <f>AP38</f>
        <v>1.4623979978989561</v>
      </c>
      <c r="AQ53" s="14">
        <f t="shared" si="18"/>
        <v>0.39189742467621569</v>
      </c>
      <c r="AR53" s="14">
        <f t="shared" si="18"/>
        <v>0.21850282325255499</v>
      </c>
      <c r="AS53" s="14">
        <f t="shared" si="18"/>
        <v>1.5706544306584607</v>
      </c>
      <c r="AT53" s="14">
        <v>3</v>
      </c>
      <c r="AU53" s="14">
        <f>AV38-AU38</f>
        <v>0</v>
      </c>
      <c r="AV53" s="14">
        <f>AV38</f>
        <v>0</v>
      </c>
      <c r="AW53" s="14">
        <f t="shared" si="19"/>
        <v>0.3010299956639812</v>
      </c>
      <c r="AX53" s="14">
        <f t="shared" si="19"/>
        <v>1.3850070920153221</v>
      </c>
      <c r="AY53" s="14">
        <f t="shared" si="19"/>
        <v>2.791084167040359</v>
      </c>
    </row>
    <row r="54" spans="1:51" x14ac:dyDescent="0.2">
      <c r="B54" s="8">
        <v>254</v>
      </c>
      <c r="C54" s="8">
        <v>2700</v>
      </c>
      <c r="D54" s="8">
        <f t="shared" si="14"/>
        <v>2.4048337166199381</v>
      </c>
      <c r="E54" s="8">
        <f t="shared" si="15"/>
        <v>3.4313637641589874</v>
      </c>
      <c r="F54" s="8">
        <f t="shared" si="2"/>
        <v>-1.0265300475390493</v>
      </c>
      <c r="G54" s="8">
        <v>0</v>
      </c>
      <c r="H54" s="8">
        <v>3</v>
      </c>
      <c r="I54" s="13">
        <v>0</v>
      </c>
      <c r="J54" s="8">
        <f>LOG(H54)</f>
        <v>0.47712125471966244</v>
      </c>
      <c r="K54" s="8">
        <f t="shared" si="4"/>
        <v>-0.47712125471966244</v>
      </c>
      <c r="M54">
        <v>3</v>
      </c>
      <c r="N54">
        <v>30000</v>
      </c>
      <c r="O54">
        <v>0</v>
      </c>
      <c r="P54">
        <f>LOG(N54)</f>
        <v>4.4771212547196626</v>
      </c>
      <c r="Q54">
        <f>LOG(1)</f>
        <v>0</v>
      </c>
      <c r="R54">
        <f>P54-Q54</f>
        <v>4.4771212547196626</v>
      </c>
      <c r="S54" t="s">
        <v>131</v>
      </c>
      <c r="T54">
        <v>86</v>
      </c>
      <c r="U54">
        <v>0</v>
      </c>
      <c r="V54">
        <f>LOG(T54)</f>
        <v>1.9344984512435677</v>
      </c>
      <c r="W54" s="2">
        <v>0</v>
      </c>
      <c r="X54">
        <f>V54-W54</f>
        <v>1.9344984512435677</v>
      </c>
      <c r="Z54">
        <v>3</v>
      </c>
      <c r="AA54">
        <v>25900</v>
      </c>
      <c r="AB54">
        <v>0</v>
      </c>
      <c r="AC54">
        <f>LOG(AA54)</f>
        <v>4.4132997640812519</v>
      </c>
      <c r="AD54">
        <f>LOG(1)</f>
        <v>0</v>
      </c>
      <c r="AE54">
        <f>AC54-AD54</f>
        <v>4.4132997640812519</v>
      </c>
      <c r="AF54" t="s">
        <v>131</v>
      </c>
      <c r="AG54">
        <v>20</v>
      </c>
      <c r="AH54">
        <v>0</v>
      </c>
      <c r="AI54">
        <f>LOG(AG54)</f>
        <v>1.3010299956639813</v>
      </c>
      <c r="AJ54" s="2">
        <v>0</v>
      </c>
      <c r="AK54">
        <f>AI54-AJ54</f>
        <v>1.3010299956639813</v>
      </c>
      <c r="AN54" s="14">
        <v>4</v>
      </c>
      <c r="AO54" s="14">
        <f>AP39-AO39</f>
        <v>0.60205999132796229</v>
      </c>
      <c r="AP54" s="14">
        <f>AP39</f>
        <v>1.3802112417116059</v>
      </c>
      <c r="AQ54" s="14">
        <f t="shared" si="18"/>
        <v>0.40511859329916122</v>
      </c>
      <c r="AR54" s="14">
        <f t="shared" si="18"/>
        <v>0.46018283280338279</v>
      </c>
      <c r="AS54" s="14">
        <f t="shared" si="18"/>
        <v>2.2316085869055127</v>
      </c>
      <c r="AT54" s="14">
        <v>4</v>
      </c>
      <c r="AU54" s="14">
        <f>AV39-AU39</f>
        <v>0</v>
      </c>
      <c r="AV54" s="14">
        <f>AV39</f>
        <v>0</v>
      </c>
      <c r="AW54" s="14">
        <f t="shared" si="19"/>
        <v>0</v>
      </c>
      <c r="AX54" s="14">
        <f t="shared" si="19"/>
        <v>1.1760912590556813</v>
      </c>
      <c r="AY54" s="14">
        <f t="shared" si="19"/>
        <v>2.4771212547196622</v>
      </c>
    </row>
    <row r="55" spans="1:51" x14ac:dyDescent="0.2">
      <c r="B55" s="8">
        <v>4300</v>
      </c>
      <c r="C55" s="8">
        <v>159</v>
      </c>
      <c r="D55" s="8">
        <f t="shared" si="14"/>
        <v>3.6334684555795866</v>
      </c>
      <c r="E55" s="8">
        <f t="shared" si="15"/>
        <v>2.2013971243204513</v>
      </c>
      <c r="F55" s="8">
        <f t="shared" si="2"/>
        <v>1.4320713312591353</v>
      </c>
      <c r="G55" s="8">
        <v>0</v>
      </c>
      <c r="H55" s="8">
        <v>0</v>
      </c>
      <c r="I55" s="13">
        <v>0</v>
      </c>
      <c r="J55" s="13">
        <v>0</v>
      </c>
      <c r="K55" s="8">
        <f t="shared" si="4"/>
        <v>0</v>
      </c>
      <c r="M55" s="12"/>
      <c r="Z55" s="12"/>
    </row>
    <row r="56" spans="1:51" x14ac:dyDescent="0.2">
      <c r="B56" s="8">
        <v>2000</v>
      </c>
      <c r="C56" s="8">
        <v>0</v>
      </c>
      <c r="D56" s="8">
        <f t="shared" si="14"/>
        <v>3.3010299956639813</v>
      </c>
      <c r="E56" s="8">
        <f>LOG(1)</f>
        <v>0</v>
      </c>
      <c r="F56" s="8">
        <f t="shared" si="2"/>
        <v>3.3010299956639813</v>
      </c>
      <c r="G56" s="8">
        <v>0</v>
      </c>
      <c r="H56" s="8">
        <v>0</v>
      </c>
      <c r="I56" s="13">
        <v>0</v>
      </c>
      <c r="J56" s="13">
        <v>0</v>
      </c>
      <c r="K56" s="8">
        <f t="shared" si="4"/>
        <v>0</v>
      </c>
      <c r="M56">
        <v>4</v>
      </c>
      <c r="N56">
        <v>29</v>
      </c>
      <c r="O56">
        <v>30</v>
      </c>
      <c r="P56">
        <f t="shared" ref="P56:Q59" si="20">LOG(N56)</f>
        <v>1.4623979978989561</v>
      </c>
      <c r="Q56">
        <f t="shared" si="20"/>
        <v>1.4771212547196624</v>
      </c>
      <c r="R56">
        <f t="shared" ref="R56:R72" si="21">P56-Q56</f>
        <v>-1.4723256820706299E-2</v>
      </c>
      <c r="S56">
        <f>R56</f>
        <v>-1.4723256820706299E-2</v>
      </c>
      <c r="T56">
        <v>0</v>
      </c>
      <c r="U56">
        <v>0</v>
      </c>
      <c r="V56" s="2">
        <v>0</v>
      </c>
      <c r="W56" s="2">
        <v>0</v>
      </c>
      <c r="X56">
        <f t="shared" ref="X56:X89" si="22">V56-W56</f>
        <v>0</v>
      </c>
      <c r="Z56">
        <v>4</v>
      </c>
      <c r="AA56">
        <v>3700</v>
      </c>
      <c r="AB56">
        <v>99</v>
      </c>
      <c r="AC56">
        <f>LOG(AA56)</f>
        <v>3.568201724066995</v>
      </c>
      <c r="AD56">
        <f>LOG(AB56)</f>
        <v>1.9956351945975499</v>
      </c>
      <c r="AE56">
        <f t="shared" ref="AE56:AE62" si="23">AC56-AD56</f>
        <v>1.5725665294694451</v>
      </c>
      <c r="AF56">
        <f>AE56</f>
        <v>1.5725665294694451</v>
      </c>
      <c r="AG56">
        <v>4</v>
      </c>
      <c r="AH56">
        <v>0</v>
      </c>
      <c r="AI56">
        <f>LOG(AG56)</f>
        <v>0.6020599913279624</v>
      </c>
      <c r="AJ56" s="2">
        <v>0</v>
      </c>
      <c r="AK56">
        <f t="shared" ref="AK56:AK62" si="24">AI56-AJ56</f>
        <v>0.6020599913279624</v>
      </c>
    </row>
    <row r="57" spans="1:51" x14ac:dyDescent="0.2">
      <c r="B57" s="8">
        <v>52</v>
      </c>
      <c r="C57" s="8">
        <v>0</v>
      </c>
      <c r="D57" s="8">
        <f t="shared" si="14"/>
        <v>1.7160033436347992</v>
      </c>
      <c r="E57" s="8">
        <f>LOG(1)</f>
        <v>0</v>
      </c>
      <c r="F57" s="8">
        <f t="shared" si="2"/>
        <v>1.7160033436347992</v>
      </c>
      <c r="G57" s="8">
        <v>1</v>
      </c>
      <c r="H57" s="8">
        <v>0</v>
      </c>
      <c r="I57" s="8">
        <f t="shared" si="3"/>
        <v>0</v>
      </c>
      <c r="J57" s="13">
        <v>0</v>
      </c>
      <c r="K57" s="8">
        <f t="shared" si="4"/>
        <v>0</v>
      </c>
      <c r="N57">
        <v>8100</v>
      </c>
      <c r="O57">
        <v>62</v>
      </c>
      <c r="P57">
        <f t="shared" si="20"/>
        <v>3.90848501887865</v>
      </c>
      <c r="Q57">
        <f t="shared" si="20"/>
        <v>1.7923916894982539</v>
      </c>
      <c r="R57">
        <f t="shared" si="21"/>
        <v>2.1160933293803961</v>
      </c>
      <c r="S57">
        <f>R57</f>
        <v>2.1160933293803961</v>
      </c>
      <c r="T57">
        <v>3</v>
      </c>
      <c r="U57">
        <v>0</v>
      </c>
      <c r="V57">
        <f>LOG(T57)</f>
        <v>0.47712125471966244</v>
      </c>
      <c r="W57" s="2">
        <v>0</v>
      </c>
      <c r="X57">
        <f t="shared" si="22"/>
        <v>0.47712125471966244</v>
      </c>
      <c r="AA57">
        <v>108</v>
      </c>
      <c r="AB57">
        <v>0</v>
      </c>
      <c r="AC57">
        <f t="shared" ref="AC57:AC62" si="25">LOG(AA57)</f>
        <v>2.0334237554869499</v>
      </c>
      <c r="AD57">
        <f>LOG(1)</f>
        <v>0</v>
      </c>
      <c r="AE57">
        <f t="shared" si="23"/>
        <v>2.0334237554869499</v>
      </c>
      <c r="AF57" t="s">
        <v>131</v>
      </c>
      <c r="AG57">
        <v>1</v>
      </c>
      <c r="AH57">
        <v>0</v>
      </c>
      <c r="AI57">
        <f>LOG(AG57)</f>
        <v>0</v>
      </c>
      <c r="AJ57" s="2">
        <v>0</v>
      </c>
      <c r="AK57">
        <f t="shared" si="24"/>
        <v>0</v>
      </c>
      <c r="AN57" t="s">
        <v>2</v>
      </c>
    </row>
    <row r="58" spans="1:51" x14ac:dyDescent="0.2">
      <c r="B58">
        <v>203</v>
      </c>
      <c r="C58">
        <v>0</v>
      </c>
      <c r="D58">
        <f t="shared" si="14"/>
        <v>2.307496037913213</v>
      </c>
      <c r="E58">
        <f>LOG(1)</f>
        <v>0</v>
      </c>
      <c r="F58">
        <f t="shared" si="2"/>
        <v>2.307496037913213</v>
      </c>
      <c r="G58">
        <v>0</v>
      </c>
      <c r="H58">
        <v>0</v>
      </c>
      <c r="I58" s="2">
        <v>0</v>
      </c>
      <c r="J58" s="2">
        <v>0</v>
      </c>
      <c r="K58">
        <f t="shared" si="4"/>
        <v>0</v>
      </c>
      <c r="M58">
        <v>5</v>
      </c>
      <c r="N58">
        <v>10800</v>
      </c>
      <c r="O58">
        <v>4100</v>
      </c>
      <c r="P58">
        <f t="shared" si="20"/>
        <v>4.0334237554869494</v>
      </c>
      <c r="Q58">
        <f t="shared" si="20"/>
        <v>3.6127838567197355</v>
      </c>
      <c r="R58">
        <f t="shared" si="21"/>
        <v>0.42063989876721397</v>
      </c>
      <c r="S58">
        <f>R58</f>
        <v>0.42063989876721397</v>
      </c>
      <c r="T58">
        <v>0</v>
      </c>
      <c r="U58">
        <v>0</v>
      </c>
      <c r="V58" s="2">
        <v>0</v>
      </c>
      <c r="W58" s="2">
        <v>0</v>
      </c>
      <c r="X58">
        <f t="shared" si="22"/>
        <v>0</v>
      </c>
      <c r="Z58">
        <v>5</v>
      </c>
      <c r="AA58">
        <v>79</v>
      </c>
      <c r="AB58">
        <v>1000</v>
      </c>
      <c r="AC58">
        <f t="shared" si="25"/>
        <v>1.8976270912904414</v>
      </c>
      <c r="AD58">
        <f>LOG(AB58)</f>
        <v>3</v>
      </c>
      <c r="AE58">
        <f t="shared" si="23"/>
        <v>-1.1023729087095586</v>
      </c>
      <c r="AF58">
        <f>AE58</f>
        <v>-1.1023729087095586</v>
      </c>
      <c r="AG58">
        <v>4</v>
      </c>
      <c r="AH58">
        <v>3</v>
      </c>
      <c r="AI58">
        <f>LOG(AG58)</f>
        <v>0.6020599913279624</v>
      </c>
      <c r="AJ58">
        <f>LOG(AH58)</f>
        <v>0.47712125471966244</v>
      </c>
      <c r="AK58">
        <f t="shared" si="24"/>
        <v>0.12493873660829996</v>
      </c>
      <c r="AN58" s="14" t="s">
        <v>117</v>
      </c>
      <c r="AO58" s="14" t="s">
        <v>119</v>
      </c>
      <c r="AP58" s="14" t="s">
        <v>120</v>
      </c>
      <c r="AQ58" s="14" t="s">
        <v>121</v>
      </c>
      <c r="AR58" s="14" t="s">
        <v>122</v>
      </c>
      <c r="AS58" s="14" t="s">
        <v>123</v>
      </c>
      <c r="AT58" s="14" t="s">
        <v>118</v>
      </c>
      <c r="AU58" s="14" t="s">
        <v>119</v>
      </c>
      <c r="AV58" s="14" t="s">
        <v>120</v>
      </c>
      <c r="AW58" s="14" t="s">
        <v>121</v>
      </c>
      <c r="AX58" s="14" t="s">
        <v>122</v>
      </c>
      <c r="AY58" s="14" t="s">
        <v>123</v>
      </c>
    </row>
    <row r="59" spans="1:51" x14ac:dyDescent="0.2">
      <c r="A59">
        <v>9</v>
      </c>
      <c r="B59" s="8">
        <v>10</v>
      </c>
      <c r="C59" s="8">
        <v>0</v>
      </c>
      <c r="D59" s="8">
        <f t="shared" si="14"/>
        <v>1</v>
      </c>
      <c r="E59" s="13">
        <v>0</v>
      </c>
      <c r="F59" s="8">
        <f t="shared" si="2"/>
        <v>1</v>
      </c>
      <c r="G59" s="8">
        <v>4</v>
      </c>
      <c r="H59" s="8">
        <v>0</v>
      </c>
      <c r="I59" s="8">
        <f t="shared" si="3"/>
        <v>0.6020599913279624</v>
      </c>
      <c r="J59" s="13">
        <v>0</v>
      </c>
      <c r="K59" s="8">
        <f t="shared" si="4"/>
        <v>0.6020599913279624</v>
      </c>
      <c r="N59">
        <v>218</v>
      </c>
      <c r="O59">
        <v>56</v>
      </c>
      <c r="P59">
        <f t="shared" si="20"/>
        <v>2.3384564936046046</v>
      </c>
      <c r="Q59">
        <f t="shared" si="20"/>
        <v>1.7481880270062005</v>
      </c>
      <c r="R59">
        <f t="shared" si="21"/>
        <v>0.59026846659840415</v>
      </c>
      <c r="S59">
        <f>R59</f>
        <v>0.59026846659840415</v>
      </c>
      <c r="T59">
        <v>4</v>
      </c>
      <c r="U59">
        <v>1</v>
      </c>
      <c r="V59">
        <f>LOG(T59)</f>
        <v>0.6020599913279624</v>
      </c>
      <c r="W59">
        <f>LOG(U59)</f>
        <v>0</v>
      </c>
      <c r="X59">
        <f t="shared" si="22"/>
        <v>0.6020599913279624</v>
      </c>
      <c r="AA59">
        <v>106</v>
      </c>
      <c r="AB59">
        <v>17</v>
      </c>
      <c r="AC59">
        <f t="shared" si="25"/>
        <v>2.0253058652647704</v>
      </c>
      <c r="AD59">
        <f>LOG(AB59)</f>
        <v>1.2304489213782739</v>
      </c>
      <c r="AE59">
        <f t="shared" si="23"/>
        <v>0.79485694388649653</v>
      </c>
      <c r="AF59">
        <f>AE59</f>
        <v>0.79485694388649653</v>
      </c>
      <c r="AG59">
        <v>1</v>
      </c>
      <c r="AH59">
        <v>1</v>
      </c>
      <c r="AI59">
        <f>LOG(AG59)</f>
        <v>0</v>
      </c>
      <c r="AJ59">
        <f>LOG(AH59)</f>
        <v>0</v>
      </c>
      <c r="AK59">
        <f t="shared" si="24"/>
        <v>0</v>
      </c>
      <c r="AN59" s="14">
        <v>1</v>
      </c>
      <c r="AO59" s="14">
        <f>AP44-AO44</f>
        <v>0</v>
      </c>
      <c r="AP59" s="14">
        <f>AP44</f>
        <v>0</v>
      </c>
      <c r="AQ59" s="14">
        <f>AQ44-AP44</f>
        <v>0.1505149978319906</v>
      </c>
      <c r="AR59" s="14">
        <f>AR44-AQ44</f>
        <v>0.52422750325201406</v>
      </c>
      <c r="AS59" s="14">
        <f>AS44-AR44</f>
        <v>2.5293774815719199</v>
      </c>
      <c r="AT59" s="14">
        <v>1</v>
      </c>
      <c r="AU59" s="14">
        <f>AV44-AU44</f>
        <v>0</v>
      </c>
      <c r="AV59" s="14">
        <f>AV44</f>
        <v>0</v>
      </c>
      <c r="AW59" s="14">
        <f t="shared" ref="AW59:AY62" si="26">AW44-AV44</f>
        <v>0</v>
      </c>
      <c r="AX59" s="14">
        <f t="shared" si="26"/>
        <v>0</v>
      </c>
      <c r="AY59" s="14">
        <f t="shared" si="26"/>
        <v>1.146128035678238</v>
      </c>
    </row>
    <row r="60" spans="1:51" x14ac:dyDescent="0.2">
      <c r="B60" s="8">
        <v>14</v>
      </c>
      <c r="C60" s="8">
        <v>0</v>
      </c>
      <c r="D60" s="8">
        <f t="shared" si="14"/>
        <v>1.146128035678238</v>
      </c>
      <c r="E60" s="13">
        <v>0</v>
      </c>
      <c r="F60" s="8">
        <f t="shared" si="2"/>
        <v>1.146128035678238</v>
      </c>
      <c r="G60" s="8">
        <v>2</v>
      </c>
      <c r="H60" s="8">
        <v>0</v>
      </c>
      <c r="I60" s="8">
        <f t="shared" si="3"/>
        <v>0.3010299956639812</v>
      </c>
      <c r="J60" s="13">
        <v>0</v>
      </c>
      <c r="K60" s="8">
        <f t="shared" si="4"/>
        <v>0.3010299956639812</v>
      </c>
      <c r="M60">
        <v>6</v>
      </c>
      <c r="N60">
        <v>70</v>
      </c>
      <c r="O60">
        <v>0</v>
      </c>
      <c r="P60">
        <f t="shared" ref="P60:P67" si="27">LOG(N60)</f>
        <v>1.8450980400142569</v>
      </c>
      <c r="Q60">
        <f>LOG(1)</f>
        <v>0</v>
      </c>
      <c r="R60">
        <f t="shared" si="21"/>
        <v>1.8450980400142569</v>
      </c>
      <c r="S60" t="s">
        <v>131</v>
      </c>
      <c r="T60">
        <v>5</v>
      </c>
      <c r="U60">
        <v>0</v>
      </c>
      <c r="V60">
        <f>LOG(T60)</f>
        <v>0.69897000433601886</v>
      </c>
      <c r="W60" s="2">
        <v>0</v>
      </c>
      <c r="X60">
        <f t="shared" si="22"/>
        <v>0.69897000433601886</v>
      </c>
      <c r="Z60">
        <v>6</v>
      </c>
      <c r="AA60">
        <v>19</v>
      </c>
      <c r="AB60">
        <v>0</v>
      </c>
      <c r="AC60">
        <f t="shared" si="25"/>
        <v>1.2787536009528289</v>
      </c>
      <c r="AD60">
        <f>LOG(1)</f>
        <v>0</v>
      </c>
      <c r="AE60">
        <f t="shared" si="23"/>
        <v>1.2787536009528289</v>
      </c>
      <c r="AF60" t="s">
        <v>131</v>
      </c>
      <c r="AG60">
        <v>0</v>
      </c>
      <c r="AH60">
        <v>0</v>
      </c>
      <c r="AI60" s="2">
        <v>0</v>
      </c>
      <c r="AJ60" s="2">
        <v>0</v>
      </c>
      <c r="AK60">
        <f t="shared" si="24"/>
        <v>0</v>
      </c>
      <c r="AN60" s="14">
        <v>2</v>
      </c>
      <c r="AO60" s="14">
        <f>AP45-AO45</f>
        <v>0</v>
      </c>
      <c r="AP60" s="14">
        <f>AP45</f>
        <v>0</v>
      </c>
      <c r="AQ60" s="14">
        <f t="shared" ref="AQ60:AQ62" si="28">AQ45-AP45</f>
        <v>0</v>
      </c>
      <c r="AR60" s="14">
        <f t="shared" ref="AR60:AS62" si="29">AR45-AQ45</f>
        <v>0.47712125471966244</v>
      </c>
      <c r="AS60" s="14">
        <f t="shared" si="29"/>
        <v>1.6720978579357173</v>
      </c>
      <c r="AT60" s="14">
        <v>2</v>
      </c>
      <c r="AU60" s="14">
        <f>AV45-AU45</f>
        <v>0</v>
      </c>
      <c r="AV60" s="14">
        <f>AV45</f>
        <v>0</v>
      </c>
      <c r="AW60" s="14">
        <f t="shared" si="26"/>
        <v>0</v>
      </c>
      <c r="AX60" s="14">
        <f t="shared" si="26"/>
        <v>0</v>
      </c>
      <c r="AY60" s="14">
        <f t="shared" si="26"/>
        <v>1.5797835966168101</v>
      </c>
    </row>
    <row r="61" spans="1:51" x14ac:dyDescent="0.2">
      <c r="B61" s="8">
        <v>2</v>
      </c>
      <c r="C61" s="8">
        <v>0</v>
      </c>
      <c r="D61" s="8">
        <f t="shared" si="14"/>
        <v>0.3010299956639812</v>
      </c>
      <c r="E61" s="13">
        <v>0</v>
      </c>
      <c r="F61" s="8">
        <f t="shared" si="2"/>
        <v>0.3010299956639812</v>
      </c>
      <c r="G61" s="8">
        <v>1</v>
      </c>
      <c r="H61" s="8">
        <v>0</v>
      </c>
      <c r="I61" s="8">
        <f t="shared" si="3"/>
        <v>0</v>
      </c>
      <c r="J61" s="13">
        <v>0</v>
      </c>
      <c r="K61" s="8">
        <f t="shared" si="4"/>
        <v>0</v>
      </c>
      <c r="N61">
        <v>33</v>
      </c>
      <c r="O61">
        <v>0</v>
      </c>
      <c r="P61">
        <f t="shared" si="27"/>
        <v>1.5185139398778875</v>
      </c>
      <c r="Q61">
        <f>LOG(1)</f>
        <v>0</v>
      </c>
      <c r="R61">
        <f t="shared" si="21"/>
        <v>1.5185139398778875</v>
      </c>
      <c r="S61" t="s">
        <v>131</v>
      </c>
      <c r="T61">
        <v>0</v>
      </c>
      <c r="U61">
        <v>0</v>
      </c>
      <c r="V61" s="2">
        <v>0</v>
      </c>
      <c r="W61" s="2">
        <v>0</v>
      </c>
      <c r="X61">
        <f t="shared" si="22"/>
        <v>0</v>
      </c>
      <c r="AA61">
        <v>44</v>
      </c>
      <c r="AB61">
        <v>0</v>
      </c>
      <c r="AC61">
        <f t="shared" si="25"/>
        <v>1.6434526764861874</v>
      </c>
      <c r="AD61">
        <f>LOG(1)</f>
        <v>0</v>
      </c>
      <c r="AE61">
        <f t="shared" si="23"/>
        <v>1.6434526764861874</v>
      </c>
      <c r="AF61" t="s">
        <v>131</v>
      </c>
      <c r="AG61">
        <v>0</v>
      </c>
      <c r="AH61">
        <v>0</v>
      </c>
      <c r="AI61" s="2">
        <v>0</v>
      </c>
      <c r="AJ61" s="2">
        <v>0</v>
      </c>
      <c r="AK61">
        <f t="shared" si="24"/>
        <v>0</v>
      </c>
      <c r="AN61" s="14">
        <v>3</v>
      </c>
      <c r="AO61" s="14">
        <f>AP46-AO46</f>
        <v>0</v>
      </c>
      <c r="AP61" s="14">
        <f>AP46</f>
        <v>0</v>
      </c>
      <c r="AQ61" s="14">
        <f t="shared" si="28"/>
        <v>0</v>
      </c>
      <c r="AR61" s="14">
        <f t="shared" si="29"/>
        <v>0</v>
      </c>
      <c r="AS61" s="14">
        <f t="shared" si="29"/>
        <v>2.3010299956639813</v>
      </c>
      <c r="AT61" s="14">
        <v>3</v>
      </c>
      <c r="AU61" s="14">
        <f>AV46-AU46</f>
        <v>0</v>
      </c>
      <c r="AV61" s="14">
        <f>AV46</f>
        <v>0</v>
      </c>
      <c r="AW61" s="14">
        <f t="shared" si="26"/>
        <v>0</v>
      </c>
      <c r="AX61" s="14">
        <f t="shared" si="26"/>
        <v>0</v>
      </c>
      <c r="AY61" s="14">
        <f t="shared" si="26"/>
        <v>2</v>
      </c>
    </row>
    <row r="62" spans="1:51" x14ac:dyDescent="0.2">
      <c r="B62" s="8">
        <v>191</v>
      </c>
      <c r="C62" s="8">
        <v>0</v>
      </c>
      <c r="D62" s="8">
        <f t="shared" si="14"/>
        <v>2.2810333672477277</v>
      </c>
      <c r="E62" s="13">
        <v>0</v>
      </c>
      <c r="F62" s="8">
        <f t="shared" si="2"/>
        <v>2.2810333672477277</v>
      </c>
      <c r="G62" s="8">
        <v>0</v>
      </c>
      <c r="H62" s="8">
        <v>0</v>
      </c>
      <c r="I62" s="13">
        <v>0</v>
      </c>
      <c r="J62" s="13">
        <v>0</v>
      </c>
      <c r="K62" s="8">
        <f t="shared" si="4"/>
        <v>0</v>
      </c>
      <c r="M62">
        <v>7</v>
      </c>
      <c r="N62">
        <v>62</v>
      </c>
      <c r="O62">
        <v>73</v>
      </c>
      <c r="P62">
        <f t="shared" si="27"/>
        <v>1.7923916894982539</v>
      </c>
      <c r="Q62">
        <f>LOG(O62)</f>
        <v>1.8633228601204559</v>
      </c>
      <c r="R62">
        <f t="shared" si="21"/>
        <v>-7.0931170622202E-2</v>
      </c>
      <c r="S62">
        <f>R62</f>
        <v>-7.0931170622202E-2</v>
      </c>
      <c r="T62">
        <v>3</v>
      </c>
      <c r="U62">
        <v>0</v>
      </c>
      <c r="V62">
        <f>LOG(T62)</f>
        <v>0.47712125471966244</v>
      </c>
      <c r="W62" s="2">
        <v>0</v>
      </c>
      <c r="X62">
        <f t="shared" si="22"/>
        <v>0.47712125471966244</v>
      </c>
      <c r="Z62">
        <v>7</v>
      </c>
      <c r="AA62">
        <v>171</v>
      </c>
      <c r="AB62">
        <v>17</v>
      </c>
      <c r="AC62">
        <f t="shared" si="25"/>
        <v>2.2329961103921536</v>
      </c>
      <c r="AD62">
        <f>LOG(AB62)</f>
        <v>1.2304489213782739</v>
      </c>
      <c r="AE62">
        <f t="shared" si="23"/>
        <v>1.0025471890138797</v>
      </c>
      <c r="AF62">
        <f>AE62</f>
        <v>1.0025471890138797</v>
      </c>
      <c r="AG62">
        <v>0</v>
      </c>
      <c r="AH62">
        <v>0</v>
      </c>
      <c r="AI62" s="2">
        <v>0</v>
      </c>
      <c r="AJ62" s="2">
        <v>0</v>
      </c>
      <c r="AK62">
        <f t="shared" si="24"/>
        <v>0</v>
      </c>
      <c r="AN62" s="14">
        <v>4</v>
      </c>
      <c r="AO62" s="14">
        <f>AP47-AO47</f>
        <v>0</v>
      </c>
      <c r="AP62" s="14">
        <f>AP47</f>
        <v>0</v>
      </c>
      <c r="AQ62" s="14">
        <f t="shared" si="28"/>
        <v>0</v>
      </c>
      <c r="AR62" s="14">
        <f t="shared" si="29"/>
        <v>0.3010299956639812</v>
      </c>
      <c r="AS62" s="14">
        <f t="shared" si="29"/>
        <v>1</v>
      </c>
      <c r="AT62" s="14">
        <v>4</v>
      </c>
      <c r="AU62" s="14">
        <f>AV47-AU47</f>
        <v>0</v>
      </c>
      <c r="AV62" s="14">
        <f>AV47</f>
        <v>0</v>
      </c>
      <c r="AW62" s="14">
        <f t="shared" si="26"/>
        <v>0</v>
      </c>
      <c r="AX62" s="14">
        <f t="shared" si="26"/>
        <v>0</v>
      </c>
      <c r="AY62" s="14">
        <f t="shared" si="26"/>
        <v>0.47712125471966244</v>
      </c>
    </row>
    <row r="63" spans="1:51" x14ac:dyDescent="0.2">
      <c r="B63" s="8">
        <v>29</v>
      </c>
      <c r="C63" s="8">
        <v>0</v>
      </c>
      <c r="D63" s="8">
        <f t="shared" si="14"/>
        <v>1.4623979978989561</v>
      </c>
      <c r="E63" s="13">
        <v>0</v>
      </c>
      <c r="F63" s="8">
        <f t="shared" si="2"/>
        <v>1.4623979978989561</v>
      </c>
      <c r="G63" s="8">
        <v>0</v>
      </c>
      <c r="H63" s="8">
        <v>0</v>
      </c>
      <c r="I63" s="13">
        <v>0</v>
      </c>
      <c r="J63" s="13">
        <v>0</v>
      </c>
      <c r="K63" s="8">
        <f t="shared" si="4"/>
        <v>0</v>
      </c>
      <c r="N63">
        <v>161</v>
      </c>
      <c r="O63">
        <v>78</v>
      </c>
      <c r="P63">
        <f t="shared" si="27"/>
        <v>2.2068258760318495</v>
      </c>
      <c r="Q63">
        <f>LOG(O63)</f>
        <v>1.8920946026904804</v>
      </c>
      <c r="R63">
        <f t="shared" si="21"/>
        <v>0.31473127334136919</v>
      </c>
      <c r="S63">
        <f>R63</f>
        <v>0.31473127334136919</v>
      </c>
      <c r="T63">
        <v>0</v>
      </c>
      <c r="U63">
        <v>0</v>
      </c>
      <c r="V63" s="2">
        <v>0</v>
      </c>
      <c r="W63" s="2">
        <v>0</v>
      </c>
      <c r="X63">
        <f t="shared" si="22"/>
        <v>0</v>
      </c>
      <c r="AI63" s="2"/>
      <c r="AJ63" s="2"/>
    </row>
    <row r="64" spans="1:51" x14ac:dyDescent="0.2">
      <c r="B64" s="8">
        <v>39</v>
      </c>
      <c r="C64" s="8">
        <v>0</v>
      </c>
      <c r="D64" s="8">
        <f t="shared" si="14"/>
        <v>1.5910646070264991</v>
      </c>
      <c r="E64" s="13">
        <v>0</v>
      </c>
      <c r="F64" s="8">
        <f t="shared" si="2"/>
        <v>1.5910646070264991</v>
      </c>
      <c r="G64" s="8">
        <v>0</v>
      </c>
      <c r="H64" s="8">
        <v>0</v>
      </c>
      <c r="I64" s="13">
        <v>0</v>
      </c>
      <c r="J64" s="13">
        <v>0</v>
      </c>
      <c r="K64" s="8">
        <f t="shared" si="4"/>
        <v>0</v>
      </c>
      <c r="M64">
        <v>8</v>
      </c>
      <c r="N64">
        <v>254</v>
      </c>
      <c r="O64">
        <v>2700</v>
      </c>
      <c r="P64">
        <f t="shared" si="27"/>
        <v>2.4048337166199381</v>
      </c>
      <c r="Q64">
        <f>LOG(O64)</f>
        <v>3.4313637641589874</v>
      </c>
      <c r="R64">
        <f t="shared" si="21"/>
        <v>-1.0265300475390493</v>
      </c>
      <c r="S64">
        <f>R64</f>
        <v>-1.0265300475390493</v>
      </c>
      <c r="T64">
        <v>0</v>
      </c>
      <c r="U64">
        <v>3</v>
      </c>
      <c r="V64" s="2">
        <v>0</v>
      </c>
      <c r="W64">
        <f>LOG(U64)</f>
        <v>0.47712125471966244</v>
      </c>
      <c r="X64">
        <f t="shared" si="22"/>
        <v>-0.47712125471966244</v>
      </c>
      <c r="Z64">
        <v>8</v>
      </c>
      <c r="AA64">
        <v>203</v>
      </c>
      <c r="AB64">
        <v>0</v>
      </c>
      <c r="AC64">
        <f>LOG(AA64)</f>
        <v>2.307496037913213</v>
      </c>
      <c r="AD64">
        <f>LOG(1)</f>
        <v>0</v>
      </c>
      <c r="AE64">
        <f>AC64-AD64</f>
        <v>2.307496037913213</v>
      </c>
      <c r="AF64" t="s">
        <v>131</v>
      </c>
      <c r="AG64">
        <v>0</v>
      </c>
      <c r="AH64">
        <v>0</v>
      </c>
      <c r="AI64" s="2">
        <v>0</v>
      </c>
      <c r="AJ64" s="2">
        <v>0</v>
      </c>
      <c r="AK64">
        <f>AI64-AJ64</f>
        <v>0</v>
      </c>
    </row>
    <row r="65" spans="1:44" x14ac:dyDescent="0.2">
      <c r="B65">
        <v>19</v>
      </c>
      <c r="C65">
        <v>0</v>
      </c>
      <c r="D65">
        <f t="shared" si="14"/>
        <v>1.2787536009528289</v>
      </c>
      <c r="E65" s="2">
        <v>0</v>
      </c>
      <c r="F65">
        <f t="shared" si="2"/>
        <v>1.2787536009528289</v>
      </c>
      <c r="G65">
        <v>1</v>
      </c>
      <c r="H65">
        <v>0</v>
      </c>
      <c r="I65">
        <f t="shared" si="3"/>
        <v>0</v>
      </c>
      <c r="J65" s="2">
        <v>0</v>
      </c>
      <c r="K65">
        <f t="shared" si="4"/>
        <v>0</v>
      </c>
      <c r="N65">
        <v>4300</v>
      </c>
      <c r="O65">
        <v>159</v>
      </c>
      <c r="P65">
        <f t="shared" si="27"/>
        <v>3.6334684555795866</v>
      </c>
      <c r="Q65">
        <f>LOG(O65)</f>
        <v>2.2013971243204513</v>
      </c>
      <c r="R65">
        <f t="shared" si="21"/>
        <v>1.4320713312591353</v>
      </c>
      <c r="S65">
        <f>R65</f>
        <v>1.4320713312591353</v>
      </c>
      <c r="T65">
        <v>0</v>
      </c>
      <c r="U65">
        <v>0</v>
      </c>
      <c r="V65" s="2">
        <v>0</v>
      </c>
      <c r="W65" s="2">
        <v>0</v>
      </c>
      <c r="X65">
        <f t="shared" si="22"/>
        <v>0</v>
      </c>
      <c r="AJ65" s="2"/>
    </row>
    <row r="66" spans="1:44" x14ac:dyDescent="0.2">
      <c r="B66">
        <v>17</v>
      </c>
      <c r="C66">
        <v>0</v>
      </c>
      <c r="D66">
        <f t="shared" ref="D66:D127" si="30">LOG(B66)</f>
        <v>1.2304489213782739</v>
      </c>
      <c r="E66" s="2">
        <v>0</v>
      </c>
      <c r="F66">
        <f t="shared" ref="F66:F127" si="31">D66-E66</f>
        <v>1.2304489213782739</v>
      </c>
      <c r="G66">
        <v>4</v>
      </c>
      <c r="H66">
        <v>0</v>
      </c>
      <c r="I66">
        <f>LOG(G66)</f>
        <v>0.6020599913279624</v>
      </c>
      <c r="J66" s="2">
        <v>0</v>
      </c>
      <c r="K66">
        <f t="shared" ref="K66:K127" si="32">I66-J66</f>
        <v>0.6020599913279624</v>
      </c>
      <c r="M66">
        <v>9</v>
      </c>
      <c r="N66">
        <v>2</v>
      </c>
      <c r="O66">
        <v>0</v>
      </c>
      <c r="P66">
        <f t="shared" si="27"/>
        <v>0.3010299956639812</v>
      </c>
      <c r="Q66" s="2">
        <v>0</v>
      </c>
      <c r="R66">
        <f t="shared" si="21"/>
        <v>0.3010299956639812</v>
      </c>
      <c r="S66" t="s">
        <v>131</v>
      </c>
      <c r="T66">
        <v>1</v>
      </c>
      <c r="U66">
        <v>0</v>
      </c>
      <c r="V66">
        <f>LOG(T66)</f>
        <v>0</v>
      </c>
      <c r="W66" s="2">
        <v>0</v>
      </c>
      <c r="X66">
        <f t="shared" si="22"/>
        <v>0</v>
      </c>
      <c r="Z66">
        <v>9</v>
      </c>
      <c r="AA66">
        <v>19</v>
      </c>
      <c r="AB66">
        <v>0</v>
      </c>
      <c r="AC66">
        <f t="shared" ref="AC66:AC76" si="33">LOG(AA66)</f>
        <v>1.2787536009528289</v>
      </c>
      <c r="AD66" s="2">
        <v>0</v>
      </c>
      <c r="AE66">
        <f t="shared" ref="AE66:AE76" si="34">AC66-AD66</f>
        <v>1.2787536009528289</v>
      </c>
      <c r="AF66" t="s">
        <v>131</v>
      </c>
      <c r="AG66">
        <v>1</v>
      </c>
      <c r="AH66">
        <v>0</v>
      </c>
      <c r="AI66">
        <f>LOG(AG66)</f>
        <v>0</v>
      </c>
      <c r="AJ66" s="2">
        <v>0</v>
      </c>
      <c r="AK66">
        <f t="shared" ref="AK66:AK76" si="35">AI66-AJ66</f>
        <v>0</v>
      </c>
      <c r="AN66" t="s">
        <v>127</v>
      </c>
    </row>
    <row r="67" spans="1:44" x14ac:dyDescent="0.2">
      <c r="A67">
        <v>10</v>
      </c>
      <c r="B67" s="8">
        <v>71</v>
      </c>
      <c r="C67" s="8">
        <v>7</v>
      </c>
      <c r="D67" s="8">
        <f t="shared" si="30"/>
        <v>1.8512583487190752</v>
      </c>
      <c r="E67" s="8">
        <f t="shared" si="15"/>
        <v>0.84509804001425681</v>
      </c>
      <c r="F67" s="8">
        <f t="shared" si="31"/>
        <v>1.0061603087048185</v>
      </c>
      <c r="G67" s="8">
        <v>74</v>
      </c>
      <c r="H67" s="8">
        <v>0</v>
      </c>
      <c r="I67" s="8">
        <f>LOG(G67)</f>
        <v>1.8692317197309762</v>
      </c>
      <c r="J67" s="13">
        <v>0</v>
      </c>
      <c r="K67" s="8">
        <f t="shared" si="32"/>
        <v>1.8692317197309762</v>
      </c>
      <c r="N67">
        <v>191</v>
      </c>
      <c r="O67">
        <v>0</v>
      </c>
      <c r="P67">
        <f t="shared" si="27"/>
        <v>2.2810333672477277</v>
      </c>
      <c r="Q67" s="2">
        <v>0</v>
      </c>
      <c r="R67">
        <f t="shared" si="21"/>
        <v>2.2810333672477277</v>
      </c>
      <c r="S67" t="s">
        <v>131</v>
      </c>
      <c r="T67">
        <v>0</v>
      </c>
      <c r="U67">
        <v>0</v>
      </c>
      <c r="V67" s="2">
        <v>0</v>
      </c>
      <c r="W67" s="2">
        <v>0</v>
      </c>
      <c r="X67">
        <f t="shared" si="22"/>
        <v>0</v>
      </c>
      <c r="AA67">
        <v>17</v>
      </c>
      <c r="AB67">
        <v>0</v>
      </c>
      <c r="AC67">
        <f t="shared" si="33"/>
        <v>1.2304489213782739</v>
      </c>
      <c r="AD67" s="2">
        <v>0</v>
      </c>
      <c r="AE67">
        <f t="shared" si="34"/>
        <v>1.2304489213782739</v>
      </c>
      <c r="AF67" t="s">
        <v>131</v>
      </c>
      <c r="AG67">
        <v>4</v>
      </c>
      <c r="AH67">
        <v>0</v>
      </c>
      <c r="AI67">
        <f>LOG(AG67)</f>
        <v>0.6020599913279624</v>
      </c>
      <c r="AJ67" s="2">
        <v>0</v>
      </c>
      <c r="AK67">
        <f t="shared" si="35"/>
        <v>0.6020599913279624</v>
      </c>
    </row>
    <row r="68" spans="1:44" x14ac:dyDescent="0.2">
      <c r="B68" s="8">
        <v>42</v>
      </c>
      <c r="C68" s="8">
        <v>64</v>
      </c>
      <c r="D68" s="8">
        <f t="shared" si="30"/>
        <v>1.6232492903979006</v>
      </c>
      <c r="E68" s="8">
        <f t="shared" si="15"/>
        <v>1.8061799739838871</v>
      </c>
      <c r="F68" s="8">
        <f t="shared" si="31"/>
        <v>-0.18293068358598652</v>
      </c>
      <c r="G68" s="8">
        <v>0</v>
      </c>
      <c r="H68" s="8">
        <v>0</v>
      </c>
      <c r="I68" s="13">
        <v>0</v>
      </c>
      <c r="J68" s="13">
        <v>0</v>
      </c>
      <c r="K68" s="8">
        <f t="shared" si="32"/>
        <v>0</v>
      </c>
      <c r="M68">
        <v>10</v>
      </c>
      <c r="N68">
        <v>0</v>
      </c>
      <c r="O68">
        <v>49</v>
      </c>
      <c r="P68">
        <f>LOG(1)</f>
        <v>0</v>
      </c>
      <c r="Q68">
        <f>LOG(O68)</f>
        <v>1.6901960800285136</v>
      </c>
      <c r="R68">
        <f t="shared" si="21"/>
        <v>-1.6901960800285136</v>
      </c>
      <c r="S68">
        <f>R68</f>
        <v>-1.6901960800285136</v>
      </c>
      <c r="T68">
        <v>0</v>
      </c>
      <c r="U68">
        <v>0</v>
      </c>
      <c r="V68" s="2">
        <v>0</v>
      </c>
      <c r="W68" s="2">
        <v>0</v>
      </c>
      <c r="X68">
        <f t="shared" si="22"/>
        <v>0</v>
      </c>
      <c r="Z68">
        <v>10</v>
      </c>
      <c r="AA68">
        <v>6</v>
      </c>
      <c r="AB68">
        <v>10</v>
      </c>
      <c r="AC68">
        <f t="shared" si="33"/>
        <v>0.77815125038364363</v>
      </c>
      <c r="AD68">
        <f>LOG(AB68)</f>
        <v>1</v>
      </c>
      <c r="AE68">
        <f t="shared" si="34"/>
        <v>-0.22184874961635637</v>
      </c>
      <c r="AF68">
        <f>AE68</f>
        <v>-0.22184874961635637</v>
      </c>
      <c r="AG68">
        <v>0</v>
      </c>
      <c r="AH68">
        <v>0</v>
      </c>
      <c r="AI68" s="2">
        <v>0</v>
      </c>
      <c r="AJ68" s="2">
        <v>0</v>
      </c>
      <c r="AK68">
        <f t="shared" si="35"/>
        <v>0</v>
      </c>
      <c r="AN68" t="s">
        <v>124</v>
      </c>
      <c r="AO68" t="s">
        <v>128</v>
      </c>
      <c r="AP68" t="s">
        <v>129</v>
      </c>
      <c r="AQ68" t="s">
        <v>130</v>
      </c>
      <c r="AR68" t="s">
        <v>129</v>
      </c>
    </row>
    <row r="69" spans="1:44" x14ac:dyDescent="0.2">
      <c r="B69" s="8">
        <v>0</v>
      </c>
      <c r="C69" s="8">
        <v>49</v>
      </c>
      <c r="D69" s="8">
        <f>LOG(1)</f>
        <v>0</v>
      </c>
      <c r="E69" s="8">
        <f t="shared" si="15"/>
        <v>1.6901960800285136</v>
      </c>
      <c r="F69" s="8">
        <f t="shared" si="31"/>
        <v>-1.6901960800285136</v>
      </c>
      <c r="G69" s="8">
        <v>0</v>
      </c>
      <c r="H69" s="8">
        <v>0</v>
      </c>
      <c r="I69" s="13">
        <v>0</v>
      </c>
      <c r="J69" s="13">
        <v>0</v>
      </c>
      <c r="K69" s="8">
        <f t="shared" si="32"/>
        <v>0</v>
      </c>
      <c r="N69">
        <v>49</v>
      </c>
      <c r="O69">
        <v>65</v>
      </c>
      <c r="P69">
        <f>LOG(N69)</f>
        <v>1.6901960800285136</v>
      </c>
      <c r="Q69">
        <f>LOG(O69)</f>
        <v>1.8129133566428555</v>
      </c>
      <c r="R69">
        <f t="shared" si="21"/>
        <v>-0.12271727661434184</v>
      </c>
      <c r="S69">
        <f>R69</f>
        <v>-0.12271727661434184</v>
      </c>
      <c r="T69">
        <v>0</v>
      </c>
      <c r="U69">
        <v>0</v>
      </c>
      <c r="V69" s="2">
        <v>0</v>
      </c>
      <c r="W69" s="2">
        <v>0</v>
      </c>
      <c r="X69">
        <f t="shared" si="22"/>
        <v>0</v>
      </c>
      <c r="AA69">
        <v>2100</v>
      </c>
      <c r="AB69">
        <v>15</v>
      </c>
      <c r="AC69">
        <f t="shared" si="33"/>
        <v>3.3222192947339191</v>
      </c>
      <c r="AD69">
        <f>LOG(AB69)</f>
        <v>1.1760912590556813</v>
      </c>
      <c r="AE69">
        <f t="shared" si="34"/>
        <v>2.1461280356782377</v>
      </c>
      <c r="AF69">
        <f>AE69</f>
        <v>2.1461280356782377</v>
      </c>
      <c r="AG69">
        <v>0</v>
      </c>
      <c r="AH69">
        <v>0</v>
      </c>
      <c r="AI69" s="2">
        <v>0</v>
      </c>
      <c r="AJ69" s="2">
        <v>0</v>
      </c>
      <c r="AK69">
        <f t="shared" si="35"/>
        <v>0</v>
      </c>
      <c r="AN69" s="14">
        <v>1</v>
      </c>
      <c r="AO69">
        <v>1.68</v>
      </c>
      <c r="AP69">
        <v>0.2</v>
      </c>
      <c r="AQ69">
        <v>0.34</v>
      </c>
      <c r="AR69">
        <v>0.11</v>
      </c>
    </row>
    <row r="70" spans="1:44" x14ac:dyDescent="0.2">
      <c r="B70" s="8">
        <v>49</v>
      </c>
      <c r="C70" s="8">
        <v>65</v>
      </c>
      <c r="D70" s="8">
        <f t="shared" si="30"/>
        <v>1.6901960800285136</v>
      </c>
      <c r="E70" s="8">
        <f t="shared" si="15"/>
        <v>1.8129133566428555</v>
      </c>
      <c r="F70" s="8">
        <f t="shared" si="31"/>
        <v>-0.12271727661434184</v>
      </c>
      <c r="G70" s="8">
        <v>0</v>
      </c>
      <c r="H70" s="8">
        <v>0</v>
      </c>
      <c r="I70" s="13">
        <v>0</v>
      </c>
      <c r="J70" s="13">
        <v>0</v>
      </c>
      <c r="K70" s="8">
        <f t="shared" si="32"/>
        <v>0</v>
      </c>
      <c r="M70">
        <v>11</v>
      </c>
      <c r="N70">
        <v>33</v>
      </c>
      <c r="O70">
        <v>0</v>
      </c>
      <c r="P70">
        <f>LOG(N70)</f>
        <v>1.5185139398778875</v>
      </c>
      <c r="Q70" s="2">
        <v>0</v>
      </c>
      <c r="R70">
        <f t="shared" si="21"/>
        <v>1.5185139398778875</v>
      </c>
      <c r="S70" t="s">
        <v>131</v>
      </c>
      <c r="T70">
        <v>4</v>
      </c>
      <c r="U70">
        <v>0</v>
      </c>
      <c r="V70">
        <f>LOG(T70)</f>
        <v>0.6020599913279624</v>
      </c>
      <c r="W70" s="2">
        <v>0</v>
      </c>
      <c r="X70">
        <f t="shared" si="22"/>
        <v>0.6020599913279624</v>
      </c>
      <c r="Z70">
        <v>11</v>
      </c>
      <c r="AA70">
        <v>112</v>
      </c>
      <c r="AB70">
        <v>14</v>
      </c>
      <c r="AC70">
        <f t="shared" si="33"/>
        <v>2.0492180226701815</v>
      </c>
      <c r="AD70">
        <f>LOG(AB70)</f>
        <v>1.146128035678238</v>
      </c>
      <c r="AE70">
        <f t="shared" si="34"/>
        <v>0.90308998699194354</v>
      </c>
      <c r="AF70">
        <f>AE70</f>
        <v>0.90308998699194354</v>
      </c>
      <c r="AG70">
        <v>0</v>
      </c>
      <c r="AH70">
        <v>1</v>
      </c>
      <c r="AI70" s="2">
        <v>0</v>
      </c>
      <c r="AJ70">
        <f>LOG(AH70)</f>
        <v>0</v>
      </c>
      <c r="AK70">
        <f t="shared" si="35"/>
        <v>0</v>
      </c>
      <c r="AN70" s="14">
        <v>2</v>
      </c>
      <c r="AO70">
        <v>0.94</v>
      </c>
      <c r="AP70">
        <v>0.23</v>
      </c>
      <c r="AQ70">
        <v>0.28999999999999998</v>
      </c>
      <c r="AR70">
        <v>0.11</v>
      </c>
    </row>
    <row r="71" spans="1:44" x14ac:dyDescent="0.2">
      <c r="B71" s="8">
        <v>17</v>
      </c>
      <c r="C71" s="8">
        <v>7</v>
      </c>
      <c r="D71" s="8">
        <f t="shared" si="30"/>
        <v>1.2304489213782739</v>
      </c>
      <c r="E71" s="8">
        <f t="shared" si="15"/>
        <v>0.84509804001425681</v>
      </c>
      <c r="F71" s="8">
        <f t="shared" si="31"/>
        <v>0.38535088136401707</v>
      </c>
      <c r="G71" s="8">
        <v>0</v>
      </c>
      <c r="H71" s="8">
        <v>0</v>
      </c>
      <c r="I71" s="13">
        <v>0</v>
      </c>
      <c r="J71" s="13">
        <v>0</v>
      </c>
      <c r="K71" s="8">
        <f t="shared" si="32"/>
        <v>0</v>
      </c>
      <c r="N71">
        <v>62</v>
      </c>
      <c r="O71">
        <v>62</v>
      </c>
      <c r="P71">
        <f>LOG(N71)</f>
        <v>1.7923916894982539</v>
      </c>
      <c r="Q71">
        <f>LOG(O71)</f>
        <v>1.7923916894982539</v>
      </c>
      <c r="R71">
        <f t="shared" si="21"/>
        <v>0</v>
      </c>
      <c r="S71">
        <f>R71</f>
        <v>0</v>
      </c>
      <c r="T71">
        <v>2</v>
      </c>
      <c r="U71">
        <v>0</v>
      </c>
      <c r="V71">
        <f>LOG(T71)</f>
        <v>0.3010299956639812</v>
      </c>
      <c r="W71" s="2">
        <v>0</v>
      </c>
      <c r="X71">
        <f t="shared" si="22"/>
        <v>0.3010299956639812</v>
      </c>
      <c r="AA71">
        <v>500</v>
      </c>
      <c r="AB71">
        <v>15</v>
      </c>
      <c r="AC71">
        <f t="shared" si="33"/>
        <v>2.6989700043360187</v>
      </c>
      <c r="AD71">
        <f>LOG(AB71)</f>
        <v>1.1760912590556813</v>
      </c>
      <c r="AE71">
        <f t="shared" si="34"/>
        <v>1.5228787452803374</v>
      </c>
      <c r="AF71">
        <f>AE71</f>
        <v>1.5228787452803374</v>
      </c>
      <c r="AG71">
        <v>2</v>
      </c>
      <c r="AH71">
        <v>0</v>
      </c>
      <c r="AI71">
        <f>LOG(AG71)</f>
        <v>0.3010299956639812</v>
      </c>
      <c r="AJ71" s="2">
        <v>0</v>
      </c>
      <c r="AK71">
        <f t="shared" si="35"/>
        <v>0.3010299956639812</v>
      </c>
      <c r="AN71" s="14">
        <v>3</v>
      </c>
      <c r="AO71" s="16">
        <v>0.95</v>
      </c>
      <c r="AP71" s="16">
        <v>0.24</v>
      </c>
      <c r="AQ71" s="16">
        <v>0.11</v>
      </c>
      <c r="AR71" s="16">
        <v>0.05</v>
      </c>
    </row>
    <row r="72" spans="1:44" x14ac:dyDescent="0.2">
      <c r="B72" s="8">
        <v>0</v>
      </c>
      <c r="C72" s="8">
        <v>146</v>
      </c>
      <c r="D72" s="8">
        <f>LOG(1)</f>
        <v>0</v>
      </c>
      <c r="E72" s="8">
        <f t="shared" si="15"/>
        <v>2.1643528557844371</v>
      </c>
      <c r="F72" s="8">
        <f t="shared" si="31"/>
        <v>-2.1643528557844371</v>
      </c>
      <c r="G72" s="8">
        <v>0</v>
      </c>
      <c r="H72" s="8">
        <v>0</v>
      </c>
      <c r="I72" s="13">
        <v>0</v>
      </c>
      <c r="J72" s="13">
        <v>0</v>
      </c>
      <c r="K72" s="8">
        <f t="shared" si="32"/>
        <v>0</v>
      </c>
      <c r="M72">
        <v>12</v>
      </c>
      <c r="N72">
        <v>0</v>
      </c>
      <c r="O72">
        <v>0</v>
      </c>
      <c r="P72">
        <f>LOG(1)</f>
        <v>0</v>
      </c>
      <c r="Q72" s="2">
        <v>0</v>
      </c>
      <c r="R72">
        <f t="shared" si="21"/>
        <v>0</v>
      </c>
      <c r="S72" t="s">
        <v>131</v>
      </c>
      <c r="T72">
        <v>0</v>
      </c>
      <c r="U72">
        <v>0</v>
      </c>
      <c r="V72" s="2">
        <v>0</v>
      </c>
      <c r="W72" s="2">
        <v>0</v>
      </c>
      <c r="X72">
        <f t="shared" si="22"/>
        <v>0</v>
      </c>
      <c r="Z72">
        <v>12</v>
      </c>
      <c r="AA72">
        <v>10</v>
      </c>
      <c r="AB72">
        <v>0</v>
      </c>
      <c r="AC72">
        <f t="shared" si="33"/>
        <v>1</v>
      </c>
      <c r="AD72" s="2">
        <v>0</v>
      </c>
      <c r="AE72">
        <f t="shared" si="34"/>
        <v>1</v>
      </c>
      <c r="AF72" t="s">
        <v>131</v>
      </c>
      <c r="AG72">
        <v>0</v>
      </c>
      <c r="AH72">
        <v>0</v>
      </c>
      <c r="AI72" s="2">
        <v>0</v>
      </c>
      <c r="AJ72" s="2">
        <v>0</v>
      </c>
      <c r="AK72">
        <f t="shared" si="35"/>
        <v>0</v>
      </c>
      <c r="AN72" s="14">
        <v>4</v>
      </c>
      <c r="AO72" s="16">
        <v>1.34</v>
      </c>
      <c r="AP72" s="16">
        <v>0.21</v>
      </c>
      <c r="AQ72" s="16">
        <v>0.12</v>
      </c>
      <c r="AR72" s="16">
        <v>0.05</v>
      </c>
    </row>
    <row r="73" spans="1:44" x14ac:dyDescent="0.2">
      <c r="B73">
        <v>6</v>
      </c>
      <c r="C73">
        <v>10</v>
      </c>
      <c r="D73">
        <f t="shared" si="30"/>
        <v>0.77815125038364363</v>
      </c>
      <c r="E73">
        <f t="shared" si="15"/>
        <v>1</v>
      </c>
      <c r="F73">
        <f t="shared" si="31"/>
        <v>-0.22184874961635637</v>
      </c>
      <c r="G73">
        <v>0</v>
      </c>
      <c r="H73">
        <v>0</v>
      </c>
      <c r="I73" s="2">
        <v>0</v>
      </c>
      <c r="J73" s="2">
        <v>0</v>
      </c>
      <c r="K73">
        <f t="shared" si="32"/>
        <v>0</v>
      </c>
      <c r="N73">
        <v>0</v>
      </c>
      <c r="O73">
        <v>1</v>
      </c>
      <c r="P73">
        <f>LOG(1)</f>
        <v>0</v>
      </c>
      <c r="Q73">
        <f>LOG(O73)</f>
        <v>0</v>
      </c>
      <c r="R73">
        <f>P74-Q73</f>
        <v>2.2121876044039577</v>
      </c>
      <c r="S73" t="s">
        <v>131</v>
      </c>
      <c r="T73">
        <v>0</v>
      </c>
      <c r="U73">
        <v>0</v>
      </c>
      <c r="V73" s="2">
        <v>0</v>
      </c>
      <c r="W73" s="2">
        <v>0</v>
      </c>
      <c r="X73">
        <f t="shared" si="22"/>
        <v>0</v>
      </c>
      <c r="AA73">
        <v>179</v>
      </c>
      <c r="AB73">
        <v>121</v>
      </c>
      <c r="AC73">
        <f t="shared" si="33"/>
        <v>2.2528530309798933</v>
      </c>
      <c r="AD73">
        <f>LOG(AB73)</f>
        <v>2.0827853703164503</v>
      </c>
      <c r="AE73">
        <f t="shared" si="34"/>
        <v>0.17006766066344303</v>
      </c>
      <c r="AF73">
        <f>AE73</f>
        <v>0.17006766066344303</v>
      </c>
      <c r="AG73">
        <v>0</v>
      </c>
      <c r="AH73">
        <v>0</v>
      </c>
      <c r="AI73" s="2">
        <v>0</v>
      </c>
      <c r="AJ73" s="2">
        <v>0</v>
      </c>
      <c r="AK73">
        <f t="shared" si="35"/>
        <v>0</v>
      </c>
    </row>
    <row r="74" spans="1:44" x14ac:dyDescent="0.2">
      <c r="B74">
        <v>2100</v>
      </c>
      <c r="C74">
        <v>15</v>
      </c>
      <c r="D74">
        <f t="shared" si="30"/>
        <v>3.3222192947339191</v>
      </c>
      <c r="E74">
        <f t="shared" si="15"/>
        <v>1.1760912590556813</v>
      </c>
      <c r="F74">
        <f t="shared" si="31"/>
        <v>2.1461280356782377</v>
      </c>
      <c r="G74">
        <v>0</v>
      </c>
      <c r="H74">
        <v>0</v>
      </c>
      <c r="I74" s="2">
        <v>0</v>
      </c>
      <c r="J74" s="2">
        <v>0</v>
      </c>
      <c r="K74">
        <f t="shared" si="32"/>
        <v>0</v>
      </c>
      <c r="M74">
        <v>13</v>
      </c>
      <c r="N74">
        <v>163</v>
      </c>
      <c r="O74">
        <v>1</v>
      </c>
      <c r="P74">
        <f>LOG(N74)</f>
        <v>2.2121876044039577</v>
      </c>
      <c r="Q74">
        <f>LOG(O74)</f>
        <v>0</v>
      </c>
      <c r="R74">
        <f t="shared" ref="R74:R89" si="36">P74-Q74</f>
        <v>2.2121876044039577</v>
      </c>
      <c r="S74" t="s">
        <v>131</v>
      </c>
      <c r="T74">
        <v>0</v>
      </c>
      <c r="U74">
        <v>0</v>
      </c>
      <c r="V74" s="2">
        <v>0</v>
      </c>
      <c r="W74" s="2">
        <v>0</v>
      </c>
      <c r="X74">
        <f t="shared" si="22"/>
        <v>0</v>
      </c>
      <c r="Z74">
        <v>13</v>
      </c>
      <c r="AA74">
        <v>24</v>
      </c>
      <c r="AB74">
        <v>0</v>
      </c>
      <c r="AC74">
        <f t="shared" si="33"/>
        <v>1.3802112417116059</v>
      </c>
      <c r="AD74" s="2">
        <v>0</v>
      </c>
      <c r="AE74">
        <f t="shared" si="34"/>
        <v>1.3802112417116059</v>
      </c>
      <c r="AF74" t="s">
        <v>131</v>
      </c>
      <c r="AG74">
        <v>0</v>
      </c>
      <c r="AH74">
        <v>0</v>
      </c>
      <c r="AI74" s="2">
        <v>0</v>
      </c>
      <c r="AJ74" s="2">
        <v>0</v>
      </c>
      <c r="AK74">
        <f t="shared" si="35"/>
        <v>0</v>
      </c>
    </row>
    <row r="75" spans="1:44" x14ac:dyDescent="0.2">
      <c r="A75">
        <v>11</v>
      </c>
      <c r="B75" s="8">
        <v>32</v>
      </c>
      <c r="C75" s="8">
        <v>0</v>
      </c>
      <c r="D75" s="8">
        <f t="shared" si="30"/>
        <v>1.505149978319906</v>
      </c>
      <c r="E75" s="13">
        <v>0</v>
      </c>
      <c r="F75" s="8">
        <f t="shared" si="31"/>
        <v>1.505149978319906</v>
      </c>
      <c r="G75" s="8">
        <v>0</v>
      </c>
      <c r="H75" s="8">
        <v>0</v>
      </c>
      <c r="I75" s="13">
        <v>0</v>
      </c>
      <c r="J75" s="13">
        <v>0</v>
      </c>
      <c r="K75" s="8">
        <f t="shared" si="32"/>
        <v>0</v>
      </c>
      <c r="N75">
        <v>1</v>
      </c>
      <c r="O75">
        <v>0</v>
      </c>
      <c r="P75">
        <f>LOG(N75)</f>
        <v>0</v>
      </c>
      <c r="Q75" s="2">
        <v>0</v>
      </c>
      <c r="R75">
        <f t="shared" si="36"/>
        <v>0</v>
      </c>
      <c r="S75" t="s">
        <v>131</v>
      </c>
      <c r="T75">
        <v>0</v>
      </c>
      <c r="U75">
        <v>0</v>
      </c>
      <c r="V75" s="2">
        <v>0</v>
      </c>
      <c r="W75" s="2">
        <v>0</v>
      </c>
      <c r="X75">
        <f t="shared" si="22"/>
        <v>0</v>
      </c>
      <c r="AA75">
        <v>21</v>
      </c>
      <c r="AB75">
        <v>0</v>
      </c>
      <c r="AC75">
        <f t="shared" si="33"/>
        <v>1.3222192947339193</v>
      </c>
      <c r="AD75" s="2">
        <v>0</v>
      </c>
      <c r="AE75">
        <f t="shared" si="34"/>
        <v>1.3222192947339193</v>
      </c>
      <c r="AF75" t="s">
        <v>131</v>
      </c>
      <c r="AG75">
        <v>0</v>
      </c>
      <c r="AH75">
        <v>0</v>
      </c>
      <c r="AI75" s="2">
        <v>0</v>
      </c>
      <c r="AJ75" s="2">
        <v>0</v>
      </c>
      <c r="AK75">
        <f t="shared" si="35"/>
        <v>0</v>
      </c>
    </row>
    <row r="76" spans="1:44" x14ac:dyDescent="0.2">
      <c r="B76" s="8">
        <v>147</v>
      </c>
      <c r="C76" s="8">
        <v>0</v>
      </c>
      <c r="D76" s="8">
        <f t="shared" si="30"/>
        <v>2.167317334748176</v>
      </c>
      <c r="E76" s="13">
        <v>0</v>
      </c>
      <c r="F76" s="8">
        <f t="shared" si="31"/>
        <v>2.167317334748176</v>
      </c>
      <c r="G76" s="8">
        <v>0</v>
      </c>
      <c r="H76" s="8">
        <v>0</v>
      </c>
      <c r="I76" s="13">
        <v>0</v>
      </c>
      <c r="J76" s="13">
        <v>0</v>
      </c>
      <c r="K76" s="8">
        <f t="shared" si="32"/>
        <v>0</v>
      </c>
      <c r="M76">
        <v>14</v>
      </c>
      <c r="N76">
        <v>66</v>
      </c>
      <c r="O76">
        <v>0</v>
      </c>
      <c r="P76">
        <f>LOG(N76)</f>
        <v>1.8195439355418688</v>
      </c>
      <c r="Q76" s="2">
        <v>0</v>
      </c>
      <c r="R76">
        <f t="shared" si="36"/>
        <v>1.8195439355418688</v>
      </c>
      <c r="S76" t="s">
        <v>131</v>
      </c>
      <c r="T76">
        <v>71</v>
      </c>
      <c r="U76">
        <v>0</v>
      </c>
      <c r="V76">
        <f>LOG(T76)</f>
        <v>1.8512583487190752</v>
      </c>
      <c r="W76" s="2">
        <v>0</v>
      </c>
      <c r="X76">
        <f t="shared" si="22"/>
        <v>1.8512583487190752</v>
      </c>
      <c r="Z76">
        <v>14</v>
      </c>
      <c r="AA76">
        <v>30000</v>
      </c>
      <c r="AB76">
        <v>0</v>
      </c>
      <c r="AC76">
        <f t="shared" si="33"/>
        <v>4.4771212547196626</v>
      </c>
      <c r="AD76" s="2">
        <v>0</v>
      </c>
      <c r="AE76">
        <f t="shared" si="34"/>
        <v>4.4771212547196626</v>
      </c>
      <c r="AF76" t="s">
        <v>131</v>
      </c>
      <c r="AG76">
        <v>1</v>
      </c>
      <c r="AH76">
        <v>0</v>
      </c>
      <c r="AI76">
        <f>LOG(AG76)</f>
        <v>0</v>
      </c>
      <c r="AJ76" s="2">
        <v>0</v>
      </c>
      <c r="AK76">
        <f t="shared" si="35"/>
        <v>0</v>
      </c>
    </row>
    <row r="77" spans="1:44" x14ac:dyDescent="0.2">
      <c r="B77" s="8">
        <v>33</v>
      </c>
      <c r="C77" s="8">
        <v>0</v>
      </c>
      <c r="D77" s="8">
        <f t="shared" si="30"/>
        <v>1.5185139398778875</v>
      </c>
      <c r="E77" s="13">
        <v>0</v>
      </c>
      <c r="F77" s="8">
        <f t="shared" si="31"/>
        <v>1.5185139398778875</v>
      </c>
      <c r="G77" s="8">
        <v>4</v>
      </c>
      <c r="H77" s="8">
        <v>0</v>
      </c>
      <c r="I77" s="8">
        <f>LOG(G77)</f>
        <v>0.6020599913279624</v>
      </c>
      <c r="J77" s="13">
        <v>0</v>
      </c>
      <c r="K77" s="8">
        <f t="shared" si="32"/>
        <v>0.6020599913279624</v>
      </c>
      <c r="N77">
        <v>6400</v>
      </c>
      <c r="O77">
        <v>0</v>
      </c>
      <c r="P77">
        <f>LOG(N77)</f>
        <v>3.8061799739838871</v>
      </c>
      <c r="Q77" s="2">
        <v>0</v>
      </c>
      <c r="R77">
        <f t="shared" si="36"/>
        <v>3.8061799739838871</v>
      </c>
      <c r="S77" t="s">
        <v>131</v>
      </c>
      <c r="T77">
        <v>141</v>
      </c>
      <c r="U77">
        <v>0</v>
      </c>
      <c r="V77">
        <f>LOG(T77)</f>
        <v>2.1492191126553797</v>
      </c>
      <c r="W77" s="2">
        <v>0</v>
      </c>
      <c r="X77">
        <f t="shared" si="22"/>
        <v>2.1492191126553797</v>
      </c>
      <c r="AJ77" s="2"/>
    </row>
    <row r="78" spans="1:44" x14ac:dyDescent="0.2">
      <c r="B78" s="8">
        <v>62</v>
      </c>
      <c r="C78" s="8">
        <v>62</v>
      </c>
      <c r="D78" s="8">
        <f t="shared" si="30"/>
        <v>1.7923916894982539</v>
      </c>
      <c r="E78" s="8">
        <f t="shared" si="15"/>
        <v>1.7923916894982539</v>
      </c>
      <c r="F78" s="8">
        <f t="shared" si="31"/>
        <v>0</v>
      </c>
      <c r="G78" s="8">
        <v>2</v>
      </c>
      <c r="H78" s="8">
        <v>0</v>
      </c>
      <c r="I78" s="8">
        <f>LOG(G78)</f>
        <v>0.3010299956639812</v>
      </c>
      <c r="J78" s="13">
        <v>0</v>
      </c>
      <c r="K78" s="8">
        <f t="shared" si="32"/>
        <v>0.3010299956639812</v>
      </c>
      <c r="M78">
        <v>15</v>
      </c>
      <c r="N78">
        <v>0</v>
      </c>
      <c r="O78">
        <v>0</v>
      </c>
      <c r="P78">
        <f>LOG(1)</f>
        <v>0</v>
      </c>
      <c r="Q78" s="2">
        <v>0</v>
      </c>
      <c r="R78">
        <f t="shared" si="36"/>
        <v>0</v>
      </c>
      <c r="S78" t="s">
        <v>131</v>
      </c>
      <c r="T78">
        <v>0</v>
      </c>
      <c r="U78">
        <v>0</v>
      </c>
      <c r="V78" s="2">
        <v>0</v>
      </c>
      <c r="W78" s="2">
        <v>0</v>
      </c>
      <c r="X78">
        <f t="shared" si="22"/>
        <v>0</v>
      </c>
      <c r="Z78">
        <v>15</v>
      </c>
      <c r="AA78">
        <v>215</v>
      </c>
      <c r="AB78">
        <v>0</v>
      </c>
      <c r="AC78">
        <f t="shared" ref="AC78:AC89" si="37">LOG(AA78)</f>
        <v>2.3324384599156054</v>
      </c>
      <c r="AD78" s="2">
        <v>0</v>
      </c>
      <c r="AE78">
        <f t="shared" ref="AE78:AE89" si="38">AC78-AD78</f>
        <v>2.3324384599156054</v>
      </c>
      <c r="AF78" t="s">
        <v>131</v>
      </c>
      <c r="AG78">
        <v>3</v>
      </c>
      <c r="AH78">
        <v>0</v>
      </c>
      <c r="AI78">
        <f>LOG(AG78)</f>
        <v>0.47712125471966244</v>
      </c>
      <c r="AJ78" s="2">
        <v>0</v>
      </c>
      <c r="AK78">
        <f t="shared" ref="AK78:AK89" si="39">AI78-AJ78</f>
        <v>0.47712125471966244</v>
      </c>
    </row>
    <row r="79" spans="1:44" x14ac:dyDescent="0.2">
      <c r="B79" s="8">
        <v>41</v>
      </c>
      <c r="C79" s="8">
        <v>36</v>
      </c>
      <c r="D79" s="8">
        <f t="shared" si="30"/>
        <v>1.6127838567197355</v>
      </c>
      <c r="E79" s="8">
        <f>LOG(C79)</f>
        <v>1.5563025007672873</v>
      </c>
      <c r="F79" s="8">
        <f t="shared" si="31"/>
        <v>5.6481355952448187E-2</v>
      </c>
      <c r="G79" s="8">
        <v>1</v>
      </c>
      <c r="H79" s="8">
        <v>0</v>
      </c>
      <c r="I79" s="8">
        <f>LOG(G79)</f>
        <v>0</v>
      </c>
      <c r="J79" s="13">
        <v>0</v>
      </c>
      <c r="K79" s="8">
        <f t="shared" si="32"/>
        <v>0</v>
      </c>
      <c r="N79">
        <v>0</v>
      </c>
      <c r="O79">
        <v>0</v>
      </c>
      <c r="P79">
        <f>LOG(1)</f>
        <v>0</v>
      </c>
      <c r="Q79" s="2">
        <v>0</v>
      </c>
      <c r="R79">
        <f t="shared" si="36"/>
        <v>0</v>
      </c>
      <c r="S79" t="s">
        <v>131</v>
      </c>
      <c r="T79">
        <v>0</v>
      </c>
      <c r="U79">
        <v>0</v>
      </c>
      <c r="V79" s="2">
        <v>0</v>
      </c>
      <c r="W79" s="2">
        <v>0</v>
      </c>
      <c r="X79">
        <f t="shared" si="22"/>
        <v>0</v>
      </c>
      <c r="AA79">
        <v>14</v>
      </c>
      <c r="AB79">
        <v>0</v>
      </c>
      <c r="AC79">
        <f t="shared" si="37"/>
        <v>1.146128035678238</v>
      </c>
      <c r="AD79" s="2">
        <v>0</v>
      </c>
      <c r="AE79">
        <f t="shared" si="38"/>
        <v>1.146128035678238</v>
      </c>
      <c r="AF79" t="s">
        <v>131</v>
      </c>
      <c r="AG79">
        <v>0</v>
      </c>
      <c r="AH79">
        <v>0</v>
      </c>
      <c r="AI79" s="2">
        <v>0</v>
      </c>
      <c r="AJ79" s="2">
        <v>0</v>
      </c>
      <c r="AK79">
        <f t="shared" si="39"/>
        <v>0</v>
      </c>
    </row>
    <row r="80" spans="1:44" x14ac:dyDescent="0.2">
      <c r="B80" s="8">
        <v>118</v>
      </c>
      <c r="C80" s="8">
        <v>0</v>
      </c>
      <c r="D80" s="8">
        <f t="shared" si="30"/>
        <v>2.0718820073061255</v>
      </c>
      <c r="E80" s="13">
        <v>0</v>
      </c>
      <c r="F80" s="8">
        <f t="shared" si="31"/>
        <v>2.0718820073061255</v>
      </c>
      <c r="G80" s="8">
        <v>0</v>
      </c>
      <c r="H80" s="8">
        <v>0</v>
      </c>
      <c r="I80" s="13">
        <v>0</v>
      </c>
      <c r="J80" s="13">
        <v>0</v>
      </c>
      <c r="K80" s="8">
        <f t="shared" si="32"/>
        <v>0</v>
      </c>
      <c r="M80">
        <v>16</v>
      </c>
      <c r="N80">
        <v>117</v>
      </c>
      <c r="O80">
        <v>3700</v>
      </c>
      <c r="P80">
        <f>LOG(N80)</f>
        <v>2.0681858617461617</v>
      </c>
      <c r="Q80">
        <f>LOG(O80)</f>
        <v>3.568201724066995</v>
      </c>
      <c r="R80">
        <f t="shared" si="36"/>
        <v>-1.5000158623208333</v>
      </c>
      <c r="S80">
        <f>R80</f>
        <v>-1.5000158623208333</v>
      </c>
      <c r="T80">
        <v>3</v>
      </c>
      <c r="U80">
        <v>0</v>
      </c>
      <c r="V80">
        <f>LOG(T80)</f>
        <v>0.47712125471966244</v>
      </c>
      <c r="W80" s="2">
        <v>0</v>
      </c>
      <c r="X80">
        <f t="shared" si="22"/>
        <v>0.47712125471966244</v>
      </c>
      <c r="Z80">
        <v>16</v>
      </c>
      <c r="AA80">
        <v>18</v>
      </c>
      <c r="AB80">
        <v>0</v>
      </c>
      <c r="AC80">
        <f t="shared" si="37"/>
        <v>1.255272505103306</v>
      </c>
      <c r="AD80" s="2">
        <v>0</v>
      </c>
      <c r="AE80">
        <f t="shared" si="38"/>
        <v>1.255272505103306</v>
      </c>
      <c r="AF80" t="s">
        <v>131</v>
      </c>
      <c r="AG80">
        <v>2</v>
      </c>
      <c r="AH80">
        <v>0</v>
      </c>
      <c r="AI80">
        <f>LOG(AG80)</f>
        <v>0.3010299956639812</v>
      </c>
      <c r="AJ80" s="2">
        <v>0</v>
      </c>
      <c r="AK80">
        <f t="shared" si="39"/>
        <v>0.3010299956639812</v>
      </c>
    </row>
    <row r="81" spans="1:37" x14ac:dyDescent="0.2">
      <c r="B81">
        <v>112</v>
      </c>
      <c r="C81">
        <v>14</v>
      </c>
      <c r="D81">
        <f t="shared" si="30"/>
        <v>2.0492180226701815</v>
      </c>
      <c r="E81">
        <f>LOG(C81)</f>
        <v>1.146128035678238</v>
      </c>
      <c r="F81">
        <f t="shared" si="31"/>
        <v>0.90308998699194354</v>
      </c>
      <c r="G81">
        <v>0</v>
      </c>
      <c r="H81">
        <v>1</v>
      </c>
      <c r="I81" s="2">
        <v>0</v>
      </c>
      <c r="J81">
        <f>LOG(H81)</f>
        <v>0</v>
      </c>
      <c r="K81">
        <f t="shared" si="32"/>
        <v>0</v>
      </c>
      <c r="N81">
        <v>266</v>
      </c>
      <c r="O81">
        <v>16</v>
      </c>
      <c r="P81">
        <f>LOG(N81)</f>
        <v>2.424881636631067</v>
      </c>
      <c r="Q81">
        <f>LOG(O81)</f>
        <v>1.2041199826559248</v>
      </c>
      <c r="R81">
        <f t="shared" si="36"/>
        <v>1.2207616539751422</v>
      </c>
      <c r="S81">
        <f>R81</f>
        <v>1.2207616539751422</v>
      </c>
      <c r="T81">
        <v>3</v>
      </c>
      <c r="U81">
        <v>0</v>
      </c>
      <c r="V81">
        <f>LOG(T81)</f>
        <v>0.47712125471966244</v>
      </c>
      <c r="W81" s="2">
        <v>0</v>
      </c>
      <c r="X81">
        <f t="shared" si="22"/>
        <v>0.47712125471966244</v>
      </c>
      <c r="AA81">
        <v>107</v>
      </c>
      <c r="AB81">
        <v>1</v>
      </c>
      <c r="AC81">
        <f t="shared" si="37"/>
        <v>2.0293837776852097</v>
      </c>
      <c r="AD81">
        <f>LOG(AB81)</f>
        <v>0</v>
      </c>
      <c r="AE81">
        <f t="shared" si="38"/>
        <v>2.0293837776852097</v>
      </c>
      <c r="AF81" t="s">
        <v>131</v>
      </c>
      <c r="AG81">
        <v>2</v>
      </c>
      <c r="AH81">
        <v>0</v>
      </c>
      <c r="AI81">
        <f>LOG(AG81)</f>
        <v>0.3010299956639812</v>
      </c>
      <c r="AJ81" s="2">
        <v>0</v>
      </c>
      <c r="AK81">
        <f t="shared" si="39"/>
        <v>0.3010299956639812</v>
      </c>
    </row>
    <row r="82" spans="1:37" x14ac:dyDescent="0.2">
      <c r="B82">
        <v>500</v>
      </c>
      <c r="C82">
        <v>15</v>
      </c>
      <c r="D82">
        <f t="shared" si="30"/>
        <v>2.6989700043360187</v>
      </c>
      <c r="E82">
        <f>LOG(C82)</f>
        <v>1.1760912590556813</v>
      </c>
      <c r="F82">
        <f t="shared" si="31"/>
        <v>1.5228787452803374</v>
      </c>
      <c r="G82">
        <v>2</v>
      </c>
      <c r="H82">
        <v>0</v>
      </c>
      <c r="I82">
        <f>LOG(G82)</f>
        <v>0.3010299956639812</v>
      </c>
      <c r="J82" s="2">
        <v>0</v>
      </c>
      <c r="K82">
        <f t="shared" si="32"/>
        <v>0.3010299956639812</v>
      </c>
      <c r="M82">
        <v>17</v>
      </c>
      <c r="N82">
        <v>32</v>
      </c>
      <c r="O82">
        <v>0</v>
      </c>
      <c r="P82">
        <f t="shared" ref="P82:P89" si="40">LOG(N82)</f>
        <v>1.505149978319906</v>
      </c>
      <c r="Q82" s="2">
        <v>0</v>
      </c>
      <c r="R82">
        <f t="shared" si="36"/>
        <v>1.505149978319906</v>
      </c>
      <c r="S82" t="s">
        <v>131</v>
      </c>
      <c r="T82">
        <v>0</v>
      </c>
      <c r="U82">
        <v>0</v>
      </c>
      <c r="V82" s="2">
        <v>0</v>
      </c>
      <c r="W82" s="2">
        <v>0</v>
      </c>
      <c r="X82">
        <f t="shared" si="22"/>
        <v>0</v>
      </c>
      <c r="Z82">
        <v>17</v>
      </c>
      <c r="AA82">
        <v>25</v>
      </c>
      <c r="AB82">
        <v>0</v>
      </c>
      <c r="AC82">
        <f t="shared" si="37"/>
        <v>1.3979400086720377</v>
      </c>
      <c r="AD82" s="2">
        <v>0</v>
      </c>
      <c r="AE82">
        <f t="shared" si="38"/>
        <v>1.3979400086720377</v>
      </c>
      <c r="AF82" t="s">
        <v>131</v>
      </c>
      <c r="AG82">
        <v>0</v>
      </c>
      <c r="AH82">
        <v>0</v>
      </c>
      <c r="AI82" s="2">
        <v>0</v>
      </c>
      <c r="AJ82" s="2">
        <v>0</v>
      </c>
      <c r="AK82">
        <f t="shared" si="39"/>
        <v>0</v>
      </c>
    </row>
    <row r="83" spans="1:37" x14ac:dyDescent="0.2">
      <c r="A83">
        <v>12</v>
      </c>
      <c r="B83" s="8">
        <v>13</v>
      </c>
      <c r="C83" s="8">
        <v>0</v>
      </c>
      <c r="D83" s="8">
        <f t="shared" si="30"/>
        <v>1.1139433523068367</v>
      </c>
      <c r="E83" s="13">
        <v>0</v>
      </c>
      <c r="F83" s="8">
        <f t="shared" si="31"/>
        <v>1.1139433523068367</v>
      </c>
      <c r="G83" s="8">
        <v>0</v>
      </c>
      <c r="H83" s="8">
        <v>0</v>
      </c>
      <c r="I83" s="13">
        <v>0</v>
      </c>
      <c r="J83" s="13">
        <v>0</v>
      </c>
      <c r="K83" s="8">
        <f t="shared" si="32"/>
        <v>0</v>
      </c>
      <c r="N83">
        <v>102</v>
      </c>
      <c r="O83">
        <v>0</v>
      </c>
      <c r="P83">
        <f t="shared" si="40"/>
        <v>2.0086001717619175</v>
      </c>
      <c r="Q83" s="2">
        <v>0</v>
      </c>
      <c r="R83">
        <f t="shared" si="36"/>
        <v>2.0086001717619175</v>
      </c>
      <c r="S83" t="s">
        <v>131</v>
      </c>
      <c r="T83">
        <v>0</v>
      </c>
      <c r="U83">
        <v>0</v>
      </c>
      <c r="V83" s="2">
        <v>0</v>
      </c>
      <c r="W83" s="2">
        <v>0</v>
      </c>
      <c r="X83">
        <f t="shared" si="22"/>
        <v>0</v>
      </c>
      <c r="AA83">
        <v>55</v>
      </c>
      <c r="AB83">
        <v>0</v>
      </c>
      <c r="AC83">
        <f t="shared" si="37"/>
        <v>1.7403626894942439</v>
      </c>
      <c r="AD83" s="2">
        <v>0</v>
      </c>
      <c r="AE83">
        <f t="shared" si="38"/>
        <v>1.7403626894942439</v>
      </c>
      <c r="AF83" t="s">
        <v>131</v>
      </c>
      <c r="AG83">
        <v>0</v>
      </c>
      <c r="AH83">
        <v>0</v>
      </c>
      <c r="AI83" s="2">
        <v>0</v>
      </c>
      <c r="AJ83" s="2">
        <v>0</v>
      </c>
      <c r="AK83">
        <f t="shared" si="39"/>
        <v>0</v>
      </c>
    </row>
    <row r="84" spans="1:37" x14ac:dyDescent="0.2">
      <c r="B84" s="8">
        <v>114</v>
      </c>
      <c r="C84" s="8">
        <v>0</v>
      </c>
      <c r="D84" s="8">
        <f t="shared" si="30"/>
        <v>2.0569048513364727</v>
      </c>
      <c r="E84" s="13">
        <v>0</v>
      </c>
      <c r="F84" s="8">
        <f t="shared" si="31"/>
        <v>2.0569048513364727</v>
      </c>
      <c r="G84" s="8">
        <v>0</v>
      </c>
      <c r="H84" s="8">
        <v>0</v>
      </c>
      <c r="I84" s="13">
        <v>0</v>
      </c>
      <c r="J84" s="13">
        <v>0</v>
      </c>
      <c r="K84" s="8">
        <f t="shared" si="32"/>
        <v>0</v>
      </c>
      <c r="M84">
        <v>18</v>
      </c>
      <c r="N84">
        <v>96</v>
      </c>
      <c r="O84">
        <v>0</v>
      </c>
      <c r="P84">
        <f t="shared" si="40"/>
        <v>1.9822712330395684</v>
      </c>
      <c r="Q84" s="2">
        <v>0</v>
      </c>
      <c r="R84">
        <f t="shared" si="36"/>
        <v>1.9822712330395684</v>
      </c>
      <c r="S84" t="s">
        <v>131</v>
      </c>
      <c r="T84">
        <v>2</v>
      </c>
      <c r="U84">
        <v>0</v>
      </c>
      <c r="V84">
        <f>LOG(T84)</f>
        <v>0.3010299956639812</v>
      </c>
      <c r="W84" s="2">
        <v>0</v>
      </c>
      <c r="X84">
        <f t="shared" si="22"/>
        <v>0.3010299956639812</v>
      </c>
      <c r="Z84">
        <v>18</v>
      </c>
      <c r="AA84">
        <v>55</v>
      </c>
      <c r="AB84">
        <v>14</v>
      </c>
      <c r="AC84">
        <f t="shared" si="37"/>
        <v>1.7403626894942439</v>
      </c>
      <c r="AD84">
        <f>LOG(AB84)</f>
        <v>1.146128035678238</v>
      </c>
      <c r="AE84">
        <f t="shared" si="38"/>
        <v>0.59423465381600593</v>
      </c>
      <c r="AF84">
        <f>AE84</f>
        <v>0.59423465381600593</v>
      </c>
      <c r="AG84">
        <v>0</v>
      </c>
      <c r="AH84">
        <v>0</v>
      </c>
      <c r="AI84" s="2">
        <v>0</v>
      </c>
      <c r="AJ84" s="2">
        <v>0</v>
      </c>
      <c r="AK84">
        <f t="shared" si="39"/>
        <v>0</v>
      </c>
    </row>
    <row r="85" spans="1:37" x14ac:dyDescent="0.2">
      <c r="B85" s="8">
        <v>0</v>
      </c>
      <c r="C85" s="8">
        <v>0</v>
      </c>
      <c r="D85" s="8">
        <f>LOG(1)</f>
        <v>0</v>
      </c>
      <c r="E85" s="13">
        <v>0</v>
      </c>
      <c r="F85" s="8">
        <f t="shared" si="31"/>
        <v>0</v>
      </c>
      <c r="G85" s="8">
        <v>0</v>
      </c>
      <c r="H85" s="8">
        <v>0</v>
      </c>
      <c r="I85" s="13">
        <v>0</v>
      </c>
      <c r="J85" s="13">
        <v>0</v>
      </c>
      <c r="K85" s="8">
        <f t="shared" si="32"/>
        <v>0</v>
      </c>
      <c r="N85">
        <v>2500</v>
      </c>
      <c r="O85">
        <v>0</v>
      </c>
      <c r="P85">
        <f t="shared" si="40"/>
        <v>3.3979400086720375</v>
      </c>
      <c r="Q85" s="2">
        <v>0</v>
      </c>
      <c r="R85">
        <f t="shared" si="36"/>
        <v>3.3979400086720375</v>
      </c>
      <c r="S85" t="s">
        <v>131</v>
      </c>
      <c r="T85">
        <v>0</v>
      </c>
      <c r="U85">
        <v>0</v>
      </c>
      <c r="V85" s="2">
        <v>0</v>
      </c>
      <c r="W85" s="2">
        <v>0</v>
      </c>
      <c r="X85">
        <f t="shared" si="22"/>
        <v>0</v>
      </c>
      <c r="AA85">
        <v>107</v>
      </c>
      <c r="AB85">
        <v>0</v>
      </c>
      <c r="AC85">
        <f t="shared" si="37"/>
        <v>2.0293837776852097</v>
      </c>
      <c r="AD85" s="2">
        <v>0</v>
      </c>
      <c r="AE85">
        <f t="shared" si="38"/>
        <v>2.0293837776852097</v>
      </c>
      <c r="AF85" t="s">
        <v>131</v>
      </c>
      <c r="AG85">
        <v>0</v>
      </c>
      <c r="AH85">
        <v>0</v>
      </c>
      <c r="AI85" s="2">
        <v>0</v>
      </c>
      <c r="AJ85" s="2">
        <v>0</v>
      </c>
      <c r="AK85">
        <f t="shared" si="39"/>
        <v>0</v>
      </c>
    </row>
    <row r="86" spans="1:37" x14ac:dyDescent="0.2">
      <c r="B86" s="8">
        <v>0</v>
      </c>
      <c r="C86" s="8">
        <v>1</v>
      </c>
      <c r="D86" s="8">
        <f>LOG(1)</f>
        <v>0</v>
      </c>
      <c r="E86" s="8">
        <f>LOG(C86)</f>
        <v>0</v>
      </c>
      <c r="F86" s="8">
        <f>D87-E86</f>
        <v>0</v>
      </c>
      <c r="G86" s="8">
        <v>0</v>
      </c>
      <c r="H86" s="8">
        <v>0</v>
      </c>
      <c r="I86" s="13">
        <v>0</v>
      </c>
      <c r="J86" s="13">
        <v>0</v>
      </c>
      <c r="K86" s="8">
        <f t="shared" si="32"/>
        <v>0</v>
      </c>
      <c r="M86">
        <v>19</v>
      </c>
      <c r="N86">
        <v>9700</v>
      </c>
      <c r="O86">
        <v>1600</v>
      </c>
      <c r="P86">
        <f t="shared" si="40"/>
        <v>3.9867717342662448</v>
      </c>
      <c r="Q86">
        <f>LOG(O86)</f>
        <v>3.2041199826559246</v>
      </c>
      <c r="R86">
        <f t="shared" si="36"/>
        <v>0.78265175161032019</v>
      </c>
      <c r="S86">
        <f>R86</f>
        <v>0.78265175161032019</v>
      </c>
      <c r="T86">
        <v>19</v>
      </c>
      <c r="U86">
        <v>0</v>
      </c>
      <c r="V86">
        <f>LOG(T86)</f>
        <v>1.2787536009528289</v>
      </c>
      <c r="W86" s="2">
        <v>0</v>
      </c>
      <c r="X86">
        <f t="shared" si="22"/>
        <v>1.2787536009528289</v>
      </c>
      <c r="Z86">
        <v>19</v>
      </c>
      <c r="AA86">
        <v>47</v>
      </c>
      <c r="AB86">
        <v>0</v>
      </c>
      <c r="AC86">
        <f t="shared" si="37"/>
        <v>1.6720978579357175</v>
      </c>
      <c r="AD86" s="2">
        <v>0</v>
      </c>
      <c r="AE86">
        <f t="shared" si="38"/>
        <v>1.6720978579357175</v>
      </c>
      <c r="AF86" t="s">
        <v>131</v>
      </c>
      <c r="AG86">
        <v>1</v>
      </c>
      <c r="AH86">
        <v>0</v>
      </c>
      <c r="AI86">
        <f>LOG(AG86)</f>
        <v>0</v>
      </c>
      <c r="AJ86" s="2">
        <v>0</v>
      </c>
      <c r="AK86">
        <f t="shared" si="39"/>
        <v>0</v>
      </c>
    </row>
    <row r="87" spans="1:37" x14ac:dyDescent="0.2">
      <c r="B87" s="8">
        <v>0</v>
      </c>
      <c r="C87" s="8">
        <v>0</v>
      </c>
      <c r="D87" s="8">
        <f>LOG(1)</f>
        <v>0</v>
      </c>
      <c r="E87" s="13">
        <v>0</v>
      </c>
      <c r="F87" s="8">
        <f>D87-E87</f>
        <v>0</v>
      </c>
      <c r="G87" s="8">
        <v>0</v>
      </c>
      <c r="H87" s="8">
        <v>0</v>
      </c>
      <c r="I87" s="13">
        <v>0</v>
      </c>
      <c r="J87" s="13">
        <v>0</v>
      </c>
      <c r="K87" s="8">
        <f t="shared" si="32"/>
        <v>0</v>
      </c>
      <c r="N87">
        <v>150</v>
      </c>
      <c r="O87">
        <v>22</v>
      </c>
      <c r="P87">
        <f t="shared" si="40"/>
        <v>2.1760912590556813</v>
      </c>
      <c r="Q87">
        <f>LOG(O87)</f>
        <v>1.3424226808222062</v>
      </c>
      <c r="R87">
        <f t="shared" si="36"/>
        <v>0.83366857823347518</v>
      </c>
      <c r="S87">
        <f>R87</f>
        <v>0.83366857823347518</v>
      </c>
      <c r="T87">
        <v>3</v>
      </c>
      <c r="U87">
        <v>0</v>
      </c>
      <c r="V87">
        <f>LOG(T87)</f>
        <v>0.47712125471966244</v>
      </c>
      <c r="W87" s="2">
        <v>0</v>
      </c>
      <c r="X87">
        <f t="shared" si="22"/>
        <v>0.47712125471966244</v>
      </c>
      <c r="AA87">
        <v>53</v>
      </c>
      <c r="AB87">
        <v>0</v>
      </c>
      <c r="AC87">
        <f t="shared" si="37"/>
        <v>1.7242758696007889</v>
      </c>
      <c r="AD87" s="2">
        <v>0</v>
      </c>
      <c r="AE87">
        <f t="shared" si="38"/>
        <v>1.7242758696007889</v>
      </c>
      <c r="AF87" t="s">
        <v>131</v>
      </c>
      <c r="AG87">
        <v>1</v>
      </c>
      <c r="AH87">
        <v>0</v>
      </c>
      <c r="AI87">
        <f>LOG(AG87)</f>
        <v>0</v>
      </c>
      <c r="AJ87" s="2">
        <v>0</v>
      </c>
      <c r="AK87">
        <f t="shared" si="39"/>
        <v>0</v>
      </c>
    </row>
    <row r="88" spans="1:37" x14ac:dyDescent="0.2">
      <c r="B88" s="8">
        <v>4</v>
      </c>
      <c r="C88" s="8">
        <v>2</v>
      </c>
      <c r="D88" s="8">
        <f t="shared" si="30"/>
        <v>0.6020599913279624</v>
      </c>
      <c r="E88" s="8">
        <f>LOG(C88)</f>
        <v>0.3010299956639812</v>
      </c>
      <c r="F88" s="8">
        <f t="shared" si="31"/>
        <v>0.3010299956639812</v>
      </c>
      <c r="G88" s="8">
        <v>0</v>
      </c>
      <c r="H88" s="8">
        <v>0</v>
      </c>
      <c r="I88" s="13">
        <v>0</v>
      </c>
      <c r="J88" s="13">
        <v>0</v>
      </c>
      <c r="K88" s="8">
        <f t="shared" si="32"/>
        <v>0</v>
      </c>
      <c r="M88">
        <v>20</v>
      </c>
      <c r="N88">
        <v>20</v>
      </c>
      <c r="O88">
        <v>0</v>
      </c>
      <c r="P88">
        <f t="shared" si="40"/>
        <v>1.3010299956639813</v>
      </c>
      <c r="Q88" s="2">
        <v>0</v>
      </c>
      <c r="R88">
        <f t="shared" si="36"/>
        <v>1.3010299956639813</v>
      </c>
      <c r="S88" t="s">
        <v>131</v>
      </c>
      <c r="T88">
        <v>1</v>
      </c>
      <c r="U88">
        <v>0</v>
      </c>
      <c r="V88">
        <f>LOG(T88)</f>
        <v>0</v>
      </c>
      <c r="W88" s="2">
        <v>0</v>
      </c>
      <c r="X88">
        <f t="shared" si="22"/>
        <v>0</v>
      </c>
      <c r="Z88">
        <v>20</v>
      </c>
      <c r="AA88">
        <v>137</v>
      </c>
      <c r="AB88">
        <v>0</v>
      </c>
      <c r="AC88">
        <f t="shared" si="37"/>
        <v>2.1367205671564067</v>
      </c>
      <c r="AD88" s="2">
        <v>0</v>
      </c>
      <c r="AE88">
        <f t="shared" si="38"/>
        <v>2.1367205671564067</v>
      </c>
      <c r="AF88" t="s">
        <v>131</v>
      </c>
      <c r="AG88">
        <v>1</v>
      </c>
      <c r="AH88">
        <v>0</v>
      </c>
      <c r="AI88">
        <f>LOG(AG88)</f>
        <v>0</v>
      </c>
      <c r="AJ88" s="2">
        <v>0</v>
      </c>
      <c r="AK88">
        <f t="shared" si="39"/>
        <v>0</v>
      </c>
    </row>
    <row r="89" spans="1:37" x14ac:dyDescent="0.2">
      <c r="B89">
        <v>10</v>
      </c>
      <c r="C89">
        <v>0</v>
      </c>
      <c r="D89">
        <f t="shared" si="30"/>
        <v>1</v>
      </c>
      <c r="E89" s="2">
        <v>0</v>
      </c>
      <c r="F89">
        <f t="shared" si="31"/>
        <v>1</v>
      </c>
      <c r="G89">
        <v>0</v>
      </c>
      <c r="H89">
        <v>0</v>
      </c>
      <c r="I89" s="2">
        <v>0</v>
      </c>
      <c r="J89" s="2">
        <v>0</v>
      </c>
      <c r="K89">
        <f t="shared" si="32"/>
        <v>0</v>
      </c>
      <c r="N89">
        <v>133</v>
      </c>
      <c r="O89">
        <v>292</v>
      </c>
      <c r="P89">
        <f t="shared" si="40"/>
        <v>2.1238516409670858</v>
      </c>
      <c r="Q89">
        <f>LOG(O89)</f>
        <v>2.4653828514484184</v>
      </c>
      <c r="R89">
        <f t="shared" si="36"/>
        <v>-0.34153121048133261</v>
      </c>
      <c r="S89">
        <f>R89</f>
        <v>-0.34153121048133261</v>
      </c>
      <c r="T89">
        <v>0</v>
      </c>
      <c r="U89">
        <v>1</v>
      </c>
      <c r="V89" s="2">
        <v>0</v>
      </c>
      <c r="W89">
        <f>LOG(U89)</f>
        <v>0</v>
      </c>
      <c r="X89">
        <f t="shared" si="22"/>
        <v>0</v>
      </c>
      <c r="AA89">
        <v>176</v>
      </c>
      <c r="AB89">
        <v>0</v>
      </c>
      <c r="AC89">
        <f t="shared" si="37"/>
        <v>2.2455126678141499</v>
      </c>
      <c r="AD89" s="2">
        <v>0</v>
      </c>
      <c r="AE89">
        <f t="shared" si="38"/>
        <v>2.2455126678141499</v>
      </c>
      <c r="AF89" t="s">
        <v>131</v>
      </c>
      <c r="AG89">
        <v>2</v>
      </c>
      <c r="AH89">
        <v>0</v>
      </c>
      <c r="AI89">
        <f>LOG(AG89)</f>
        <v>0.3010299956639812</v>
      </c>
      <c r="AJ89" s="2">
        <v>0</v>
      </c>
      <c r="AK89">
        <f t="shared" si="39"/>
        <v>0.3010299956639812</v>
      </c>
    </row>
    <row r="90" spans="1:37" x14ac:dyDescent="0.2">
      <c r="B90">
        <v>179</v>
      </c>
      <c r="C90">
        <v>121</v>
      </c>
      <c r="D90">
        <f t="shared" si="30"/>
        <v>2.2528530309798933</v>
      </c>
      <c r="E90">
        <f>LOG(C90)</f>
        <v>2.0827853703164503</v>
      </c>
      <c r="F90">
        <f t="shared" si="31"/>
        <v>0.17006766066344303</v>
      </c>
      <c r="G90">
        <v>0</v>
      </c>
      <c r="H90">
        <v>0</v>
      </c>
      <c r="I90" s="2">
        <v>0</v>
      </c>
      <c r="J90" s="2">
        <v>0</v>
      </c>
      <c r="K90">
        <f t="shared" si="32"/>
        <v>0</v>
      </c>
      <c r="R90">
        <f>AVERAGE(R50:R89)</f>
        <v>0.93885704745339216</v>
      </c>
      <c r="S90">
        <f>AVERAGE(S50:S89)</f>
        <v>7.8029896655036193E-2</v>
      </c>
      <c r="X90">
        <f>AVERAGE(X50:X89)</f>
        <v>0.29099002332863022</v>
      </c>
      <c r="AE90">
        <f>AVERAGE(AE50:AE89)</f>
        <v>1.3393725129931831</v>
      </c>
      <c r="AF90">
        <f>AVERAGE(AF50:AF89)</f>
        <v>0.36948781458490565</v>
      </c>
      <c r="AK90">
        <f>AVERAGE(AK50:AK89)</f>
        <v>0.1231808557801084</v>
      </c>
    </row>
    <row r="91" spans="1:37" x14ac:dyDescent="0.2">
      <c r="A91">
        <v>13</v>
      </c>
      <c r="B91" s="8">
        <v>5500</v>
      </c>
      <c r="C91" s="8">
        <v>0</v>
      </c>
      <c r="D91" s="8">
        <f t="shared" si="30"/>
        <v>3.7403626894942437</v>
      </c>
      <c r="E91" s="13">
        <v>0</v>
      </c>
      <c r="F91" s="8">
        <f t="shared" si="31"/>
        <v>3.7403626894942437</v>
      </c>
      <c r="G91" s="8">
        <v>2</v>
      </c>
      <c r="H91" s="8">
        <v>0</v>
      </c>
      <c r="I91" s="8">
        <f>LOG(G91)</f>
        <v>0.3010299956639812</v>
      </c>
      <c r="J91" s="13">
        <v>0</v>
      </c>
      <c r="K91" s="8">
        <f t="shared" si="32"/>
        <v>0.3010299956639812</v>
      </c>
      <c r="R91">
        <f>(STDEV(R50:R89))/(SQRT(COUNT(R50:R89)))</f>
        <v>0.23081468348179524</v>
      </c>
      <c r="S91">
        <f>(STDEV(S50:S89))/(SQRT(COUNT(S50:S89)))</f>
        <v>0.28118757406456185</v>
      </c>
      <c r="X91">
        <f>(STDEV(X50:X89))/(SQRT(COUNT(X50:X89)))</f>
        <v>0.10541485366416216</v>
      </c>
      <c r="AE91">
        <f>(STDEV(AE50:AE89))/(SQRT(COUNT(AE50:AE89)))</f>
        <v>0.21109623763831364</v>
      </c>
      <c r="AF91">
        <f>(STDEV(AF50:AF89))/(SQRT(COUNT(AF50:AF89)))</f>
        <v>0.32020121688662706</v>
      </c>
      <c r="AK91">
        <f>(STDEV(AK50:AK89))/(SQRT(COUNT(AK50:AK89)))</f>
        <v>4.5764181946864872E-2</v>
      </c>
    </row>
    <row r="92" spans="1:37" x14ac:dyDescent="0.2">
      <c r="B92" s="8">
        <v>9</v>
      </c>
      <c r="C92" s="8">
        <v>0</v>
      </c>
      <c r="D92" s="8">
        <f t="shared" si="30"/>
        <v>0.95424250943932487</v>
      </c>
      <c r="E92" s="13">
        <v>0</v>
      </c>
      <c r="F92" s="8">
        <f t="shared" si="31"/>
        <v>0.95424250943932487</v>
      </c>
      <c r="G92" s="8">
        <v>0</v>
      </c>
      <c r="H92" s="8">
        <v>0</v>
      </c>
      <c r="I92" s="13">
        <v>0</v>
      </c>
      <c r="J92" s="13">
        <v>0</v>
      </c>
      <c r="K92" s="8">
        <f t="shared" si="32"/>
        <v>0</v>
      </c>
    </row>
    <row r="93" spans="1:37" x14ac:dyDescent="0.2">
      <c r="B93" s="8">
        <v>163</v>
      </c>
      <c r="C93" s="8">
        <v>1</v>
      </c>
      <c r="D93" s="8">
        <f t="shared" si="30"/>
        <v>2.2121876044039577</v>
      </c>
      <c r="E93" s="8">
        <f>LOG(C93)</f>
        <v>0</v>
      </c>
      <c r="F93" s="8">
        <f t="shared" si="31"/>
        <v>2.2121876044039577</v>
      </c>
      <c r="G93" s="8">
        <v>0</v>
      </c>
      <c r="H93" s="8">
        <v>0</v>
      </c>
      <c r="I93" s="13">
        <v>0</v>
      </c>
      <c r="J93" s="13">
        <v>0</v>
      </c>
      <c r="K93" s="8">
        <f t="shared" si="32"/>
        <v>0</v>
      </c>
    </row>
    <row r="94" spans="1:37" x14ac:dyDescent="0.2">
      <c r="B94" s="8">
        <v>1</v>
      </c>
      <c r="C94" s="8">
        <v>0</v>
      </c>
      <c r="D94" s="8">
        <f t="shared" si="30"/>
        <v>0</v>
      </c>
      <c r="E94" s="13">
        <v>0</v>
      </c>
      <c r="F94" s="8">
        <f t="shared" si="31"/>
        <v>0</v>
      </c>
      <c r="G94" s="8">
        <v>0</v>
      </c>
      <c r="H94" s="8">
        <v>0</v>
      </c>
      <c r="I94" s="13">
        <v>0</v>
      </c>
      <c r="J94" s="13">
        <v>0</v>
      </c>
      <c r="K94" s="8">
        <f t="shared" si="32"/>
        <v>0</v>
      </c>
    </row>
    <row r="95" spans="1:37" x14ac:dyDescent="0.2">
      <c r="B95" s="8">
        <v>46</v>
      </c>
      <c r="C95" s="8">
        <v>0</v>
      </c>
      <c r="D95" s="8">
        <f t="shared" si="30"/>
        <v>1.6627578316815741</v>
      </c>
      <c r="E95" s="13">
        <v>0</v>
      </c>
      <c r="F95" s="8">
        <f t="shared" si="31"/>
        <v>1.6627578316815741</v>
      </c>
      <c r="G95" s="8">
        <v>0</v>
      </c>
      <c r="H95" s="8">
        <v>0</v>
      </c>
      <c r="I95" s="13">
        <v>0</v>
      </c>
      <c r="J95" s="13">
        <v>0</v>
      </c>
      <c r="K95" s="8">
        <f t="shared" si="32"/>
        <v>0</v>
      </c>
    </row>
    <row r="96" spans="1:37" x14ac:dyDescent="0.2">
      <c r="B96" s="8">
        <v>4200</v>
      </c>
      <c r="C96" s="8">
        <v>0</v>
      </c>
      <c r="D96" s="8">
        <f t="shared" si="30"/>
        <v>3.6232492903979003</v>
      </c>
      <c r="E96" s="13">
        <v>0</v>
      </c>
      <c r="F96" s="8">
        <f t="shared" si="31"/>
        <v>3.6232492903979003</v>
      </c>
      <c r="G96" s="8">
        <v>1</v>
      </c>
      <c r="H96" s="8">
        <v>0</v>
      </c>
      <c r="I96" s="8">
        <f>LOG(G96)</f>
        <v>0</v>
      </c>
      <c r="J96" s="13">
        <v>0</v>
      </c>
      <c r="K96" s="8">
        <f t="shared" si="32"/>
        <v>0</v>
      </c>
    </row>
    <row r="97" spans="1:11" x14ac:dyDescent="0.2">
      <c r="B97">
        <v>24</v>
      </c>
      <c r="C97">
        <v>0</v>
      </c>
      <c r="D97">
        <f t="shared" si="30"/>
        <v>1.3802112417116059</v>
      </c>
      <c r="E97" s="2">
        <v>0</v>
      </c>
      <c r="F97">
        <f t="shared" si="31"/>
        <v>1.3802112417116059</v>
      </c>
      <c r="G97">
        <v>0</v>
      </c>
      <c r="H97">
        <v>0</v>
      </c>
      <c r="I97" s="2">
        <v>0</v>
      </c>
      <c r="J97" s="2">
        <v>0</v>
      </c>
      <c r="K97">
        <f t="shared" si="32"/>
        <v>0</v>
      </c>
    </row>
    <row r="98" spans="1:11" x14ac:dyDescent="0.2">
      <c r="B98">
        <v>21</v>
      </c>
      <c r="C98">
        <v>0</v>
      </c>
      <c r="D98">
        <f t="shared" si="30"/>
        <v>1.3222192947339193</v>
      </c>
      <c r="E98" s="2">
        <v>0</v>
      </c>
      <c r="F98">
        <f t="shared" si="31"/>
        <v>1.3222192947339193</v>
      </c>
      <c r="G98">
        <v>0</v>
      </c>
      <c r="H98">
        <v>0</v>
      </c>
      <c r="I98" s="2">
        <v>0</v>
      </c>
      <c r="J98" s="2">
        <v>0</v>
      </c>
      <c r="K98">
        <f t="shared" si="32"/>
        <v>0</v>
      </c>
    </row>
    <row r="99" spans="1:11" x14ac:dyDescent="0.2">
      <c r="A99">
        <v>14</v>
      </c>
      <c r="B99" s="8">
        <v>210</v>
      </c>
      <c r="C99" s="8">
        <v>0</v>
      </c>
      <c r="D99" s="8">
        <f t="shared" ref="D99:D105" si="41">LOG(B99)</f>
        <v>2.3222192947339191</v>
      </c>
      <c r="E99" s="13">
        <v>0</v>
      </c>
      <c r="F99" s="8">
        <f t="shared" ref="F99:F105" si="42">D99-E99</f>
        <v>2.3222192947339191</v>
      </c>
      <c r="G99" s="8">
        <v>2</v>
      </c>
      <c r="H99" s="8">
        <v>0</v>
      </c>
      <c r="I99" s="8">
        <f t="shared" ref="I99:I105" si="43">LOG(G99)</f>
        <v>0.3010299956639812</v>
      </c>
      <c r="J99" s="13">
        <v>0</v>
      </c>
      <c r="K99" s="8">
        <f t="shared" ref="K99:K105" si="44">I99-J99</f>
        <v>0.3010299956639812</v>
      </c>
    </row>
    <row r="100" spans="1:11" x14ac:dyDescent="0.2">
      <c r="B100" s="8">
        <v>92</v>
      </c>
      <c r="C100" s="8">
        <v>0</v>
      </c>
      <c r="D100" s="8">
        <f t="shared" si="41"/>
        <v>1.9637878273455553</v>
      </c>
      <c r="E100" s="13">
        <v>0</v>
      </c>
      <c r="F100" s="8">
        <f t="shared" si="42"/>
        <v>1.9637878273455553</v>
      </c>
      <c r="G100" s="8">
        <v>4</v>
      </c>
      <c r="H100" s="8">
        <v>0</v>
      </c>
      <c r="I100" s="8">
        <f t="shared" si="43"/>
        <v>0.6020599913279624</v>
      </c>
      <c r="J100" s="13">
        <v>0</v>
      </c>
      <c r="K100" s="8">
        <f t="shared" si="44"/>
        <v>0.6020599913279624</v>
      </c>
    </row>
    <row r="101" spans="1:11" x14ac:dyDescent="0.2">
      <c r="B101" s="8">
        <v>66</v>
      </c>
      <c r="C101" s="8">
        <v>0</v>
      </c>
      <c r="D101" s="8">
        <f t="shared" si="41"/>
        <v>1.8195439355418688</v>
      </c>
      <c r="E101" s="13">
        <v>0</v>
      </c>
      <c r="F101" s="8">
        <f t="shared" si="42"/>
        <v>1.8195439355418688</v>
      </c>
      <c r="G101" s="8">
        <v>71</v>
      </c>
      <c r="H101" s="8">
        <v>0</v>
      </c>
      <c r="I101" s="8">
        <f t="shared" si="43"/>
        <v>1.8512583487190752</v>
      </c>
      <c r="J101" s="13">
        <v>0</v>
      </c>
      <c r="K101" s="8">
        <f t="shared" si="44"/>
        <v>1.8512583487190752</v>
      </c>
    </row>
    <row r="102" spans="1:11" x14ac:dyDescent="0.2">
      <c r="B102" s="8">
        <v>6400</v>
      </c>
      <c r="C102" s="8">
        <v>0</v>
      </c>
      <c r="D102" s="8">
        <f t="shared" si="41"/>
        <v>3.8061799739838871</v>
      </c>
      <c r="E102" s="13">
        <v>0</v>
      </c>
      <c r="F102" s="8">
        <f t="shared" si="42"/>
        <v>3.8061799739838871</v>
      </c>
      <c r="G102" s="8">
        <v>141</v>
      </c>
      <c r="H102" s="8">
        <v>0</v>
      </c>
      <c r="I102" s="8">
        <f t="shared" si="43"/>
        <v>2.1492191126553797</v>
      </c>
      <c r="J102" s="13">
        <v>0</v>
      </c>
      <c r="K102" s="8">
        <f t="shared" si="44"/>
        <v>2.1492191126553797</v>
      </c>
    </row>
    <row r="103" spans="1:11" x14ac:dyDescent="0.2">
      <c r="B103" s="8">
        <v>83</v>
      </c>
      <c r="C103" s="8">
        <v>0</v>
      </c>
      <c r="D103" s="8">
        <f t="shared" si="41"/>
        <v>1.919078092376074</v>
      </c>
      <c r="E103" s="13">
        <v>0</v>
      </c>
      <c r="F103" s="8">
        <f t="shared" si="42"/>
        <v>1.919078092376074</v>
      </c>
      <c r="G103" s="8">
        <v>32</v>
      </c>
      <c r="H103" s="8">
        <v>0</v>
      </c>
      <c r="I103" s="8">
        <f t="shared" si="43"/>
        <v>1.505149978319906</v>
      </c>
      <c r="J103" s="13">
        <v>0</v>
      </c>
      <c r="K103" s="8">
        <f t="shared" si="44"/>
        <v>1.505149978319906</v>
      </c>
    </row>
    <row r="104" spans="1:11" x14ac:dyDescent="0.2">
      <c r="B104" s="8">
        <v>44</v>
      </c>
      <c r="C104" s="8">
        <v>27</v>
      </c>
      <c r="D104" s="8">
        <f t="shared" si="41"/>
        <v>1.6434526764861874</v>
      </c>
      <c r="E104" s="8">
        <f>LOG(C104)</f>
        <v>1.4313637641589874</v>
      </c>
      <c r="F104" s="8">
        <f t="shared" si="42"/>
        <v>0.21208891232720006</v>
      </c>
      <c r="G104" s="8">
        <v>1</v>
      </c>
      <c r="H104" s="8">
        <v>0</v>
      </c>
      <c r="I104" s="8">
        <f t="shared" si="43"/>
        <v>0</v>
      </c>
      <c r="J104" s="13">
        <v>0</v>
      </c>
      <c r="K104" s="8">
        <f t="shared" si="44"/>
        <v>0</v>
      </c>
    </row>
    <row r="105" spans="1:11" x14ac:dyDescent="0.2">
      <c r="B105">
        <v>30000</v>
      </c>
      <c r="C105">
        <v>0</v>
      </c>
      <c r="D105">
        <f t="shared" si="41"/>
        <v>4.4771212547196626</v>
      </c>
      <c r="E105" s="2">
        <v>0</v>
      </c>
      <c r="F105">
        <f t="shared" si="42"/>
        <v>4.4771212547196626</v>
      </c>
      <c r="G105">
        <v>1</v>
      </c>
      <c r="H105">
        <v>0</v>
      </c>
      <c r="I105">
        <f t="shared" si="43"/>
        <v>0</v>
      </c>
      <c r="J105" s="2">
        <v>0</v>
      </c>
      <c r="K105">
        <f t="shared" si="44"/>
        <v>0</v>
      </c>
    </row>
    <row r="106" spans="1:11" x14ac:dyDescent="0.2">
      <c r="A106">
        <v>15</v>
      </c>
      <c r="B106" s="8">
        <v>6</v>
      </c>
      <c r="C106" s="8">
        <v>0</v>
      </c>
      <c r="D106" s="8">
        <f t="shared" si="30"/>
        <v>0.77815125038364363</v>
      </c>
      <c r="E106" s="13">
        <v>0</v>
      </c>
      <c r="F106" s="8">
        <f t="shared" si="31"/>
        <v>0.77815125038364363</v>
      </c>
      <c r="G106" s="8">
        <v>0</v>
      </c>
      <c r="H106" s="8">
        <v>0</v>
      </c>
      <c r="I106" s="13">
        <v>0</v>
      </c>
      <c r="J106" s="13">
        <v>0</v>
      </c>
      <c r="K106" s="8">
        <f t="shared" si="32"/>
        <v>0</v>
      </c>
    </row>
    <row r="107" spans="1:11" x14ac:dyDescent="0.2">
      <c r="B107" s="8">
        <v>14</v>
      </c>
      <c r="C107" s="8">
        <v>0</v>
      </c>
      <c r="D107" s="8">
        <f t="shared" si="30"/>
        <v>1.146128035678238</v>
      </c>
      <c r="E107" s="13">
        <v>0</v>
      </c>
      <c r="F107" s="8">
        <f t="shared" si="31"/>
        <v>1.146128035678238</v>
      </c>
      <c r="G107" s="8">
        <v>0</v>
      </c>
      <c r="H107" s="8">
        <v>0</v>
      </c>
      <c r="I107" s="13">
        <v>0</v>
      </c>
      <c r="J107" s="13">
        <v>0</v>
      </c>
      <c r="K107" s="8">
        <f t="shared" si="32"/>
        <v>0</v>
      </c>
    </row>
    <row r="108" spans="1:11" x14ac:dyDescent="0.2">
      <c r="B108" s="8">
        <v>0</v>
      </c>
      <c r="C108" s="8">
        <v>0</v>
      </c>
      <c r="D108" s="8">
        <f>LOG(1)</f>
        <v>0</v>
      </c>
      <c r="E108" s="13">
        <v>0</v>
      </c>
      <c r="F108" s="8">
        <f t="shared" si="31"/>
        <v>0</v>
      </c>
      <c r="G108" s="8">
        <v>0</v>
      </c>
      <c r="H108" s="8">
        <v>0</v>
      </c>
      <c r="I108" s="13">
        <v>0</v>
      </c>
      <c r="J108" s="13">
        <v>0</v>
      </c>
      <c r="K108" s="8">
        <f t="shared" si="32"/>
        <v>0</v>
      </c>
    </row>
    <row r="109" spans="1:11" x14ac:dyDescent="0.2">
      <c r="B109" s="8">
        <v>0</v>
      </c>
      <c r="C109" s="8">
        <v>0</v>
      </c>
      <c r="D109" s="8">
        <f>LOG(1)</f>
        <v>0</v>
      </c>
      <c r="E109" s="13">
        <v>0</v>
      </c>
      <c r="F109" s="8">
        <f t="shared" si="31"/>
        <v>0</v>
      </c>
      <c r="G109" s="8">
        <v>0</v>
      </c>
      <c r="H109" s="8">
        <v>0</v>
      </c>
      <c r="I109" s="13">
        <v>0</v>
      </c>
      <c r="J109" s="13">
        <v>0</v>
      </c>
      <c r="K109" s="8">
        <f t="shared" si="32"/>
        <v>0</v>
      </c>
    </row>
    <row r="110" spans="1:11" x14ac:dyDescent="0.2">
      <c r="B110" s="8">
        <v>10</v>
      </c>
      <c r="C110" s="8">
        <v>0</v>
      </c>
      <c r="D110" s="8">
        <f t="shared" si="30"/>
        <v>1</v>
      </c>
      <c r="E110" s="13">
        <v>0</v>
      </c>
      <c r="F110" s="8">
        <f t="shared" si="31"/>
        <v>1</v>
      </c>
      <c r="G110" s="8">
        <v>0</v>
      </c>
      <c r="H110" s="8">
        <v>0</v>
      </c>
      <c r="I110" s="13">
        <v>0</v>
      </c>
      <c r="J110" s="13">
        <v>0</v>
      </c>
      <c r="K110" s="8">
        <f t="shared" si="32"/>
        <v>0</v>
      </c>
    </row>
    <row r="111" spans="1:11" x14ac:dyDescent="0.2">
      <c r="B111" s="8">
        <v>112</v>
      </c>
      <c r="C111" s="8">
        <v>0</v>
      </c>
      <c r="D111" s="8">
        <f t="shared" si="30"/>
        <v>2.0492180226701815</v>
      </c>
      <c r="E111" s="13">
        <v>0</v>
      </c>
      <c r="F111" s="8">
        <f t="shared" si="31"/>
        <v>2.0492180226701815</v>
      </c>
      <c r="G111" s="8">
        <v>0</v>
      </c>
      <c r="H111" s="8">
        <v>0</v>
      </c>
      <c r="I111" s="13">
        <v>0</v>
      </c>
      <c r="J111" s="13">
        <v>0</v>
      </c>
      <c r="K111" s="8">
        <f t="shared" si="32"/>
        <v>0</v>
      </c>
    </row>
    <row r="112" spans="1:11" x14ac:dyDescent="0.2">
      <c r="B112">
        <v>215</v>
      </c>
      <c r="C112">
        <v>0</v>
      </c>
      <c r="D112">
        <f t="shared" si="30"/>
        <v>2.3324384599156054</v>
      </c>
      <c r="E112" s="2">
        <v>0</v>
      </c>
      <c r="F112">
        <f t="shared" si="31"/>
        <v>2.3324384599156054</v>
      </c>
      <c r="G112">
        <v>3</v>
      </c>
      <c r="H112">
        <v>0</v>
      </c>
      <c r="I112">
        <f>LOG(G112)</f>
        <v>0.47712125471966244</v>
      </c>
      <c r="J112" s="2">
        <v>0</v>
      </c>
      <c r="K112">
        <f t="shared" si="32"/>
        <v>0.47712125471966244</v>
      </c>
    </row>
    <row r="113" spans="1:11" x14ac:dyDescent="0.2">
      <c r="B113">
        <v>14</v>
      </c>
      <c r="C113">
        <v>0</v>
      </c>
      <c r="D113">
        <f t="shared" si="30"/>
        <v>1.146128035678238</v>
      </c>
      <c r="E113" s="2">
        <v>0</v>
      </c>
      <c r="F113">
        <f t="shared" si="31"/>
        <v>1.146128035678238</v>
      </c>
      <c r="G113">
        <v>0</v>
      </c>
      <c r="H113">
        <v>0</v>
      </c>
      <c r="I113" s="2">
        <v>0</v>
      </c>
      <c r="J113" s="2">
        <v>0</v>
      </c>
      <c r="K113">
        <f t="shared" si="32"/>
        <v>0</v>
      </c>
    </row>
    <row r="114" spans="1:11" x14ac:dyDescent="0.2">
      <c r="A114">
        <v>16</v>
      </c>
      <c r="B114" s="8">
        <v>3200</v>
      </c>
      <c r="C114" s="8">
        <v>0</v>
      </c>
      <c r="D114" s="8">
        <f t="shared" si="30"/>
        <v>3.5051499783199058</v>
      </c>
      <c r="E114" s="13">
        <v>0</v>
      </c>
      <c r="F114" s="8">
        <f t="shared" si="31"/>
        <v>3.5051499783199058</v>
      </c>
      <c r="G114" s="8">
        <v>1600</v>
      </c>
      <c r="H114" s="8">
        <v>0</v>
      </c>
      <c r="I114" s="8">
        <f>LOG(G114)</f>
        <v>3.2041199826559246</v>
      </c>
      <c r="J114" s="13">
        <v>0</v>
      </c>
      <c r="K114" s="8">
        <f t="shared" si="32"/>
        <v>3.2041199826559246</v>
      </c>
    </row>
    <row r="115" spans="1:11" x14ac:dyDescent="0.2">
      <c r="B115" s="8">
        <v>30</v>
      </c>
      <c r="C115" s="8">
        <v>8200</v>
      </c>
      <c r="D115" s="8">
        <f t="shared" si="30"/>
        <v>1.4771212547196624</v>
      </c>
      <c r="E115" s="8">
        <f>LOG(C115)</f>
        <v>3.9138138523837167</v>
      </c>
      <c r="F115" s="8">
        <f t="shared" si="31"/>
        <v>-2.4366925976640541</v>
      </c>
      <c r="G115" s="8">
        <v>1</v>
      </c>
      <c r="H115" s="8">
        <v>1</v>
      </c>
      <c r="I115" s="8">
        <f>LOG(G115)</f>
        <v>0</v>
      </c>
      <c r="J115" s="8">
        <f>LOG(H115)</f>
        <v>0</v>
      </c>
      <c r="K115" s="8">
        <f t="shared" si="32"/>
        <v>0</v>
      </c>
    </row>
    <row r="116" spans="1:11" x14ac:dyDescent="0.2">
      <c r="B116" s="8">
        <v>117</v>
      </c>
      <c r="C116" s="8">
        <v>3700</v>
      </c>
      <c r="D116" s="8">
        <f t="shared" si="30"/>
        <v>2.0681858617461617</v>
      </c>
      <c r="E116" s="8">
        <f>LOG(C116)</f>
        <v>3.568201724066995</v>
      </c>
      <c r="F116" s="8">
        <f t="shared" si="31"/>
        <v>-1.5000158623208333</v>
      </c>
      <c r="G116" s="8">
        <v>3</v>
      </c>
      <c r="H116" s="8">
        <v>0</v>
      </c>
      <c r="I116" s="8">
        <f>LOG(G116)</f>
        <v>0.47712125471966244</v>
      </c>
      <c r="J116" s="13">
        <v>0</v>
      </c>
      <c r="K116" s="8">
        <f t="shared" si="32"/>
        <v>0.47712125471966244</v>
      </c>
    </row>
    <row r="117" spans="1:11" x14ac:dyDescent="0.2">
      <c r="B117" s="8">
        <v>266</v>
      </c>
      <c r="C117" s="8">
        <v>16</v>
      </c>
      <c r="D117" s="8">
        <f t="shared" si="30"/>
        <v>2.424881636631067</v>
      </c>
      <c r="E117" s="8">
        <f>LOG(C117)</f>
        <v>1.2041199826559248</v>
      </c>
      <c r="F117" s="8">
        <f t="shared" si="31"/>
        <v>1.2207616539751422</v>
      </c>
      <c r="G117" s="8">
        <v>3</v>
      </c>
      <c r="H117" s="8">
        <v>0</v>
      </c>
      <c r="I117" s="8">
        <f>LOG(G117)</f>
        <v>0.47712125471966244</v>
      </c>
      <c r="J117" s="13">
        <v>0</v>
      </c>
      <c r="K117" s="8">
        <f t="shared" si="32"/>
        <v>0.47712125471966244</v>
      </c>
    </row>
    <row r="118" spans="1:11" x14ac:dyDescent="0.2">
      <c r="B118" s="8">
        <v>61</v>
      </c>
      <c r="C118" s="8">
        <v>290</v>
      </c>
      <c r="D118" s="8">
        <f t="shared" si="30"/>
        <v>1.7853298350107671</v>
      </c>
      <c r="E118" s="8">
        <f>LOG(C118)</f>
        <v>2.4623979978989561</v>
      </c>
      <c r="F118" s="8">
        <f t="shared" si="31"/>
        <v>-0.67706816288818894</v>
      </c>
      <c r="G118" s="8">
        <v>0</v>
      </c>
      <c r="H118" s="8">
        <v>3</v>
      </c>
      <c r="I118" s="13">
        <v>0</v>
      </c>
      <c r="J118" s="8">
        <f>LOG(H118)</f>
        <v>0.47712125471966244</v>
      </c>
      <c r="K118" s="8">
        <f t="shared" si="32"/>
        <v>-0.47712125471966244</v>
      </c>
    </row>
    <row r="119" spans="1:11" x14ac:dyDescent="0.2">
      <c r="B119" s="8">
        <v>106</v>
      </c>
      <c r="C119" s="8">
        <v>30000</v>
      </c>
      <c r="D119" s="8">
        <f t="shared" si="30"/>
        <v>2.0253058652647704</v>
      </c>
      <c r="E119" s="8">
        <f>LOG(C119)</f>
        <v>4.4771212547196626</v>
      </c>
      <c r="F119" s="8">
        <f t="shared" si="31"/>
        <v>-2.4518153894548922</v>
      </c>
      <c r="G119" s="8">
        <v>1</v>
      </c>
      <c r="H119" s="8">
        <v>0</v>
      </c>
      <c r="I119" s="8">
        <f>LOG(G119)</f>
        <v>0</v>
      </c>
      <c r="J119" s="13">
        <v>0</v>
      </c>
      <c r="K119" s="8">
        <f t="shared" si="32"/>
        <v>0</v>
      </c>
    </row>
    <row r="120" spans="1:11" x14ac:dyDescent="0.2">
      <c r="B120">
        <v>18</v>
      </c>
      <c r="C120">
        <v>0</v>
      </c>
      <c r="D120">
        <f t="shared" si="30"/>
        <v>1.255272505103306</v>
      </c>
      <c r="E120" s="2">
        <v>0</v>
      </c>
      <c r="F120">
        <f t="shared" si="31"/>
        <v>1.255272505103306</v>
      </c>
      <c r="G120">
        <v>2</v>
      </c>
      <c r="H120">
        <v>0</v>
      </c>
      <c r="I120">
        <f>LOG(G120)</f>
        <v>0.3010299956639812</v>
      </c>
      <c r="J120" s="2">
        <v>0</v>
      </c>
      <c r="K120">
        <f t="shared" si="32"/>
        <v>0.3010299956639812</v>
      </c>
    </row>
    <row r="121" spans="1:11" x14ac:dyDescent="0.2">
      <c r="B121">
        <v>107</v>
      </c>
      <c r="C121">
        <v>1</v>
      </c>
      <c r="D121">
        <f t="shared" si="30"/>
        <v>2.0293837776852097</v>
      </c>
      <c r="E121">
        <f>LOG(C121)</f>
        <v>0</v>
      </c>
      <c r="F121">
        <f t="shared" si="31"/>
        <v>2.0293837776852097</v>
      </c>
      <c r="G121">
        <v>2</v>
      </c>
      <c r="H121">
        <v>0</v>
      </c>
      <c r="I121">
        <f>LOG(G121)</f>
        <v>0.3010299956639812</v>
      </c>
      <c r="J121" s="2">
        <v>0</v>
      </c>
      <c r="K121">
        <f t="shared" si="32"/>
        <v>0.3010299956639812</v>
      </c>
    </row>
    <row r="122" spans="1:11" x14ac:dyDescent="0.2">
      <c r="A122">
        <v>17</v>
      </c>
      <c r="B122" s="8">
        <v>23100</v>
      </c>
      <c r="C122" s="8">
        <v>0</v>
      </c>
      <c r="D122" s="8">
        <f t="shared" si="30"/>
        <v>4.363611979892144</v>
      </c>
      <c r="E122" s="13">
        <v>0</v>
      </c>
      <c r="F122" s="8">
        <f t="shared" si="31"/>
        <v>4.363611979892144</v>
      </c>
      <c r="G122" s="8">
        <v>2</v>
      </c>
      <c r="H122" s="8">
        <v>0</v>
      </c>
      <c r="I122" s="8">
        <f>LOG(G122)</f>
        <v>0.3010299956639812</v>
      </c>
      <c r="J122" s="13">
        <v>0</v>
      </c>
      <c r="K122" s="8">
        <f t="shared" si="32"/>
        <v>0.3010299956639812</v>
      </c>
    </row>
    <row r="123" spans="1:11" x14ac:dyDescent="0.2">
      <c r="B123" s="8">
        <v>80</v>
      </c>
      <c r="C123" s="8">
        <v>0</v>
      </c>
      <c r="D123" s="8">
        <f t="shared" si="30"/>
        <v>1.9030899869919435</v>
      </c>
      <c r="E123" s="13">
        <v>0</v>
      </c>
      <c r="F123" s="8">
        <f t="shared" si="31"/>
        <v>1.9030899869919435</v>
      </c>
      <c r="G123" s="8">
        <v>0</v>
      </c>
      <c r="H123" s="8">
        <v>0</v>
      </c>
      <c r="I123" s="13">
        <v>0</v>
      </c>
      <c r="J123" s="13">
        <v>0</v>
      </c>
      <c r="K123" s="8">
        <f t="shared" si="32"/>
        <v>0</v>
      </c>
    </row>
    <row r="124" spans="1:11" x14ac:dyDescent="0.2">
      <c r="B124" s="8">
        <v>32</v>
      </c>
      <c r="C124" s="8">
        <v>0</v>
      </c>
      <c r="D124" s="8">
        <f t="shared" si="30"/>
        <v>1.505149978319906</v>
      </c>
      <c r="E124" s="13">
        <v>0</v>
      </c>
      <c r="F124" s="8">
        <f t="shared" si="31"/>
        <v>1.505149978319906</v>
      </c>
      <c r="G124" s="8">
        <v>0</v>
      </c>
      <c r="H124" s="8">
        <v>0</v>
      </c>
      <c r="I124" s="13">
        <v>0</v>
      </c>
      <c r="J124" s="13">
        <v>0</v>
      </c>
      <c r="K124" s="8">
        <f t="shared" si="32"/>
        <v>0</v>
      </c>
    </row>
    <row r="125" spans="1:11" x14ac:dyDescent="0.2">
      <c r="B125" s="8">
        <v>102</v>
      </c>
      <c r="C125" s="8">
        <v>0</v>
      </c>
      <c r="D125" s="8">
        <f t="shared" si="30"/>
        <v>2.0086001717619175</v>
      </c>
      <c r="E125" s="13">
        <v>0</v>
      </c>
      <c r="F125" s="8">
        <f t="shared" si="31"/>
        <v>2.0086001717619175</v>
      </c>
      <c r="G125" s="8">
        <v>0</v>
      </c>
      <c r="H125" s="8">
        <v>0</v>
      </c>
      <c r="I125" s="13">
        <v>0</v>
      </c>
      <c r="J125" s="13">
        <v>0</v>
      </c>
      <c r="K125" s="8">
        <f t="shared" si="32"/>
        <v>0</v>
      </c>
    </row>
    <row r="126" spans="1:11" x14ac:dyDescent="0.2">
      <c r="B126" s="8">
        <v>29</v>
      </c>
      <c r="C126" s="8">
        <v>0</v>
      </c>
      <c r="D126" s="8">
        <f t="shared" si="30"/>
        <v>1.4623979978989561</v>
      </c>
      <c r="E126" s="13">
        <v>0</v>
      </c>
      <c r="F126" s="8">
        <f t="shared" si="31"/>
        <v>1.4623979978989561</v>
      </c>
      <c r="G126" s="8">
        <v>0</v>
      </c>
      <c r="H126" s="8">
        <v>0</v>
      </c>
      <c r="I126" s="13">
        <v>0</v>
      </c>
      <c r="J126" s="13">
        <v>0</v>
      </c>
      <c r="K126" s="8">
        <f t="shared" si="32"/>
        <v>0</v>
      </c>
    </row>
    <row r="127" spans="1:11" x14ac:dyDescent="0.2">
      <c r="B127" s="8">
        <v>25</v>
      </c>
      <c r="C127" s="8">
        <v>18</v>
      </c>
      <c r="D127" s="8">
        <f t="shared" si="30"/>
        <v>1.3979400086720377</v>
      </c>
      <c r="E127" s="8">
        <f>LOG(C127)</f>
        <v>1.255272505103306</v>
      </c>
      <c r="F127" s="8">
        <f t="shared" si="31"/>
        <v>0.1426675035687317</v>
      </c>
      <c r="G127" s="8">
        <v>1</v>
      </c>
      <c r="H127" s="8">
        <v>0</v>
      </c>
      <c r="I127" s="8">
        <f>LOG(G127)</f>
        <v>0</v>
      </c>
      <c r="J127" s="13">
        <v>0</v>
      </c>
      <c r="K127" s="8">
        <f t="shared" si="32"/>
        <v>0</v>
      </c>
    </row>
    <row r="128" spans="1:11" x14ac:dyDescent="0.2">
      <c r="B128">
        <v>25</v>
      </c>
      <c r="C128">
        <v>0</v>
      </c>
      <c r="D128">
        <f t="shared" ref="D128:D153" si="45">LOG(B128)</f>
        <v>1.3979400086720377</v>
      </c>
      <c r="E128" s="2">
        <v>0</v>
      </c>
      <c r="F128">
        <f t="shared" ref="F128:F153" si="46">D128-E128</f>
        <v>1.3979400086720377</v>
      </c>
      <c r="G128">
        <v>0</v>
      </c>
      <c r="H128">
        <v>0</v>
      </c>
      <c r="I128" s="2">
        <v>0</v>
      </c>
      <c r="J128" s="2">
        <v>0</v>
      </c>
      <c r="K128">
        <f t="shared" ref="K128:K153" si="47">I128-J128</f>
        <v>0</v>
      </c>
    </row>
    <row r="129" spans="1:11" x14ac:dyDescent="0.2">
      <c r="B129">
        <v>55</v>
      </c>
      <c r="C129">
        <v>0</v>
      </c>
      <c r="D129">
        <f t="shared" si="45"/>
        <v>1.7403626894942439</v>
      </c>
      <c r="E129" s="2">
        <v>0</v>
      </c>
      <c r="F129">
        <f t="shared" si="46"/>
        <v>1.7403626894942439</v>
      </c>
      <c r="G129">
        <v>0</v>
      </c>
      <c r="H129">
        <v>0</v>
      </c>
      <c r="I129" s="2">
        <v>0</v>
      </c>
      <c r="J129" s="2">
        <v>0</v>
      </c>
      <c r="K129">
        <f t="shared" si="47"/>
        <v>0</v>
      </c>
    </row>
    <row r="130" spans="1:11" x14ac:dyDescent="0.2">
      <c r="A130">
        <v>18</v>
      </c>
      <c r="B130" s="8">
        <v>265</v>
      </c>
      <c r="C130" s="8">
        <v>0</v>
      </c>
      <c r="D130" s="8">
        <f t="shared" si="45"/>
        <v>2.4232458739368079</v>
      </c>
      <c r="E130" s="13">
        <v>0</v>
      </c>
      <c r="F130" s="8">
        <f t="shared" si="46"/>
        <v>2.4232458739368079</v>
      </c>
      <c r="G130" s="8">
        <v>9</v>
      </c>
      <c r="H130" s="8">
        <v>0</v>
      </c>
      <c r="I130" s="8">
        <f t="shared" ref="I130:I153" si="48">LOG(G130)</f>
        <v>0.95424250943932487</v>
      </c>
      <c r="J130" s="13">
        <v>0</v>
      </c>
      <c r="K130" s="8">
        <f t="shared" si="47"/>
        <v>0.95424250943932487</v>
      </c>
    </row>
    <row r="131" spans="1:11" x14ac:dyDescent="0.2">
      <c r="B131" s="8">
        <v>148</v>
      </c>
      <c r="C131" s="8">
        <v>0</v>
      </c>
      <c r="D131" s="8">
        <f t="shared" si="45"/>
        <v>2.1702617153949575</v>
      </c>
      <c r="E131" s="13">
        <v>0</v>
      </c>
      <c r="F131" s="8">
        <f t="shared" si="46"/>
        <v>2.1702617153949575</v>
      </c>
      <c r="G131" s="8">
        <v>3</v>
      </c>
      <c r="H131" s="8">
        <v>0</v>
      </c>
      <c r="I131" s="8">
        <f t="shared" si="48"/>
        <v>0.47712125471966244</v>
      </c>
      <c r="J131" s="13">
        <v>0</v>
      </c>
      <c r="K131" s="8">
        <f t="shared" si="47"/>
        <v>0.47712125471966244</v>
      </c>
    </row>
    <row r="132" spans="1:11" x14ac:dyDescent="0.2">
      <c r="B132" s="8">
        <v>96</v>
      </c>
      <c r="C132" s="8">
        <v>0</v>
      </c>
      <c r="D132" s="8">
        <f t="shared" si="45"/>
        <v>1.9822712330395684</v>
      </c>
      <c r="E132" s="13">
        <v>0</v>
      </c>
      <c r="F132" s="8">
        <f t="shared" si="46"/>
        <v>1.9822712330395684</v>
      </c>
      <c r="G132" s="8">
        <v>2</v>
      </c>
      <c r="H132" s="8">
        <v>0</v>
      </c>
      <c r="I132" s="8">
        <f t="shared" si="48"/>
        <v>0.3010299956639812</v>
      </c>
      <c r="J132" s="13">
        <v>0</v>
      </c>
      <c r="K132" s="8">
        <f t="shared" si="47"/>
        <v>0.3010299956639812</v>
      </c>
    </row>
    <row r="133" spans="1:11" x14ac:dyDescent="0.2">
      <c r="B133" s="8">
        <v>2500</v>
      </c>
      <c r="C133" s="8">
        <v>0</v>
      </c>
      <c r="D133" s="8">
        <f t="shared" si="45"/>
        <v>3.3979400086720375</v>
      </c>
      <c r="E133" s="13">
        <v>0</v>
      </c>
      <c r="F133" s="8">
        <f t="shared" si="46"/>
        <v>3.3979400086720375</v>
      </c>
      <c r="G133" s="8">
        <v>0</v>
      </c>
      <c r="H133" s="8">
        <v>0</v>
      </c>
      <c r="I133" s="13">
        <v>0</v>
      </c>
      <c r="J133" s="13">
        <v>0</v>
      </c>
      <c r="K133" s="8">
        <f t="shared" si="47"/>
        <v>0</v>
      </c>
    </row>
    <row r="134" spans="1:11" x14ac:dyDescent="0.2">
      <c r="B134" s="8">
        <v>74</v>
      </c>
      <c r="C134" s="8">
        <v>2</v>
      </c>
      <c r="D134" s="8">
        <f t="shared" si="45"/>
        <v>1.8692317197309762</v>
      </c>
      <c r="E134" s="8">
        <f>LOG(C134)</f>
        <v>0.3010299956639812</v>
      </c>
      <c r="F134" s="8">
        <f t="shared" si="46"/>
        <v>1.568201724066995</v>
      </c>
      <c r="G134" s="8">
        <v>0</v>
      </c>
      <c r="H134" s="8">
        <v>0</v>
      </c>
      <c r="I134" s="13">
        <v>0</v>
      </c>
      <c r="J134" s="13">
        <v>0</v>
      </c>
      <c r="K134" s="8">
        <f t="shared" si="47"/>
        <v>0</v>
      </c>
    </row>
    <row r="135" spans="1:11" x14ac:dyDescent="0.2">
      <c r="B135" s="8">
        <v>600</v>
      </c>
      <c r="C135" s="8">
        <v>31</v>
      </c>
      <c r="D135" s="8">
        <f t="shared" si="45"/>
        <v>2.7781512503836434</v>
      </c>
      <c r="E135" s="8">
        <f>LOG(C135)</f>
        <v>1.4913616938342726</v>
      </c>
      <c r="F135" s="8">
        <f t="shared" si="46"/>
        <v>1.2867895565493708</v>
      </c>
      <c r="G135" s="8">
        <v>0</v>
      </c>
      <c r="H135" s="8">
        <v>0</v>
      </c>
      <c r="I135" s="13">
        <v>0</v>
      </c>
      <c r="J135" s="13">
        <v>0</v>
      </c>
      <c r="K135" s="8">
        <f t="shared" si="47"/>
        <v>0</v>
      </c>
    </row>
    <row r="136" spans="1:11" x14ac:dyDescent="0.2">
      <c r="B136">
        <v>55</v>
      </c>
      <c r="C136">
        <v>14</v>
      </c>
      <c r="D136">
        <f t="shared" si="45"/>
        <v>1.7403626894942439</v>
      </c>
      <c r="E136">
        <f>LOG(C136)</f>
        <v>1.146128035678238</v>
      </c>
      <c r="F136">
        <f t="shared" si="46"/>
        <v>0.59423465381600593</v>
      </c>
      <c r="G136">
        <v>0</v>
      </c>
      <c r="H136">
        <v>0</v>
      </c>
      <c r="I136" s="2">
        <v>0</v>
      </c>
      <c r="J136" s="2">
        <v>0</v>
      </c>
      <c r="K136">
        <f t="shared" si="47"/>
        <v>0</v>
      </c>
    </row>
    <row r="137" spans="1:11" x14ac:dyDescent="0.2">
      <c r="B137">
        <v>107</v>
      </c>
      <c r="C137">
        <v>0</v>
      </c>
      <c r="D137">
        <f t="shared" si="45"/>
        <v>2.0293837776852097</v>
      </c>
      <c r="E137" s="2">
        <v>0</v>
      </c>
      <c r="F137">
        <f t="shared" si="46"/>
        <v>2.0293837776852097</v>
      </c>
      <c r="G137">
        <v>0</v>
      </c>
      <c r="H137">
        <v>0</v>
      </c>
      <c r="I137" s="2">
        <v>0</v>
      </c>
      <c r="J137" s="2">
        <v>0</v>
      </c>
      <c r="K137">
        <f t="shared" si="47"/>
        <v>0</v>
      </c>
    </row>
    <row r="138" spans="1:11" x14ac:dyDescent="0.2">
      <c r="A138">
        <v>19</v>
      </c>
      <c r="B138" s="8">
        <v>33</v>
      </c>
      <c r="C138" s="8">
        <v>0</v>
      </c>
      <c r="D138" s="8">
        <f t="shared" si="45"/>
        <v>1.5185139398778875</v>
      </c>
      <c r="E138" s="13">
        <v>0</v>
      </c>
      <c r="F138" s="8">
        <f t="shared" si="46"/>
        <v>1.5185139398778875</v>
      </c>
      <c r="G138" s="8">
        <v>6</v>
      </c>
      <c r="H138" s="8">
        <v>0</v>
      </c>
      <c r="I138" s="8">
        <f t="shared" si="48"/>
        <v>0.77815125038364363</v>
      </c>
      <c r="J138" s="13">
        <v>0</v>
      </c>
      <c r="K138" s="8">
        <f t="shared" si="47"/>
        <v>0.77815125038364363</v>
      </c>
    </row>
    <row r="139" spans="1:11" x14ac:dyDescent="0.2">
      <c r="B139" s="8">
        <v>18</v>
      </c>
      <c r="C139" s="8">
        <v>0</v>
      </c>
      <c r="D139" s="8">
        <f t="shared" si="45"/>
        <v>1.255272505103306</v>
      </c>
      <c r="E139" s="13">
        <v>0</v>
      </c>
      <c r="F139" s="8">
        <f t="shared" si="46"/>
        <v>1.255272505103306</v>
      </c>
      <c r="G139" s="8">
        <v>1</v>
      </c>
      <c r="H139" s="8">
        <v>0</v>
      </c>
      <c r="I139" s="8">
        <f t="shared" si="48"/>
        <v>0</v>
      </c>
      <c r="J139" s="13">
        <v>0</v>
      </c>
      <c r="K139" s="8">
        <f t="shared" si="47"/>
        <v>0</v>
      </c>
    </row>
    <row r="140" spans="1:11" x14ac:dyDescent="0.2">
      <c r="B140" s="8">
        <v>9700</v>
      </c>
      <c r="C140" s="8">
        <v>1600</v>
      </c>
      <c r="D140" s="8">
        <f t="shared" si="45"/>
        <v>3.9867717342662448</v>
      </c>
      <c r="E140" s="8">
        <f>LOG(C140)</f>
        <v>3.2041199826559246</v>
      </c>
      <c r="F140" s="8">
        <f t="shared" si="46"/>
        <v>0.78265175161032019</v>
      </c>
      <c r="G140" s="8">
        <v>19</v>
      </c>
      <c r="H140" s="8">
        <v>0</v>
      </c>
      <c r="I140" s="8">
        <f t="shared" si="48"/>
        <v>1.2787536009528289</v>
      </c>
      <c r="J140" s="13">
        <v>0</v>
      </c>
      <c r="K140" s="8">
        <f t="shared" si="47"/>
        <v>1.2787536009528289</v>
      </c>
    </row>
    <row r="141" spans="1:11" x14ac:dyDescent="0.2">
      <c r="B141" s="8">
        <v>150</v>
      </c>
      <c r="C141" s="8">
        <v>22</v>
      </c>
      <c r="D141" s="8">
        <f t="shared" si="45"/>
        <v>2.1760912590556813</v>
      </c>
      <c r="E141" s="8">
        <f t="shared" ref="E141:E151" si="49">LOG(C141)</f>
        <v>1.3424226808222062</v>
      </c>
      <c r="F141" s="8">
        <f t="shared" si="46"/>
        <v>0.83366857823347518</v>
      </c>
      <c r="G141" s="8">
        <v>3</v>
      </c>
      <c r="H141" s="8">
        <v>0</v>
      </c>
      <c r="I141" s="8">
        <f t="shared" si="48"/>
        <v>0.47712125471966244</v>
      </c>
      <c r="J141" s="13">
        <v>0</v>
      </c>
      <c r="K141" s="8">
        <f t="shared" si="47"/>
        <v>0.47712125471966244</v>
      </c>
    </row>
    <row r="142" spans="1:11" x14ac:dyDescent="0.2">
      <c r="B142" s="8">
        <v>113</v>
      </c>
      <c r="C142" s="8">
        <v>0</v>
      </c>
      <c r="D142" s="8">
        <f t="shared" si="45"/>
        <v>2.0530784434834195</v>
      </c>
      <c r="E142" s="13">
        <v>0</v>
      </c>
      <c r="F142" s="8">
        <f t="shared" si="46"/>
        <v>2.0530784434834195</v>
      </c>
      <c r="G142" s="8">
        <v>0</v>
      </c>
      <c r="H142" s="8">
        <v>0</v>
      </c>
      <c r="I142" s="13">
        <v>0</v>
      </c>
      <c r="J142" s="13">
        <v>0</v>
      </c>
      <c r="K142" s="8">
        <f t="shared" si="47"/>
        <v>0</v>
      </c>
    </row>
    <row r="143" spans="1:11" x14ac:dyDescent="0.2">
      <c r="B143" s="8">
        <v>4400</v>
      </c>
      <c r="C143" s="8">
        <v>0</v>
      </c>
      <c r="D143" s="8">
        <f t="shared" si="45"/>
        <v>3.6434526764861874</v>
      </c>
      <c r="E143" s="13">
        <v>0</v>
      </c>
      <c r="F143" s="8">
        <f t="shared" si="46"/>
        <v>3.6434526764861874</v>
      </c>
      <c r="G143" s="8">
        <v>0</v>
      </c>
      <c r="H143" s="8">
        <v>0</v>
      </c>
      <c r="I143" s="13">
        <v>0</v>
      </c>
      <c r="J143" s="13">
        <v>0</v>
      </c>
      <c r="K143" s="8">
        <f t="shared" si="47"/>
        <v>0</v>
      </c>
    </row>
    <row r="144" spans="1:11" x14ac:dyDescent="0.2">
      <c r="B144">
        <v>47</v>
      </c>
      <c r="C144">
        <v>0</v>
      </c>
      <c r="D144">
        <f t="shared" si="45"/>
        <v>1.6720978579357175</v>
      </c>
      <c r="E144" s="2">
        <v>0</v>
      </c>
      <c r="F144">
        <f t="shared" si="46"/>
        <v>1.6720978579357175</v>
      </c>
      <c r="G144">
        <v>1</v>
      </c>
      <c r="H144">
        <v>0</v>
      </c>
      <c r="I144">
        <f t="shared" si="48"/>
        <v>0</v>
      </c>
      <c r="J144" s="2">
        <v>0</v>
      </c>
      <c r="K144">
        <f t="shared" si="47"/>
        <v>0</v>
      </c>
    </row>
    <row r="145" spans="1:11" x14ac:dyDescent="0.2">
      <c r="B145">
        <v>53</v>
      </c>
      <c r="C145">
        <v>0</v>
      </c>
      <c r="D145">
        <f t="shared" si="45"/>
        <v>1.7242758696007889</v>
      </c>
      <c r="E145" s="2">
        <v>0</v>
      </c>
      <c r="F145">
        <f t="shared" si="46"/>
        <v>1.7242758696007889</v>
      </c>
      <c r="G145">
        <v>1</v>
      </c>
      <c r="H145">
        <v>0</v>
      </c>
      <c r="I145">
        <f t="shared" si="48"/>
        <v>0</v>
      </c>
      <c r="J145" s="2">
        <v>0</v>
      </c>
      <c r="K145">
        <f t="shared" si="47"/>
        <v>0</v>
      </c>
    </row>
    <row r="146" spans="1:11" x14ac:dyDescent="0.2">
      <c r="A146">
        <v>20</v>
      </c>
      <c r="B146" s="8">
        <v>44</v>
      </c>
      <c r="C146" s="8">
        <v>20</v>
      </c>
      <c r="D146" s="8">
        <f t="shared" si="45"/>
        <v>1.6434526764861874</v>
      </c>
      <c r="E146" s="8">
        <f t="shared" si="49"/>
        <v>1.3010299956639813</v>
      </c>
      <c r="F146" s="8">
        <f t="shared" si="46"/>
        <v>0.34242268082220617</v>
      </c>
      <c r="G146" s="8">
        <v>5</v>
      </c>
      <c r="H146" s="8">
        <v>0</v>
      </c>
      <c r="I146" s="8">
        <f t="shared" si="48"/>
        <v>0.69897000433601886</v>
      </c>
      <c r="J146" s="13">
        <v>0</v>
      </c>
      <c r="K146" s="8">
        <f t="shared" si="47"/>
        <v>0.69897000433601886</v>
      </c>
    </row>
    <row r="147" spans="1:11" x14ac:dyDescent="0.2">
      <c r="B147" s="8">
        <v>55</v>
      </c>
      <c r="C147" s="8">
        <v>192</v>
      </c>
      <c r="D147" s="8">
        <f t="shared" si="45"/>
        <v>1.7403626894942439</v>
      </c>
      <c r="E147" s="8">
        <f t="shared" si="49"/>
        <v>2.2833012287035497</v>
      </c>
      <c r="F147" s="8">
        <f t="shared" si="46"/>
        <v>-0.54293853920930579</v>
      </c>
      <c r="G147" s="8">
        <v>0</v>
      </c>
      <c r="H147" s="8">
        <v>9</v>
      </c>
      <c r="I147" s="13">
        <v>0</v>
      </c>
      <c r="J147" s="8">
        <f>LOG(H147)</f>
        <v>0.95424250943932487</v>
      </c>
      <c r="K147" s="8">
        <f t="shared" si="47"/>
        <v>-0.95424250943932487</v>
      </c>
    </row>
    <row r="148" spans="1:11" x14ac:dyDescent="0.2">
      <c r="B148" s="8">
        <v>20</v>
      </c>
      <c r="C148" s="8">
        <v>0</v>
      </c>
      <c r="D148" s="8">
        <f t="shared" si="45"/>
        <v>1.3010299956639813</v>
      </c>
      <c r="E148" s="13">
        <v>0</v>
      </c>
      <c r="F148" s="8">
        <f t="shared" si="46"/>
        <v>1.3010299956639813</v>
      </c>
      <c r="G148" s="8">
        <v>1</v>
      </c>
      <c r="H148" s="8">
        <v>0</v>
      </c>
      <c r="I148" s="8">
        <f t="shared" si="48"/>
        <v>0</v>
      </c>
      <c r="J148" s="13">
        <v>0</v>
      </c>
      <c r="K148" s="8">
        <f t="shared" si="47"/>
        <v>0</v>
      </c>
    </row>
    <row r="149" spans="1:11" x14ac:dyDescent="0.2">
      <c r="B149" s="8">
        <v>133</v>
      </c>
      <c r="C149" s="8">
        <v>292</v>
      </c>
      <c r="D149" s="8">
        <f t="shared" si="45"/>
        <v>2.1238516409670858</v>
      </c>
      <c r="E149" s="8">
        <f t="shared" si="49"/>
        <v>2.4653828514484184</v>
      </c>
      <c r="F149" s="8">
        <f t="shared" si="46"/>
        <v>-0.34153121048133261</v>
      </c>
      <c r="G149" s="8">
        <v>0</v>
      </c>
      <c r="H149" s="8">
        <v>1</v>
      </c>
      <c r="I149" s="13">
        <v>0</v>
      </c>
      <c r="J149" s="8">
        <f>LOG(H149)</f>
        <v>0</v>
      </c>
      <c r="K149" s="8">
        <f t="shared" si="47"/>
        <v>0</v>
      </c>
    </row>
    <row r="150" spans="1:11" x14ac:dyDescent="0.2">
      <c r="B150" s="8">
        <v>72</v>
      </c>
      <c r="C150" s="8">
        <v>0</v>
      </c>
      <c r="D150" s="8">
        <f t="shared" si="45"/>
        <v>1.8573324964312685</v>
      </c>
      <c r="E150" s="13">
        <v>0</v>
      </c>
      <c r="F150" s="8">
        <f t="shared" si="46"/>
        <v>1.8573324964312685</v>
      </c>
      <c r="G150" s="8">
        <v>3</v>
      </c>
      <c r="H150" s="8">
        <v>0</v>
      </c>
      <c r="I150" s="8">
        <f t="shared" si="48"/>
        <v>0.47712125471966244</v>
      </c>
      <c r="J150" s="13">
        <v>0</v>
      </c>
      <c r="K150" s="8">
        <f t="shared" si="47"/>
        <v>0.47712125471966244</v>
      </c>
    </row>
    <row r="151" spans="1:11" x14ac:dyDescent="0.2">
      <c r="B151" s="8">
        <v>119</v>
      </c>
      <c r="C151" s="8">
        <v>26</v>
      </c>
      <c r="D151" s="8">
        <f t="shared" si="45"/>
        <v>2.0755469613925306</v>
      </c>
      <c r="E151" s="8">
        <f t="shared" si="49"/>
        <v>1.414973347970818</v>
      </c>
      <c r="F151" s="8">
        <f t="shared" si="46"/>
        <v>0.66057361342171261</v>
      </c>
      <c r="G151" s="8">
        <v>1</v>
      </c>
      <c r="H151" s="8">
        <v>1</v>
      </c>
      <c r="I151" s="8">
        <f t="shared" si="48"/>
        <v>0</v>
      </c>
      <c r="J151" s="8">
        <f>LOG(H151)</f>
        <v>0</v>
      </c>
      <c r="K151" s="8">
        <f t="shared" si="47"/>
        <v>0</v>
      </c>
    </row>
    <row r="152" spans="1:11" x14ac:dyDescent="0.2">
      <c r="B152">
        <v>137</v>
      </c>
      <c r="C152">
        <v>0</v>
      </c>
      <c r="D152">
        <f t="shared" si="45"/>
        <v>2.1367205671564067</v>
      </c>
      <c r="E152" s="2">
        <v>0</v>
      </c>
      <c r="F152">
        <f t="shared" si="46"/>
        <v>2.1367205671564067</v>
      </c>
      <c r="G152">
        <v>1</v>
      </c>
      <c r="H152">
        <v>0</v>
      </c>
      <c r="I152">
        <f t="shared" si="48"/>
        <v>0</v>
      </c>
      <c r="J152" s="2">
        <v>0</v>
      </c>
      <c r="K152">
        <f t="shared" si="47"/>
        <v>0</v>
      </c>
    </row>
    <row r="153" spans="1:11" x14ac:dyDescent="0.2">
      <c r="B153">
        <v>176</v>
      </c>
      <c r="C153">
        <v>0</v>
      </c>
      <c r="D153">
        <f t="shared" si="45"/>
        <v>2.2455126678141499</v>
      </c>
      <c r="E153" s="2">
        <v>0</v>
      </c>
      <c r="F153">
        <f t="shared" si="46"/>
        <v>2.2455126678141499</v>
      </c>
      <c r="G153">
        <v>2</v>
      </c>
      <c r="H153">
        <v>0</v>
      </c>
      <c r="I153">
        <f t="shared" si="48"/>
        <v>0.3010299956639812</v>
      </c>
      <c r="J153" s="2">
        <v>0</v>
      </c>
      <c r="K153">
        <f t="shared" si="47"/>
        <v>0.3010299956639812</v>
      </c>
    </row>
    <row r="155" spans="1:11" x14ac:dyDescent="0.2">
      <c r="A155" s="26"/>
      <c r="B155" s="26"/>
      <c r="C155" s="26"/>
    </row>
    <row r="172" spans="1:3" x14ac:dyDescent="0.2">
      <c r="A172" s="32"/>
      <c r="B172" s="32"/>
      <c r="C172" s="32"/>
    </row>
    <row r="180" spans="1:3" x14ac:dyDescent="0.2">
      <c r="A180" s="32"/>
      <c r="B180" s="32"/>
      <c r="C180" s="32"/>
    </row>
  </sheetData>
  <mergeCells count="3">
    <mergeCell ref="A155:C155"/>
    <mergeCell ref="A172:C172"/>
    <mergeCell ref="A180:C180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7A0A5-3A35-3B46-87D4-E0CDB4242186}">
  <dimension ref="B1:AU106"/>
  <sheetViews>
    <sheetView topLeftCell="E57" zoomScale="75" zoomScaleNormal="75" workbookViewId="0">
      <selection activeCell="Q101" sqref="Q101:Q105"/>
    </sheetView>
  </sheetViews>
  <sheetFormatPr baseColWidth="10" defaultRowHeight="16" x14ac:dyDescent="0.2"/>
  <cols>
    <col min="29" max="29" width="13.6640625" customWidth="1"/>
    <col min="30" max="30" width="15.83203125" bestFit="1" customWidth="1"/>
    <col min="32" max="32" width="18.83203125" bestFit="1" customWidth="1"/>
    <col min="35" max="35" width="14.1640625" customWidth="1"/>
    <col min="38" max="38" width="12.1640625" bestFit="1" customWidth="1"/>
  </cols>
  <sheetData>
    <row r="1" spans="2:47" x14ac:dyDescent="0.2">
      <c r="B1" t="s">
        <v>98</v>
      </c>
      <c r="O1" t="s">
        <v>105</v>
      </c>
    </row>
    <row r="2" spans="2:47" x14ac:dyDescent="0.2">
      <c r="B2" t="s">
        <v>97</v>
      </c>
      <c r="C2" t="s">
        <v>91</v>
      </c>
      <c r="D2" t="s">
        <v>92</v>
      </c>
      <c r="E2" t="s">
        <v>99</v>
      </c>
      <c r="F2" t="s">
        <v>100</v>
      </c>
      <c r="G2" t="s">
        <v>93</v>
      </c>
      <c r="H2" s="19" t="s">
        <v>132</v>
      </c>
      <c r="I2" t="s">
        <v>94</v>
      </c>
      <c r="J2" t="s">
        <v>95</v>
      </c>
      <c r="K2" t="s">
        <v>101</v>
      </c>
      <c r="L2" t="s">
        <v>102</v>
      </c>
      <c r="M2" t="s">
        <v>103</v>
      </c>
      <c r="O2" t="s">
        <v>97</v>
      </c>
      <c r="P2" t="s">
        <v>91</v>
      </c>
      <c r="Q2" t="s">
        <v>92</v>
      </c>
      <c r="R2" t="s">
        <v>99</v>
      </c>
      <c r="S2" t="s">
        <v>100</v>
      </c>
      <c r="T2" t="s">
        <v>93</v>
      </c>
      <c r="U2" t="s">
        <v>132</v>
      </c>
      <c r="V2" t="s">
        <v>94</v>
      </c>
      <c r="W2" t="s">
        <v>95</v>
      </c>
      <c r="X2" t="s">
        <v>101</v>
      </c>
      <c r="Y2" t="s">
        <v>102</v>
      </c>
      <c r="Z2" t="s">
        <v>103</v>
      </c>
    </row>
    <row r="3" spans="2:47" x14ac:dyDescent="0.2">
      <c r="B3">
        <v>1</v>
      </c>
      <c r="C3" s="6">
        <v>336.5</v>
      </c>
      <c r="D3" s="6">
        <v>50</v>
      </c>
      <c r="E3">
        <f>LOG(C3)</f>
        <v>2.5269850685599957</v>
      </c>
      <c r="F3">
        <f>LOG(D3)</f>
        <v>1.6989700043360187</v>
      </c>
      <c r="G3">
        <f>E3-F3</f>
        <v>0.82801506422397697</v>
      </c>
      <c r="H3" t="s">
        <v>131</v>
      </c>
      <c r="I3" s="6">
        <v>12</v>
      </c>
      <c r="J3" s="6">
        <v>0</v>
      </c>
      <c r="K3">
        <f>LOG(I3)</f>
        <v>1.0791812460476249</v>
      </c>
      <c r="L3" s="2">
        <v>0</v>
      </c>
      <c r="M3">
        <f t="shared" ref="M3:M42" si="0">K3-L3</f>
        <v>1.0791812460476249</v>
      </c>
      <c r="O3">
        <v>1</v>
      </c>
      <c r="P3" s="6">
        <v>537</v>
      </c>
      <c r="Q3" s="6">
        <v>316</v>
      </c>
      <c r="R3">
        <f>LOG(P3)</f>
        <v>2.7299742856995555</v>
      </c>
      <c r="S3">
        <f>LOG(Q3)</f>
        <v>2.4996870826184039</v>
      </c>
      <c r="T3">
        <f>R3-S3</f>
        <v>0.23028720308115158</v>
      </c>
      <c r="U3">
        <f>T3</f>
        <v>0.23028720308115158</v>
      </c>
      <c r="V3">
        <v>7</v>
      </c>
      <c r="W3">
        <v>1</v>
      </c>
      <c r="X3">
        <f>LOG(V3)</f>
        <v>0.84509804001425681</v>
      </c>
      <c r="Y3">
        <f>LOG(W3)</f>
        <v>0</v>
      </c>
      <c r="Z3">
        <f>X3-Y3</f>
        <v>0.84509804001425681</v>
      </c>
    </row>
    <row r="4" spans="2:47" x14ac:dyDescent="0.2">
      <c r="C4" s="6">
        <v>138</v>
      </c>
      <c r="D4" s="6">
        <v>328.5</v>
      </c>
      <c r="E4">
        <f t="shared" ref="E4:E42" si="1">LOG(C4)</f>
        <v>2.1398790864012365</v>
      </c>
      <c r="F4">
        <f t="shared" ref="F4:F42" si="2">LOG(D4)</f>
        <v>2.5165353738957994</v>
      </c>
      <c r="G4">
        <f t="shared" ref="G4:G42" si="3">E4-F4</f>
        <v>-0.37665628749456292</v>
      </c>
      <c r="H4">
        <f>G4</f>
        <v>-0.37665628749456292</v>
      </c>
      <c r="I4" s="6">
        <v>2</v>
      </c>
      <c r="J4" s="6">
        <v>57</v>
      </c>
      <c r="K4">
        <f t="shared" ref="K4:K41" si="4">LOG(I4)</f>
        <v>0.3010299956639812</v>
      </c>
      <c r="L4">
        <f t="shared" ref="L4:L42" si="5">LOG(J4)</f>
        <v>1.7558748556724915</v>
      </c>
      <c r="M4">
        <f t="shared" si="0"/>
        <v>-1.4548448600085102</v>
      </c>
      <c r="U4">
        <f t="shared" ref="U4:U9" si="6">T4</f>
        <v>0</v>
      </c>
      <c r="AC4" t="s">
        <v>98</v>
      </c>
      <c r="AD4" s="14" t="s">
        <v>107</v>
      </c>
      <c r="AE4" s="14" t="s">
        <v>109</v>
      </c>
      <c r="AF4" s="14" t="s">
        <v>115</v>
      </c>
      <c r="AG4" s="14" t="s">
        <v>108</v>
      </c>
    </row>
    <row r="5" spans="2:47" x14ac:dyDescent="0.2">
      <c r="B5">
        <v>2</v>
      </c>
      <c r="C5" s="6">
        <v>8460</v>
      </c>
      <c r="D5" s="6">
        <v>50</v>
      </c>
      <c r="E5">
        <f t="shared" si="1"/>
        <v>3.9273703630390235</v>
      </c>
      <c r="F5">
        <f t="shared" si="2"/>
        <v>1.6989700043360187</v>
      </c>
      <c r="G5">
        <f t="shared" si="3"/>
        <v>2.2284003587030048</v>
      </c>
      <c r="H5" t="s">
        <v>131</v>
      </c>
      <c r="I5" s="6">
        <v>13</v>
      </c>
      <c r="J5" s="6">
        <v>50</v>
      </c>
      <c r="K5">
        <f t="shared" si="4"/>
        <v>1.1139433523068367</v>
      </c>
      <c r="L5">
        <f t="shared" si="5"/>
        <v>1.6989700043360187</v>
      </c>
      <c r="M5">
        <f t="shared" si="0"/>
        <v>-0.58502665202918203</v>
      </c>
      <c r="O5">
        <v>2</v>
      </c>
      <c r="P5" s="6">
        <v>100</v>
      </c>
      <c r="Q5" s="6">
        <v>7700</v>
      </c>
      <c r="R5">
        <f t="shared" ref="R5:S42" si="7">LOG(P5)</f>
        <v>2</v>
      </c>
      <c r="S5">
        <f t="shared" si="7"/>
        <v>3.8864907251724818</v>
      </c>
      <c r="T5">
        <f>R5-S5</f>
        <v>-1.8864907251724818</v>
      </c>
      <c r="U5">
        <f t="shared" si="6"/>
        <v>-1.8864907251724818</v>
      </c>
      <c r="V5">
        <v>200</v>
      </c>
      <c r="W5">
        <v>100</v>
      </c>
      <c r="X5">
        <f t="shared" ref="X5:Y20" si="8">LOG(V5)</f>
        <v>2.3010299956639813</v>
      </c>
      <c r="Y5">
        <f t="shared" si="8"/>
        <v>2</v>
      </c>
      <c r="Z5">
        <f>X5-Y5</f>
        <v>0.30102999566398125</v>
      </c>
      <c r="AC5" s="14" t="s">
        <v>110</v>
      </c>
      <c r="AD5" s="14">
        <f>MIN(E$3:E$42)</f>
        <v>0.77815125038364363</v>
      </c>
      <c r="AE5" s="14">
        <f>MIN(F$3:F$42)</f>
        <v>0</v>
      </c>
      <c r="AF5" s="14">
        <f>MIN(K$3:K$42)</f>
        <v>0</v>
      </c>
      <c r="AG5" s="14">
        <f>MIN(L$3:L$42)</f>
        <v>0</v>
      </c>
    </row>
    <row r="6" spans="2:47" x14ac:dyDescent="0.2">
      <c r="C6" s="6">
        <v>152</v>
      </c>
      <c r="D6" s="6">
        <v>0</v>
      </c>
      <c r="E6">
        <f t="shared" si="1"/>
        <v>2.1818435879447726</v>
      </c>
      <c r="F6">
        <f>LOG(1)</f>
        <v>0</v>
      </c>
      <c r="G6">
        <f t="shared" si="3"/>
        <v>2.1818435879447726</v>
      </c>
      <c r="H6" t="s">
        <v>131</v>
      </c>
      <c r="I6" s="6">
        <v>0</v>
      </c>
      <c r="J6" s="6">
        <v>0</v>
      </c>
      <c r="K6">
        <f>LOG(1)</f>
        <v>0</v>
      </c>
      <c r="L6" s="2">
        <v>0</v>
      </c>
      <c r="M6">
        <f t="shared" si="0"/>
        <v>0</v>
      </c>
      <c r="P6" s="6">
        <v>13</v>
      </c>
      <c r="Q6" s="6">
        <v>1490</v>
      </c>
      <c r="R6">
        <f t="shared" ref="R6" si="9">LOG(P6)</f>
        <v>1.1139433523068367</v>
      </c>
      <c r="S6">
        <f t="shared" ref="S6:S7" si="10">LOG(Q6)</f>
        <v>3.173186268412274</v>
      </c>
      <c r="T6">
        <f>R6-S6</f>
        <v>-2.0592429161054371</v>
      </c>
      <c r="U6">
        <f t="shared" si="6"/>
        <v>-2.0592429161054371</v>
      </c>
      <c r="V6">
        <v>101</v>
      </c>
      <c r="W6">
        <v>91</v>
      </c>
      <c r="X6">
        <f t="shared" si="8"/>
        <v>2.0043213737826426</v>
      </c>
      <c r="Y6">
        <f t="shared" si="8"/>
        <v>1.9590413923210936</v>
      </c>
      <c r="Z6">
        <f>X6-Y6</f>
        <v>4.527998146154899E-2</v>
      </c>
      <c r="AC6" s="14" t="s">
        <v>111</v>
      </c>
      <c r="AD6" s="14">
        <f>_xlfn.QUARTILE.EXC(E$3:E$42,1)</f>
        <v>2.2538229010988196</v>
      </c>
      <c r="AE6" s="14">
        <f>_xlfn.QUARTILE.EXC(F$3:F$42,1)</f>
        <v>0</v>
      </c>
      <c r="AF6" s="14">
        <f>_xlfn.QUARTILE.EXC(K$3:K$42,1)</f>
        <v>0</v>
      </c>
      <c r="AG6" s="14">
        <f>_xlfn.QUARTILE.EXC(L$3:L$42,1)</f>
        <v>0</v>
      </c>
    </row>
    <row r="7" spans="2:47" x14ac:dyDescent="0.2">
      <c r="B7">
        <v>3</v>
      </c>
      <c r="C7" s="6">
        <v>124</v>
      </c>
      <c r="D7" s="6">
        <v>0</v>
      </c>
      <c r="E7">
        <f t="shared" si="1"/>
        <v>2.0934216851622351</v>
      </c>
      <c r="F7">
        <f t="shared" ref="F7:F8" si="11">LOG(1)</f>
        <v>0</v>
      </c>
      <c r="G7">
        <f t="shared" si="3"/>
        <v>2.0934216851622351</v>
      </c>
      <c r="H7" t="s">
        <v>131</v>
      </c>
      <c r="I7" s="6">
        <v>0</v>
      </c>
      <c r="J7" s="6">
        <v>0</v>
      </c>
      <c r="K7">
        <f t="shared" ref="K7:K8" si="12">LOG(1)</f>
        <v>0</v>
      </c>
      <c r="L7" s="2">
        <v>0</v>
      </c>
      <c r="M7">
        <f t="shared" si="0"/>
        <v>0</v>
      </c>
      <c r="O7">
        <v>3</v>
      </c>
      <c r="P7" s="6">
        <v>2500</v>
      </c>
      <c r="Q7" s="6">
        <v>1041.5</v>
      </c>
      <c r="R7">
        <f>LOG(P7)</f>
        <v>3.3979400086720375</v>
      </c>
      <c r="S7">
        <f t="shared" si="10"/>
        <v>3.0176592742837647</v>
      </c>
      <c r="T7">
        <f>R7-S7</f>
        <v>0.38028073438827281</v>
      </c>
      <c r="U7">
        <f t="shared" si="6"/>
        <v>0.38028073438827281</v>
      </c>
      <c r="V7" s="6">
        <v>4</v>
      </c>
      <c r="W7" s="6">
        <v>3</v>
      </c>
      <c r="X7">
        <f t="shared" si="8"/>
        <v>0.6020599913279624</v>
      </c>
      <c r="Y7">
        <f t="shared" si="8"/>
        <v>0.47712125471966244</v>
      </c>
      <c r="Z7">
        <f>X7-Y7</f>
        <v>0.12493873660829996</v>
      </c>
      <c r="AC7" s="14" t="s">
        <v>112</v>
      </c>
      <c r="AD7" s="14">
        <f>_xlfn.QUARTILE.EXC(E$3:E$42,2)</f>
        <v>2.9655349672735869</v>
      </c>
      <c r="AE7" s="14">
        <f>_xlfn.QUARTILE.EXC(F$3:F$42,2)</f>
        <v>0</v>
      </c>
      <c r="AF7" s="14">
        <f>_xlfn.QUARTILE.EXC(K$3:K$42,2)</f>
        <v>0.3010299956639812</v>
      </c>
      <c r="AG7" s="14">
        <f>_xlfn.QUARTILE.EXC(L$3:L$42,2)</f>
        <v>0</v>
      </c>
    </row>
    <row r="8" spans="2:47" x14ac:dyDescent="0.2">
      <c r="B8" s="12"/>
      <c r="C8" s="6">
        <v>176</v>
      </c>
      <c r="D8" s="6">
        <v>0</v>
      </c>
      <c r="E8">
        <f t="shared" si="1"/>
        <v>2.2455126678141499</v>
      </c>
      <c r="F8">
        <f t="shared" si="11"/>
        <v>0</v>
      </c>
      <c r="G8">
        <f t="shared" si="3"/>
        <v>2.2455126678141499</v>
      </c>
      <c r="H8" t="s">
        <v>131</v>
      </c>
      <c r="I8" s="6">
        <v>0</v>
      </c>
      <c r="J8" s="6">
        <v>0</v>
      </c>
      <c r="K8">
        <f t="shared" si="12"/>
        <v>0</v>
      </c>
      <c r="L8" s="2">
        <v>0</v>
      </c>
      <c r="M8">
        <f t="shared" si="0"/>
        <v>0</v>
      </c>
      <c r="O8" s="12"/>
      <c r="U8">
        <f t="shared" si="6"/>
        <v>0</v>
      </c>
      <c r="AC8" s="14" t="s">
        <v>113</v>
      </c>
      <c r="AD8" s="14">
        <f>_xlfn.QUARTILE.EXC(E$3:E$42,3)</f>
        <v>3.4052091680105709</v>
      </c>
      <c r="AE8" s="14">
        <f>_xlfn.QUARTILE.EXC(F$3:F$42,3)</f>
        <v>1.6989700043360187</v>
      </c>
      <c r="AF8" s="14">
        <f>_xlfn.QUARTILE.EXC(K$3:K$42,3)</f>
        <v>0.75835593887173747</v>
      </c>
      <c r="AG8" s="14">
        <f>_xlfn.QUARTILE.EXC(L$3:L$42,3)</f>
        <v>0</v>
      </c>
    </row>
    <row r="9" spans="2:47" x14ac:dyDescent="0.2">
      <c r="B9">
        <v>4</v>
      </c>
      <c r="C9" s="6">
        <v>3400</v>
      </c>
      <c r="D9" s="6">
        <v>3</v>
      </c>
      <c r="E9">
        <f t="shared" si="1"/>
        <v>3.5314789170422549</v>
      </c>
      <c r="F9">
        <f t="shared" si="2"/>
        <v>0.47712125471966244</v>
      </c>
      <c r="G9">
        <f t="shared" si="3"/>
        <v>3.0543576623225923</v>
      </c>
      <c r="H9">
        <f>G9</f>
        <v>3.0543576623225923</v>
      </c>
      <c r="I9" s="6">
        <v>2</v>
      </c>
      <c r="J9" s="6">
        <v>0</v>
      </c>
      <c r="K9">
        <f t="shared" si="4"/>
        <v>0.3010299956639812</v>
      </c>
      <c r="L9" s="2">
        <v>0</v>
      </c>
      <c r="M9">
        <f t="shared" si="0"/>
        <v>0.3010299956639812</v>
      </c>
      <c r="O9">
        <v>4</v>
      </c>
      <c r="P9" s="6">
        <v>435.5</v>
      </c>
      <c r="Q9" s="6">
        <v>158.5</v>
      </c>
      <c r="R9">
        <f t="shared" si="7"/>
        <v>2.6389881593436821</v>
      </c>
      <c r="S9">
        <f>LOG(Q9)</f>
        <v>2.2000292665537704</v>
      </c>
      <c r="T9">
        <f t="shared" ref="T9:T42" si="13">R9-S9</f>
        <v>0.43895889278991174</v>
      </c>
      <c r="U9">
        <f t="shared" si="6"/>
        <v>0.43895889278991174</v>
      </c>
      <c r="V9" s="11">
        <v>5</v>
      </c>
      <c r="W9" s="6">
        <v>0</v>
      </c>
      <c r="X9">
        <f t="shared" si="8"/>
        <v>0.69897000433601886</v>
      </c>
      <c r="Y9">
        <f>LOG(1)</f>
        <v>0</v>
      </c>
      <c r="Z9">
        <f t="shared" ref="Z9:Z42" si="14">X9-Y9</f>
        <v>0.69897000433601886</v>
      </c>
      <c r="AC9" s="14" t="s">
        <v>114</v>
      </c>
      <c r="AD9" s="14">
        <f>MAX(E$3:E$42)</f>
        <v>4.3692158574101425</v>
      </c>
      <c r="AE9" s="14">
        <f>MAX(F$3:F$42)</f>
        <v>3.9138138523837167</v>
      </c>
      <c r="AF9" s="14">
        <f>MAX(K$3:K$42)</f>
        <v>3.2041199826559246</v>
      </c>
      <c r="AG9" s="14">
        <f>MAX(L$3:L$42)</f>
        <v>2.3979400086720375</v>
      </c>
    </row>
    <row r="10" spans="2:47" x14ac:dyDescent="0.2">
      <c r="C10" s="6">
        <v>4600</v>
      </c>
      <c r="D10" s="6">
        <v>5</v>
      </c>
      <c r="E10">
        <f t="shared" si="1"/>
        <v>3.6627578316815739</v>
      </c>
      <c r="F10">
        <f t="shared" si="2"/>
        <v>0.69897000433601886</v>
      </c>
      <c r="G10">
        <f t="shared" si="3"/>
        <v>2.9637878273455551</v>
      </c>
      <c r="H10">
        <f>G10</f>
        <v>2.9637878273455551</v>
      </c>
      <c r="I10" s="6">
        <v>50</v>
      </c>
      <c r="J10" s="6">
        <v>0</v>
      </c>
      <c r="K10">
        <f t="shared" si="4"/>
        <v>1.6989700043360187</v>
      </c>
      <c r="L10" s="2">
        <v>0</v>
      </c>
      <c r="M10">
        <f t="shared" si="0"/>
        <v>1.6989700043360187</v>
      </c>
      <c r="P10" s="6">
        <v>1064</v>
      </c>
      <c r="Q10" s="6">
        <v>0</v>
      </c>
      <c r="R10">
        <f t="shared" si="7"/>
        <v>3.0269416279590295</v>
      </c>
      <c r="S10">
        <f>LOG(1)</f>
        <v>0</v>
      </c>
      <c r="T10">
        <f t="shared" si="13"/>
        <v>3.0269416279590295</v>
      </c>
      <c r="U10" t="s">
        <v>131</v>
      </c>
      <c r="V10">
        <v>1</v>
      </c>
      <c r="W10" s="6">
        <v>0</v>
      </c>
      <c r="X10">
        <f t="shared" si="8"/>
        <v>0</v>
      </c>
      <c r="Y10">
        <f t="shared" ref="Y10:Y19" si="15">LOG(1)</f>
        <v>0</v>
      </c>
      <c r="Z10">
        <f t="shared" si="14"/>
        <v>0</v>
      </c>
      <c r="AU10">
        <f>LOG(30000)</f>
        <v>4.4771212547196626</v>
      </c>
    </row>
    <row r="11" spans="2:47" x14ac:dyDescent="0.2">
      <c r="B11">
        <v>5</v>
      </c>
      <c r="C11" s="6">
        <v>1779</v>
      </c>
      <c r="D11" s="6">
        <v>0</v>
      </c>
      <c r="E11">
        <f t="shared" si="1"/>
        <v>3.2501759480839252</v>
      </c>
      <c r="F11">
        <f>LOG(1)</f>
        <v>0</v>
      </c>
      <c r="G11">
        <f t="shared" si="3"/>
        <v>3.2501759480839252</v>
      </c>
      <c r="H11" t="s">
        <v>131</v>
      </c>
      <c r="I11" s="6">
        <v>350.5</v>
      </c>
      <c r="J11" s="6">
        <v>0</v>
      </c>
      <c r="K11">
        <f t="shared" si="4"/>
        <v>2.5446880223026773</v>
      </c>
      <c r="L11" s="2">
        <v>0</v>
      </c>
      <c r="M11">
        <f t="shared" si="0"/>
        <v>2.5446880223026773</v>
      </c>
      <c r="O11">
        <v>5</v>
      </c>
      <c r="P11" s="6">
        <v>281</v>
      </c>
      <c r="Q11" s="6">
        <v>273</v>
      </c>
      <c r="R11">
        <f t="shared" si="7"/>
        <v>2.4487063199050798</v>
      </c>
      <c r="S11">
        <f t="shared" si="7"/>
        <v>2.436162647040756</v>
      </c>
      <c r="T11">
        <f t="shared" si="13"/>
        <v>1.2543672864323785E-2</v>
      </c>
      <c r="U11">
        <f>T11</f>
        <v>1.2543672864323785E-2</v>
      </c>
      <c r="V11">
        <v>3</v>
      </c>
      <c r="W11">
        <v>0</v>
      </c>
      <c r="X11">
        <f t="shared" si="8"/>
        <v>0.47712125471966244</v>
      </c>
      <c r="Y11">
        <f t="shared" si="15"/>
        <v>0</v>
      </c>
      <c r="Z11">
        <f t="shared" si="14"/>
        <v>0.47712125471966244</v>
      </c>
      <c r="AC11" t="s">
        <v>104</v>
      </c>
      <c r="AD11" s="14" t="s">
        <v>107</v>
      </c>
      <c r="AE11" s="14" t="s">
        <v>109</v>
      </c>
      <c r="AF11" s="14" t="s">
        <v>115</v>
      </c>
      <c r="AG11" s="14" t="s">
        <v>108</v>
      </c>
    </row>
    <row r="12" spans="2:47" x14ac:dyDescent="0.2">
      <c r="C12" s="6">
        <v>1800</v>
      </c>
      <c r="D12" s="6">
        <v>1468</v>
      </c>
      <c r="E12">
        <f t="shared" si="1"/>
        <v>3.255272505103306</v>
      </c>
      <c r="F12">
        <f t="shared" si="2"/>
        <v>3.1667260555800518</v>
      </c>
      <c r="G12">
        <f t="shared" si="3"/>
        <v>8.8546449523254189E-2</v>
      </c>
      <c r="H12">
        <f>G12</f>
        <v>8.8546449523254189E-2</v>
      </c>
      <c r="I12" s="6">
        <v>0</v>
      </c>
      <c r="J12" s="6">
        <v>0</v>
      </c>
      <c r="K12" s="2">
        <v>0</v>
      </c>
      <c r="L12" s="2">
        <v>0</v>
      </c>
      <c r="M12">
        <f t="shared" si="0"/>
        <v>0</v>
      </c>
      <c r="P12" s="6">
        <v>4200</v>
      </c>
      <c r="Q12" s="6">
        <v>469.5</v>
      </c>
      <c r="R12">
        <f t="shared" ref="R12:R13" si="16">LOG(P12)</f>
        <v>3.6232492903979003</v>
      </c>
      <c r="S12">
        <f t="shared" ref="S12" si="17">LOG(Q12)</f>
        <v>2.6716355966021297</v>
      </c>
      <c r="T12">
        <f t="shared" si="13"/>
        <v>0.95161369379577065</v>
      </c>
      <c r="U12">
        <f>T12</f>
        <v>0.95161369379577065</v>
      </c>
      <c r="V12">
        <v>1</v>
      </c>
      <c r="W12">
        <v>1</v>
      </c>
      <c r="X12">
        <f t="shared" si="8"/>
        <v>0</v>
      </c>
      <c r="Y12">
        <f t="shared" si="15"/>
        <v>0</v>
      </c>
      <c r="Z12">
        <f t="shared" si="14"/>
        <v>0</v>
      </c>
      <c r="AC12" s="14" t="s">
        <v>110</v>
      </c>
      <c r="AD12" s="14">
        <f>MIN(E$57:E$96)</f>
        <v>0</v>
      </c>
      <c r="AE12" s="14">
        <f>MIN(F$57:F$96)</f>
        <v>0</v>
      </c>
      <c r="AF12" s="14">
        <f>MIN(K$57:K$96)</f>
        <v>0</v>
      </c>
      <c r="AG12" s="14">
        <f>MIN(L$57:L$96)</f>
        <v>0</v>
      </c>
    </row>
    <row r="13" spans="2:47" x14ac:dyDescent="0.2">
      <c r="B13">
        <v>6</v>
      </c>
      <c r="C13" s="6">
        <v>1298.5</v>
      </c>
      <c r="D13" s="6">
        <v>0</v>
      </c>
      <c r="E13">
        <f t="shared" si="1"/>
        <v>3.1134419539653213</v>
      </c>
      <c r="F13">
        <f>LOG(1)</f>
        <v>0</v>
      </c>
      <c r="G13">
        <f t="shared" si="3"/>
        <v>3.1134419539653213</v>
      </c>
      <c r="H13" t="s">
        <v>131</v>
      </c>
      <c r="I13" s="6">
        <v>3</v>
      </c>
      <c r="J13" s="6">
        <v>0</v>
      </c>
      <c r="K13">
        <f t="shared" si="4"/>
        <v>0.47712125471966244</v>
      </c>
      <c r="L13" s="2">
        <v>0</v>
      </c>
      <c r="M13">
        <f t="shared" si="0"/>
        <v>0.47712125471966244</v>
      </c>
      <c r="O13">
        <v>6</v>
      </c>
      <c r="P13" s="6">
        <v>40</v>
      </c>
      <c r="Q13" s="6">
        <v>0</v>
      </c>
      <c r="R13">
        <f t="shared" si="16"/>
        <v>1.6020599913279623</v>
      </c>
      <c r="S13">
        <f>LOG(1)</f>
        <v>0</v>
      </c>
      <c r="T13">
        <f t="shared" si="13"/>
        <v>1.6020599913279623</v>
      </c>
      <c r="U13" t="s">
        <v>131</v>
      </c>
      <c r="V13">
        <v>1</v>
      </c>
      <c r="W13">
        <v>0</v>
      </c>
      <c r="X13">
        <f t="shared" si="8"/>
        <v>0</v>
      </c>
      <c r="Y13">
        <f t="shared" si="15"/>
        <v>0</v>
      </c>
      <c r="Z13">
        <f t="shared" si="14"/>
        <v>0</v>
      </c>
      <c r="AC13" s="14" t="s">
        <v>111</v>
      </c>
      <c r="AD13" s="14">
        <f>_xlfn.QUARTILE.EXC(E$57:E$96,1)</f>
        <v>1.8633228601204559</v>
      </c>
      <c r="AE13" s="14">
        <f>_xlfn.QUARTILE.EXC(F$57:F$96,1)</f>
        <v>0</v>
      </c>
      <c r="AF13" s="14">
        <f>_xlfn.QUARTILE.EXC(K$57:K$96,1)</f>
        <v>0</v>
      </c>
      <c r="AG13" s="14">
        <f>_xlfn.QUARTILE.EXC(L$57:L$96,1)</f>
        <v>0</v>
      </c>
    </row>
    <row r="14" spans="2:47" x14ac:dyDescent="0.2">
      <c r="C14" s="6">
        <v>388.5</v>
      </c>
      <c r="D14" s="6">
        <v>550</v>
      </c>
      <c r="E14">
        <f t="shared" si="1"/>
        <v>2.5893910231369333</v>
      </c>
      <c r="F14">
        <f t="shared" si="2"/>
        <v>2.7403626894942437</v>
      </c>
      <c r="G14">
        <f t="shared" si="3"/>
        <v>-0.15097166635731041</v>
      </c>
      <c r="H14" t="s">
        <v>131</v>
      </c>
      <c r="I14" s="6">
        <v>6</v>
      </c>
      <c r="J14" s="6">
        <v>5</v>
      </c>
      <c r="K14">
        <f t="shared" si="4"/>
        <v>0.77815125038364363</v>
      </c>
      <c r="L14">
        <f t="shared" si="5"/>
        <v>0.69897000433601886</v>
      </c>
      <c r="M14">
        <f t="shared" si="0"/>
        <v>7.9181246047624776E-2</v>
      </c>
      <c r="P14" s="6">
        <v>62.5</v>
      </c>
      <c r="Q14" s="6">
        <v>0</v>
      </c>
      <c r="R14">
        <f t="shared" si="7"/>
        <v>1.7958800173440752</v>
      </c>
      <c r="S14">
        <f t="shared" ref="S14" si="18">LOG(1)</f>
        <v>0</v>
      </c>
      <c r="T14">
        <f t="shared" si="13"/>
        <v>1.7958800173440752</v>
      </c>
      <c r="U14" t="s">
        <v>131</v>
      </c>
      <c r="V14">
        <v>0</v>
      </c>
      <c r="W14">
        <v>0</v>
      </c>
      <c r="X14">
        <f>LOG(1)</f>
        <v>0</v>
      </c>
      <c r="Y14">
        <f t="shared" si="15"/>
        <v>0</v>
      </c>
      <c r="Z14">
        <f t="shared" si="14"/>
        <v>0</v>
      </c>
      <c r="AC14" s="14" t="s">
        <v>112</v>
      </c>
      <c r="AD14" s="14">
        <f>_xlfn.QUARTILE.EXC(E$57:E$96,2)</f>
        <v>2.6196150057428063</v>
      </c>
      <c r="AE14" s="14">
        <f>_xlfn.QUARTILE.EXC(F$57:F$96,2)</f>
        <v>1.7634279935629373</v>
      </c>
      <c r="AF14" s="14">
        <f>_xlfn.QUARTILE.EXC(K$57:K$96,2)</f>
        <v>0</v>
      </c>
      <c r="AG14" s="14">
        <f>_xlfn.QUARTILE.EXC(L$57:L$96,2)</f>
        <v>0</v>
      </c>
    </row>
    <row r="15" spans="2:47" x14ac:dyDescent="0.2">
      <c r="B15">
        <v>7</v>
      </c>
      <c r="C15" s="6">
        <v>23400</v>
      </c>
      <c r="D15" s="6">
        <v>6</v>
      </c>
      <c r="E15">
        <f t="shared" si="1"/>
        <v>4.3692158574101425</v>
      </c>
      <c r="F15">
        <f t="shared" si="2"/>
        <v>0.77815125038364363</v>
      </c>
      <c r="G15">
        <f t="shared" si="3"/>
        <v>3.5910646070264987</v>
      </c>
      <c r="H15">
        <f>G15</f>
        <v>3.5910646070264987</v>
      </c>
      <c r="I15" s="6">
        <v>5</v>
      </c>
      <c r="J15" s="6">
        <v>0</v>
      </c>
      <c r="K15">
        <f t="shared" si="4"/>
        <v>0.69897000433601886</v>
      </c>
      <c r="L15" s="2">
        <v>0</v>
      </c>
      <c r="M15">
        <f t="shared" si="0"/>
        <v>0.69897000433601886</v>
      </c>
      <c r="O15">
        <v>7</v>
      </c>
      <c r="P15" s="6">
        <v>436.5</v>
      </c>
      <c r="Q15" s="6">
        <v>428.5</v>
      </c>
      <c r="R15">
        <f t="shared" si="7"/>
        <v>2.6399842480415887</v>
      </c>
      <c r="S15">
        <f>LOG(Q15)</f>
        <v>2.6319508262592168</v>
      </c>
      <c r="T15">
        <f t="shared" si="13"/>
        <v>8.0334217823718745E-3</v>
      </c>
      <c r="U15">
        <f>T15</f>
        <v>8.0334217823718745E-3</v>
      </c>
      <c r="V15">
        <v>0</v>
      </c>
      <c r="W15">
        <v>0</v>
      </c>
      <c r="X15">
        <f t="shared" ref="X15:X17" si="19">LOG(1)</f>
        <v>0</v>
      </c>
      <c r="Y15">
        <f t="shared" si="15"/>
        <v>0</v>
      </c>
      <c r="Z15">
        <f t="shared" si="14"/>
        <v>0</v>
      </c>
      <c r="AC15" s="14" t="s">
        <v>113</v>
      </c>
      <c r="AD15" s="14">
        <f>_xlfn.QUARTILE.EXC(E$57:E$96,3)</f>
        <v>3.3793961751941644</v>
      </c>
      <c r="AE15" s="14">
        <f>_xlfn.QUARTILE.EXC(F$57:F$96,3)</f>
        <v>2.7630534402996147</v>
      </c>
      <c r="AF15" s="14">
        <f>_xlfn.QUARTILE.EXC(K$57:K$96,3)</f>
        <v>0.6020599913279624</v>
      </c>
      <c r="AG15" s="14">
        <f>_xlfn.QUARTILE.EXC(L$57:L$96,3)</f>
        <v>0</v>
      </c>
    </row>
    <row r="16" spans="2:47" x14ac:dyDescent="0.2">
      <c r="C16" s="6">
        <v>15400</v>
      </c>
      <c r="D16" s="6">
        <v>1334.5</v>
      </c>
      <c r="E16">
        <f t="shared" si="1"/>
        <v>4.1875207208364627</v>
      </c>
      <c r="F16">
        <f t="shared" si="2"/>
        <v>3.1253185781235264</v>
      </c>
      <c r="G16">
        <f t="shared" si="3"/>
        <v>1.0622021427129362</v>
      </c>
      <c r="H16">
        <f>G16</f>
        <v>1.0622021427129362</v>
      </c>
      <c r="I16" s="11">
        <v>1</v>
      </c>
      <c r="J16" s="6">
        <v>0</v>
      </c>
      <c r="K16">
        <f t="shared" si="4"/>
        <v>0</v>
      </c>
      <c r="L16" s="2">
        <v>0</v>
      </c>
      <c r="M16">
        <f t="shared" si="0"/>
        <v>0</v>
      </c>
      <c r="P16">
        <v>512.5</v>
      </c>
      <c r="Q16">
        <v>109.5</v>
      </c>
      <c r="R16">
        <f t="shared" si="7"/>
        <v>2.7096938697277917</v>
      </c>
      <c r="S16">
        <f t="shared" ref="S16:S42" si="20">LOG(Q16)</f>
        <v>2.0394141191761372</v>
      </c>
      <c r="T16">
        <f t="shared" si="13"/>
        <v>0.67027975055165445</v>
      </c>
      <c r="U16">
        <f>T16</f>
        <v>0.67027975055165445</v>
      </c>
      <c r="V16">
        <v>0</v>
      </c>
      <c r="W16">
        <v>0</v>
      </c>
      <c r="X16">
        <f t="shared" si="19"/>
        <v>0</v>
      </c>
      <c r="Y16">
        <f t="shared" si="15"/>
        <v>0</v>
      </c>
      <c r="Z16">
        <f t="shared" si="14"/>
        <v>0</v>
      </c>
      <c r="AC16" s="14" t="s">
        <v>114</v>
      </c>
      <c r="AD16" s="14">
        <f>MAX(E$57:E$96)</f>
        <v>4.4771212547196626</v>
      </c>
      <c r="AE16" s="14">
        <f>MAX(F$57:F$96)</f>
        <v>4.4771212547196626</v>
      </c>
      <c r="AF16" s="14">
        <f>MAX(K$57:K$96)</f>
        <v>2.4556061125818669</v>
      </c>
      <c r="AG16" s="14">
        <f>MAX(L$57:L$96)</f>
        <v>1.8388490907372552</v>
      </c>
    </row>
    <row r="17" spans="2:38" x14ac:dyDescent="0.2">
      <c r="B17">
        <v>8</v>
      </c>
      <c r="C17" s="6">
        <v>961</v>
      </c>
      <c r="D17" s="6">
        <v>0</v>
      </c>
      <c r="E17">
        <f t="shared" si="1"/>
        <v>2.9827233876685453</v>
      </c>
      <c r="F17">
        <f>LOG(1)</f>
        <v>0</v>
      </c>
      <c r="G17">
        <f t="shared" si="3"/>
        <v>2.9827233876685453</v>
      </c>
      <c r="H17" t="s">
        <v>131</v>
      </c>
      <c r="I17" s="6">
        <v>61</v>
      </c>
      <c r="J17" s="6">
        <v>0</v>
      </c>
      <c r="K17">
        <f t="shared" si="4"/>
        <v>1.7853298350107671</v>
      </c>
      <c r="L17" s="2">
        <v>0</v>
      </c>
      <c r="M17">
        <f t="shared" si="0"/>
        <v>1.7853298350107671</v>
      </c>
      <c r="O17">
        <v>8</v>
      </c>
      <c r="P17" s="6">
        <v>2000</v>
      </c>
      <c r="Q17" s="6">
        <v>0</v>
      </c>
      <c r="R17">
        <f t="shared" si="7"/>
        <v>3.3010299956639813</v>
      </c>
      <c r="S17">
        <f>LOG(1)</f>
        <v>0</v>
      </c>
      <c r="T17">
        <f t="shared" si="13"/>
        <v>3.3010299956639813</v>
      </c>
      <c r="U17" t="s">
        <v>131</v>
      </c>
      <c r="V17">
        <v>0</v>
      </c>
      <c r="W17">
        <v>0</v>
      </c>
      <c r="X17">
        <f t="shared" si="19"/>
        <v>0</v>
      </c>
      <c r="Y17">
        <f t="shared" si="15"/>
        <v>0</v>
      </c>
      <c r="Z17">
        <f t="shared" si="14"/>
        <v>0</v>
      </c>
    </row>
    <row r="18" spans="2:38" x14ac:dyDescent="0.2">
      <c r="C18" s="6">
        <v>2700</v>
      </c>
      <c r="D18" s="6">
        <v>528</v>
      </c>
      <c r="E18">
        <f t="shared" si="1"/>
        <v>3.4313637641589874</v>
      </c>
      <c r="F18">
        <f t="shared" si="2"/>
        <v>2.7226339225338121</v>
      </c>
      <c r="G18">
        <f t="shared" si="3"/>
        <v>0.70872984162517527</v>
      </c>
      <c r="H18">
        <f>G18</f>
        <v>0.70872984162517527</v>
      </c>
      <c r="I18" s="6">
        <v>0</v>
      </c>
      <c r="J18" s="6">
        <v>0</v>
      </c>
      <c r="K18" s="2">
        <v>0</v>
      </c>
      <c r="L18" s="2">
        <v>0</v>
      </c>
      <c r="M18">
        <f t="shared" si="0"/>
        <v>0</v>
      </c>
      <c r="P18">
        <v>576</v>
      </c>
      <c r="Q18">
        <v>0</v>
      </c>
      <c r="R18">
        <f t="shared" si="7"/>
        <v>2.7604224834232118</v>
      </c>
      <c r="S18">
        <f t="shared" ref="S18:S19" si="21">LOG(1)</f>
        <v>0</v>
      </c>
      <c r="T18">
        <f t="shared" si="13"/>
        <v>2.7604224834232118</v>
      </c>
      <c r="U18" t="s">
        <v>131</v>
      </c>
      <c r="V18">
        <v>1</v>
      </c>
      <c r="W18">
        <v>0</v>
      </c>
      <c r="X18">
        <f t="shared" si="8"/>
        <v>0</v>
      </c>
      <c r="Y18">
        <f t="shared" si="15"/>
        <v>0</v>
      </c>
      <c r="Z18">
        <f t="shared" si="14"/>
        <v>0</v>
      </c>
      <c r="AC18" t="s">
        <v>105</v>
      </c>
      <c r="AD18" s="14" t="s">
        <v>107</v>
      </c>
      <c r="AE18" s="14" t="s">
        <v>109</v>
      </c>
      <c r="AF18" s="14" t="s">
        <v>115</v>
      </c>
      <c r="AG18" s="14" t="s">
        <v>108</v>
      </c>
    </row>
    <row r="19" spans="2:38" x14ac:dyDescent="0.2">
      <c r="B19">
        <v>9</v>
      </c>
      <c r="C19" s="6">
        <v>255</v>
      </c>
      <c r="D19" s="6">
        <v>0</v>
      </c>
      <c r="E19">
        <f t="shared" si="1"/>
        <v>2.406540180433955</v>
      </c>
      <c r="F19">
        <f>LOG(1)</f>
        <v>0</v>
      </c>
      <c r="G19">
        <f t="shared" si="3"/>
        <v>2.406540180433955</v>
      </c>
      <c r="H19" t="s">
        <v>131</v>
      </c>
      <c r="I19" s="6">
        <v>4</v>
      </c>
      <c r="J19" s="6">
        <v>0</v>
      </c>
      <c r="K19">
        <f t="shared" si="4"/>
        <v>0.6020599913279624</v>
      </c>
      <c r="L19" s="2">
        <v>0</v>
      </c>
      <c r="M19">
        <f t="shared" si="0"/>
        <v>0.6020599913279624</v>
      </c>
      <c r="O19">
        <v>9</v>
      </c>
      <c r="P19" s="6">
        <v>264.5</v>
      </c>
      <c r="Q19" s="6">
        <v>0</v>
      </c>
      <c r="R19">
        <f t="shared" si="7"/>
        <v>2.4224256763712044</v>
      </c>
      <c r="S19">
        <f t="shared" si="21"/>
        <v>0</v>
      </c>
      <c r="T19">
        <f t="shared" si="13"/>
        <v>2.4224256763712044</v>
      </c>
      <c r="U19" t="s">
        <v>131</v>
      </c>
      <c r="V19">
        <v>0</v>
      </c>
      <c r="W19">
        <v>0</v>
      </c>
      <c r="X19">
        <f>LOG(1)</f>
        <v>0</v>
      </c>
      <c r="Y19">
        <f t="shared" si="15"/>
        <v>0</v>
      </c>
      <c r="Z19">
        <f t="shared" si="14"/>
        <v>0</v>
      </c>
      <c r="AC19" s="14" t="s">
        <v>110</v>
      </c>
      <c r="AD19" s="14">
        <f>MIN(R$3:R$42)</f>
        <v>0</v>
      </c>
      <c r="AE19" s="14">
        <f>MIN(S$3:S$42)</f>
        <v>0</v>
      </c>
      <c r="AF19" s="14">
        <f>MIN(X$3:X$42)</f>
        <v>0</v>
      </c>
      <c r="AG19" s="14">
        <f>MIN(Y$3:Y$42)</f>
        <v>0</v>
      </c>
    </row>
    <row r="20" spans="2:38" x14ac:dyDescent="0.2">
      <c r="C20" s="6">
        <v>57</v>
      </c>
      <c r="D20" s="6">
        <v>0</v>
      </c>
      <c r="E20">
        <f t="shared" si="1"/>
        <v>1.7558748556724915</v>
      </c>
      <c r="F20">
        <f>LOG(1)</f>
        <v>0</v>
      </c>
      <c r="G20">
        <f t="shared" si="3"/>
        <v>1.7558748556724915</v>
      </c>
      <c r="H20" t="s">
        <v>131</v>
      </c>
      <c r="I20" s="6">
        <v>2</v>
      </c>
      <c r="J20" s="6">
        <v>0</v>
      </c>
      <c r="K20">
        <f t="shared" si="4"/>
        <v>0.3010299956639812</v>
      </c>
      <c r="L20" s="2">
        <v>0</v>
      </c>
      <c r="M20">
        <f t="shared" si="0"/>
        <v>0.3010299956639812</v>
      </c>
      <c r="P20" s="6">
        <v>419.5</v>
      </c>
      <c r="Q20" s="6">
        <v>100</v>
      </c>
      <c r="R20">
        <f t="shared" si="7"/>
        <v>2.6227319651647192</v>
      </c>
      <c r="S20">
        <f t="shared" si="20"/>
        <v>2</v>
      </c>
      <c r="T20">
        <f t="shared" si="13"/>
        <v>0.62273196516471918</v>
      </c>
      <c r="U20" t="s">
        <v>131</v>
      </c>
      <c r="V20">
        <v>0</v>
      </c>
      <c r="W20">
        <v>450</v>
      </c>
      <c r="X20">
        <f t="shared" ref="X20:Y32" si="22">LOG(1)</f>
        <v>0</v>
      </c>
      <c r="Y20">
        <f t="shared" si="8"/>
        <v>2.6532125137753435</v>
      </c>
      <c r="Z20">
        <f t="shared" si="14"/>
        <v>-2.6532125137753435</v>
      </c>
      <c r="AC20" s="14" t="s">
        <v>111</v>
      </c>
      <c r="AD20" s="14">
        <f>_xlfn.QUARTILE.EXC(R$3:R$42,1)</f>
        <v>1.9489700043360187</v>
      </c>
      <c r="AE20" s="14">
        <f>_xlfn.QUARTILE.EXC(S$3:S$42,1)</f>
        <v>0</v>
      </c>
      <c r="AF20" s="14">
        <f>_xlfn.QUARTILE.EXC(X$3:X$42,1)</f>
        <v>0</v>
      </c>
      <c r="AG20" s="14">
        <f>_xlfn.QUARTILE.EXC(Y$3:Y$42,1)</f>
        <v>0</v>
      </c>
    </row>
    <row r="21" spans="2:38" x14ac:dyDescent="0.2">
      <c r="B21">
        <v>10</v>
      </c>
      <c r="C21" s="6">
        <v>1285.5</v>
      </c>
      <c r="D21" s="6">
        <v>7</v>
      </c>
      <c r="E21">
        <f t="shared" si="1"/>
        <v>3.1090720809788794</v>
      </c>
      <c r="F21">
        <f t="shared" si="2"/>
        <v>0.84509804001425681</v>
      </c>
      <c r="G21">
        <f t="shared" si="3"/>
        <v>2.2639740409646225</v>
      </c>
      <c r="H21">
        <f>G21</f>
        <v>2.2639740409646225</v>
      </c>
      <c r="I21" s="6">
        <v>87</v>
      </c>
      <c r="J21" s="6">
        <v>0</v>
      </c>
      <c r="K21">
        <f t="shared" si="4"/>
        <v>1.9395192526186185</v>
      </c>
      <c r="L21" s="2">
        <v>0</v>
      </c>
      <c r="M21">
        <f t="shared" si="0"/>
        <v>1.9395192526186185</v>
      </c>
      <c r="O21">
        <v>10</v>
      </c>
      <c r="P21" s="6">
        <v>17</v>
      </c>
      <c r="Q21" s="6">
        <v>7</v>
      </c>
      <c r="R21">
        <f t="shared" si="7"/>
        <v>1.2304489213782739</v>
      </c>
      <c r="S21">
        <f t="shared" si="20"/>
        <v>0.84509804001425681</v>
      </c>
      <c r="T21">
        <f t="shared" si="13"/>
        <v>0.38535088136401707</v>
      </c>
      <c r="U21">
        <f>T21</f>
        <v>0.38535088136401707</v>
      </c>
      <c r="V21">
        <v>0</v>
      </c>
      <c r="W21">
        <v>0</v>
      </c>
      <c r="X21">
        <f t="shared" si="22"/>
        <v>0</v>
      </c>
      <c r="Y21">
        <f>LOG(1)</f>
        <v>0</v>
      </c>
      <c r="Z21">
        <f t="shared" si="14"/>
        <v>0</v>
      </c>
      <c r="AC21" s="14" t="s">
        <v>112</v>
      </c>
      <c r="AD21" s="14">
        <f>_xlfn.QUARTILE.EXC(R$3:R$42,2)</f>
        <v>2.6308600622542007</v>
      </c>
      <c r="AE21" s="14">
        <f>_xlfn.QUARTILE.EXC(S$3:S$42,2)</f>
        <v>1.3433181346311467</v>
      </c>
      <c r="AF21" s="14">
        <f>_xlfn.QUARTILE.EXC(X$3:X$42,2)</f>
        <v>0</v>
      </c>
      <c r="AG21" s="14">
        <f>_xlfn.QUARTILE.EXC(Y$3:Y$42,2)</f>
        <v>0</v>
      </c>
      <c r="AL21">
        <f>10^AF44</f>
        <v>2</v>
      </c>
    </row>
    <row r="22" spans="2:38" x14ac:dyDescent="0.2">
      <c r="C22" s="6">
        <v>71</v>
      </c>
      <c r="D22" s="6">
        <v>64</v>
      </c>
      <c r="E22">
        <f t="shared" si="1"/>
        <v>1.8512583487190752</v>
      </c>
      <c r="F22">
        <f t="shared" si="2"/>
        <v>1.8061799739838871</v>
      </c>
      <c r="G22">
        <f t="shared" si="3"/>
        <v>4.5078374735188165E-2</v>
      </c>
      <c r="H22">
        <f>G22</f>
        <v>4.5078374735188165E-2</v>
      </c>
      <c r="I22" s="6">
        <v>0</v>
      </c>
      <c r="J22" s="6">
        <v>0</v>
      </c>
      <c r="K22" s="2">
        <v>0</v>
      </c>
      <c r="L22" s="2">
        <v>0</v>
      </c>
      <c r="M22">
        <f t="shared" si="0"/>
        <v>0</v>
      </c>
      <c r="P22" s="6">
        <v>0</v>
      </c>
      <c r="Q22" s="6">
        <v>123</v>
      </c>
      <c r="R22">
        <f>LOG(1)</f>
        <v>0</v>
      </c>
      <c r="S22">
        <f t="shared" si="20"/>
        <v>2.0899051114393981</v>
      </c>
      <c r="T22">
        <f t="shared" si="13"/>
        <v>-2.0899051114393981</v>
      </c>
      <c r="U22">
        <f>T22</f>
        <v>-2.0899051114393981</v>
      </c>
      <c r="V22">
        <v>0</v>
      </c>
      <c r="W22">
        <v>0</v>
      </c>
      <c r="X22">
        <f t="shared" si="22"/>
        <v>0</v>
      </c>
      <c r="Y22">
        <f t="shared" si="22"/>
        <v>0</v>
      </c>
      <c r="Z22">
        <f t="shared" si="14"/>
        <v>0</v>
      </c>
      <c r="AC22" s="14" t="s">
        <v>113</v>
      </c>
      <c r="AD22" s="14">
        <f>_xlfn.QUARTILE.EXC(R$3:R$42,3)</f>
        <v>3.0254073770703709</v>
      </c>
      <c r="AE22" s="14">
        <f>_xlfn.QUARTILE.EXC(S$3:S$42,3)</f>
        <v>2.451008069667179</v>
      </c>
      <c r="AF22" s="14">
        <f>_xlfn.QUARTILE.EXC(X$3:X$42,3)</f>
        <v>0.11928031367991561</v>
      </c>
      <c r="AG22" s="14">
        <f>_xlfn.QUARTILE.EXC(Y$3:Y$42,3)</f>
        <v>0</v>
      </c>
    </row>
    <row r="23" spans="2:38" x14ac:dyDescent="0.2">
      <c r="B23">
        <v>11</v>
      </c>
      <c r="C23" s="6">
        <v>666</v>
      </c>
      <c r="D23" s="6">
        <v>0</v>
      </c>
      <c r="E23">
        <f t="shared" si="1"/>
        <v>2.823474229170301</v>
      </c>
      <c r="F23">
        <f>LOG(1)</f>
        <v>0</v>
      </c>
      <c r="G23">
        <f t="shared" si="3"/>
        <v>2.823474229170301</v>
      </c>
      <c r="H23" t="s">
        <v>131</v>
      </c>
      <c r="I23" s="6">
        <v>0</v>
      </c>
      <c r="J23" s="6">
        <v>0</v>
      </c>
      <c r="K23" s="2">
        <v>0</v>
      </c>
      <c r="L23" s="2">
        <v>0</v>
      </c>
      <c r="M23">
        <f t="shared" si="0"/>
        <v>0</v>
      </c>
      <c r="O23">
        <v>11</v>
      </c>
      <c r="P23" s="6">
        <v>1570.5</v>
      </c>
      <c r="Q23" s="6">
        <v>36</v>
      </c>
      <c r="R23">
        <f t="shared" si="7"/>
        <v>3.1960379407345236</v>
      </c>
      <c r="S23">
        <f t="shared" si="20"/>
        <v>1.5563025007672873</v>
      </c>
      <c r="T23">
        <f t="shared" si="13"/>
        <v>1.6397354399672364</v>
      </c>
      <c r="U23">
        <f>T23</f>
        <v>1.6397354399672364</v>
      </c>
      <c r="V23">
        <v>1</v>
      </c>
      <c r="W23">
        <v>0</v>
      </c>
      <c r="X23">
        <f t="shared" ref="X23:X42" si="23">LOG(V23)</f>
        <v>0</v>
      </c>
      <c r="Y23">
        <f t="shared" si="22"/>
        <v>0</v>
      </c>
      <c r="Z23">
        <f t="shared" si="14"/>
        <v>0</v>
      </c>
      <c r="AC23" s="14" t="s">
        <v>114</v>
      </c>
      <c r="AD23" s="14">
        <f>MAX(R$3:R$42)</f>
        <v>3.6434526764861874</v>
      </c>
      <c r="AE23" s="14">
        <f>MAX(S$3:S$42)</f>
        <v>4.4771212547196626</v>
      </c>
      <c r="AF23" s="14">
        <f>MAX(X$3:X$42)</f>
        <v>2.3010299956639813</v>
      </c>
      <c r="AG23" s="14">
        <f>MAX(Y$3:Y$42)</f>
        <v>2.6532125137753435</v>
      </c>
    </row>
    <row r="24" spans="2:38" x14ac:dyDescent="0.2">
      <c r="C24" s="6">
        <v>1673.5</v>
      </c>
      <c r="D24" s="6">
        <v>0</v>
      </c>
      <c r="E24">
        <f t="shared" si="1"/>
        <v>3.2236257166937961</v>
      </c>
      <c r="F24">
        <f t="shared" ref="F24:F40" si="24">LOG(1)</f>
        <v>0</v>
      </c>
      <c r="G24">
        <f t="shared" si="3"/>
        <v>3.2236257166937961</v>
      </c>
      <c r="H24" t="s">
        <v>131</v>
      </c>
      <c r="I24" s="6">
        <v>0</v>
      </c>
      <c r="J24" s="6">
        <v>0</v>
      </c>
      <c r="K24" s="2">
        <v>0</v>
      </c>
      <c r="L24" s="2">
        <v>0</v>
      </c>
      <c r="M24">
        <f t="shared" si="0"/>
        <v>0</v>
      </c>
      <c r="P24" s="6">
        <v>1059</v>
      </c>
      <c r="Q24" s="6">
        <v>0</v>
      </c>
      <c r="R24">
        <f t="shared" si="7"/>
        <v>3.024895960107485</v>
      </c>
      <c r="S24">
        <f t="shared" ref="S24:S25" si="25">LOG(1)</f>
        <v>0</v>
      </c>
      <c r="T24">
        <f t="shared" si="13"/>
        <v>3.024895960107485</v>
      </c>
      <c r="U24" t="s">
        <v>131</v>
      </c>
      <c r="V24">
        <v>0</v>
      </c>
      <c r="W24">
        <v>0</v>
      </c>
      <c r="X24">
        <f>LOG(1)</f>
        <v>0</v>
      </c>
      <c r="Y24">
        <f t="shared" si="22"/>
        <v>0</v>
      </c>
      <c r="Z24">
        <f t="shared" si="14"/>
        <v>0</v>
      </c>
    </row>
    <row r="25" spans="2:38" x14ac:dyDescent="0.2">
      <c r="B25">
        <v>12</v>
      </c>
      <c r="C25" s="6">
        <v>13</v>
      </c>
      <c r="D25" s="6">
        <v>0</v>
      </c>
      <c r="E25">
        <f t="shared" si="1"/>
        <v>1.1139433523068367</v>
      </c>
      <c r="F25">
        <f t="shared" si="24"/>
        <v>0</v>
      </c>
      <c r="G25">
        <f t="shared" si="3"/>
        <v>1.1139433523068367</v>
      </c>
      <c r="H25" t="s">
        <v>131</v>
      </c>
      <c r="I25" s="6">
        <v>0</v>
      </c>
      <c r="J25" s="6">
        <v>0</v>
      </c>
      <c r="K25" s="2">
        <v>0</v>
      </c>
      <c r="L25" s="2">
        <v>0</v>
      </c>
      <c r="M25">
        <f t="shared" si="0"/>
        <v>0</v>
      </c>
      <c r="O25">
        <v>12</v>
      </c>
      <c r="P25">
        <v>0</v>
      </c>
      <c r="Q25">
        <v>0</v>
      </c>
      <c r="R25">
        <f>LOG(1)</f>
        <v>0</v>
      </c>
      <c r="S25">
        <f t="shared" si="25"/>
        <v>0</v>
      </c>
      <c r="T25">
        <f>R25-S25</f>
        <v>0</v>
      </c>
      <c r="U25" t="s">
        <v>131</v>
      </c>
      <c r="V25">
        <v>0</v>
      </c>
      <c r="W25">
        <v>0</v>
      </c>
      <c r="X25">
        <f t="shared" ref="X25:X27" si="26">LOG(1)</f>
        <v>0</v>
      </c>
      <c r="Y25">
        <f t="shared" si="22"/>
        <v>0</v>
      </c>
      <c r="Z25">
        <f t="shared" si="14"/>
        <v>0</v>
      </c>
      <c r="AC25" t="s">
        <v>106</v>
      </c>
      <c r="AD25" s="14" t="s">
        <v>107</v>
      </c>
      <c r="AE25" s="14" t="s">
        <v>109</v>
      </c>
      <c r="AF25" s="14" t="s">
        <v>115</v>
      </c>
      <c r="AG25" s="14" t="s">
        <v>108</v>
      </c>
    </row>
    <row r="26" spans="2:38" x14ac:dyDescent="0.2">
      <c r="C26" s="6">
        <v>757</v>
      </c>
      <c r="D26" s="6">
        <v>0</v>
      </c>
      <c r="E26">
        <f>LOG(C26)</f>
        <v>2.8790958795000727</v>
      </c>
      <c r="F26">
        <f t="shared" si="24"/>
        <v>0</v>
      </c>
      <c r="G26">
        <f t="shared" si="3"/>
        <v>2.8790958795000727</v>
      </c>
      <c r="H26" t="s">
        <v>131</v>
      </c>
      <c r="I26" s="6">
        <v>0</v>
      </c>
      <c r="J26" s="6">
        <v>0</v>
      </c>
      <c r="K26" s="2">
        <v>0</v>
      </c>
      <c r="L26" s="2">
        <v>0</v>
      </c>
      <c r="M26">
        <f t="shared" si="0"/>
        <v>0</v>
      </c>
      <c r="P26" s="6">
        <v>4</v>
      </c>
      <c r="Q26" s="6">
        <v>2</v>
      </c>
      <c r="R26">
        <f t="shared" si="7"/>
        <v>0.6020599913279624</v>
      </c>
      <c r="S26">
        <f t="shared" si="20"/>
        <v>0.3010299956639812</v>
      </c>
      <c r="T26">
        <f t="shared" si="13"/>
        <v>0.3010299956639812</v>
      </c>
      <c r="U26">
        <f>T26</f>
        <v>0.3010299956639812</v>
      </c>
      <c r="V26">
        <v>0</v>
      </c>
      <c r="W26">
        <v>0</v>
      </c>
      <c r="X26">
        <f t="shared" si="26"/>
        <v>0</v>
      </c>
      <c r="Y26">
        <f t="shared" si="22"/>
        <v>0</v>
      </c>
      <c r="Z26">
        <f t="shared" si="14"/>
        <v>0</v>
      </c>
      <c r="AC26" s="14" t="s">
        <v>110</v>
      </c>
      <c r="AD26" s="14">
        <f>MIN(R$57:R$96)</f>
        <v>1</v>
      </c>
      <c r="AE26" s="14">
        <f>MIN(S$57:S$96)</f>
        <v>0</v>
      </c>
      <c r="AF26" s="14">
        <f>MIN(X$57:X$96)</f>
        <v>0</v>
      </c>
      <c r="AG26" s="14">
        <f>MIN(Y$57:Y$96)</f>
        <v>0</v>
      </c>
    </row>
    <row r="27" spans="2:38" x14ac:dyDescent="0.2">
      <c r="B27">
        <v>13</v>
      </c>
      <c r="C27" s="6">
        <v>5500</v>
      </c>
      <c r="D27" s="6">
        <v>0</v>
      </c>
      <c r="E27">
        <f t="shared" si="1"/>
        <v>3.7403626894942437</v>
      </c>
      <c r="F27">
        <f t="shared" si="24"/>
        <v>0</v>
      </c>
      <c r="G27">
        <f t="shared" si="3"/>
        <v>3.7403626894942437</v>
      </c>
      <c r="H27" t="s">
        <v>131</v>
      </c>
      <c r="I27" s="6">
        <v>2</v>
      </c>
      <c r="J27" s="6">
        <v>0</v>
      </c>
      <c r="K27">
        <f t="shared" si="4"/>
        <v>0.3010299956639812</v>
      </c>
      <c r="L27" s="2">
        <v>0</v>
      </c>
      <c r="M27">
        <f t="shared" si="0"/>
        <v>0.3010299956639812</v>
      </c>
      <c r="O27">
        <v>13</v>
      </c>
      <c r="P27" s="6">
        <v>46</v>
      </c>
      <c r="Q27" s="6">
        <v>0</v>
      </c>
      <c r="R27">
        <f t="shared" si="7"/>
        <v>1.6627578316815741</v>
      </c>
      <c r="S27">
        <f t="shared" ref="S27:S29" si="27">LOG(1)</f>
        <v>0</v>
      </c>
      <c r="T27">
        <f t="shared" si="13"/>
        <v>1.6627578316815741</v>
      </c>
      <c r="U27" t="s">
        <v>131</v>
      </c>
      <c r="V27">
        <v>0</v>
      </c>
      <c r="W27">
        <v>0</v>
      </c>
      <c r="X27">
        <f t="shared" si="26"/>
        <v>0</v>
      </c>
      <c r="Y27">
        <f t="shared" si="22"/>
        <v>0</v>
      </c>
      <c r="Z27">
        <f t="shared" si="14"/>
        <v>0</v>
      </c>
      <c r="AC27" s="14" t="s">
        <v>111</v>
      </c>
      <c r="AD27" s="14">
        <f>_xlfn.QUARTILE.EXC(R$57:R$96,1)</f>
        <v>2.0149403497929366</v>
      </c>
      <c r="AE27" s="14">
        <f>_xlfn.QUARTILE.EXC(S$57:S$96,1)</f>
        <v>0</v>
      </c>
      <c r="AF27" s="14">
        <f>_xlfn.QUARTILE.EXC(X$57:X$96,1)</f>
        <v>0</v>
      </c>
      <c r="AG27" s="14">
        <f>_xlfn.QUARTILE.EXC(Y$57:Y$96,1)</f>
        <v>0</v>
      </c>
    </row>
    <row r="28" spans="2:38" x14ac:dyDescent="0.2">
      <c r="C28" s="6">
        <v>900</v>
      </c>
      <c r="D28" s="6">
        <v>0</v>
      </c>
      <c r="E28">
        <f t="shared" si="1"/>
        <v>2.9542425094393248</v>
      </c>
      <c r="F28">
        <f t="shared" si="24"/>
        <v>0</v>
      </c>
      <c r="G28">
        <f t="shared" si="3"/>
        <v>2.9542425094393248</v>
      </c>
      <c r="H28" t="s">
        <v>131</v>
      </c>
      <c r="I28" s="6">
        <v>0</v>
      </c>
      <c r="J28" s="6">
        <v>0</v>
      </c>
      <c r="K28" s="2">
        <v>0</v>
      </c>
      <c r="L28" s="2">
        <v>0</v>
      </c>
      <c r="M28">
        <f t="shared" si="0"/>
        <v>0</v>
      </c>
      <c r="P28" s="6">
        <v>4200</v>
      </c>
      <c r="Q28" s="6">
        <v>0</v>
      </c>
      <c r="R28">
        <f t="shared" si="7"/>
        <v>3.6232492903979003</v>
      </c>
      <c r="S28">
        <f t="shared" si="27"/>
        <v>0</v>
      </c>
      <c r="T28">
        <f t="shared" si="13"/>
        <v>3.6232492903979003</v>
      </c>
      <c r="U28" t="s">
        <v>131</v>
      </c>
      <c r="V28">
        <v>1</v>
      </c>
      <c r="W28">
        <v>0</v>
      </c>
      <c r="X28">
        <f t="shared" si="23"/>
        <v>0</v>
      </c>
      <c r="Y28">
        <f t="shared" si="22"/>
        <v>0</v>
      </c>
      <c r="Z28">
        <f t="shared" si="14"/>
        <v>0</v>
      </c>
      <c r="AC28" s="14" t="s">
        <v>112</v>
      </c>
      <c r="AD28" s="14">
        <f>_xlfn.QUARTILE.EXC(R$57:R$96,2)</f>
        <v>2.4616485680634552</v>
      </c>
      <c r="AE28" s="14">
        <f>_xlfn.QUARTILE.EXC(S$57:S$96,2)</f>
        <v>0</v>
      </c>
      <c r="AF28" s="14">
        <f>_xlfn.QUARTILE.EXC(X$57:X$96,2)</f>
        <v>0</v>
      </c>
      <c r="AG28" s="14">
        <f>_xlfn.QUARTILE.EXC(Y$57:Y$96,2)</f>
        <v>0</v>
      </c>
    </row>
    <row r="29" spans="2:38" x14ac:dyDescent="0.2">
      <c r="B29">
        <v>14</v>
      </c>
      <c r="C29" s="6">
        <v>555</v>
      </c>
      <c r="D29" s="6">
        <v>0</v>
      </c>
      <c r="E29">
        <f t="shared" si="1"/>
        <v>2.7442929831226763</v>
      </c>
      <c r="F29">
        <f t="shared" si="24"/>
        <v>0</v>
      </c>
      <c r="G29">
        <f t="shared" si="3"/>
        <v>2.7442929831226763</v>
      </c>
      <c r="H29" t="s">
        <v>131</v>
      </c>
      <c r="I29" s="6">
        <v>2</v>
      </c>
      <c r="J29" s="6">
        <v>0</v>
      </c>
      <c r="K29">
        <f t="shared" si="4"/>
        <v>0.3010299956639812</v>
      </c>
      <c r="L29" s="2">
        <v>0</v>
      </c>
      <c r="M29">
        <f t="shared" si="0"/>
        <v>0.3010299956639812</v>
      </c>
      <c r="O29">
        <v>14</v>
      </c>
      <c r="P29" s="6">
        <v>1641.5</v>
      </c>
      <c r="Q29" s="6">
        <v>0</v>
      </c>
      <c r="R29">
        <f t="shared" si="7"/>
        <v>3.215240887065359</v>
      </c>
      <c r="S29">
        <f t="shared" si="27"/>
        <v>0</v>
      </c>
      <c r="T29">
        <f t="shared" si="13"/>
        <v>3.215240887065359</v>
      </c>
      <c r="U29" t="s">
        <v>131</v>
      </c>
      <c r="V29">
        <v>66</v>
      </c>
      <c r="W29">
        <v>0</v>
      </c>
      <c r="X29">
        <f t="shared" si="23"/>
        <v>1.8195439355418688</v>
      </c>
      <c r="Y29">
        <f t="shared" si="22"/>
        <v>0</v>
      </c>
      <c r="Z29">
        <f t="shared" si="14"/>
        <v>1.8195439355418688</v>
      </c>
      <c r="AC29" s="14" t="s">
        <v>113</v>
      </c>
      <c r="AD29" s="14">
        <f>_xlfn.QUARTILE.EXC(R$57:R$96,3)</f>
        <v>2.8785217955012063</v>
      </c>
      <c r="AE29" s="14">
        <f>_xlfn.QUARTILE.EXC(S$57:S$96,3)</f>
        <v>1.7671558660821804</v>
      </c>
      <c r="AF29" s="14">
        <f>_xlfn.QUARTILE.EXC(X$57:X$96,3)</f>
        <v>0.1505149978319906</v>
      </c>
      <c r="AG29" s="14">
        <f>_xlfn.QUARTILE.EXC(Y$57:Y$96,3)</f>
        <v>0</v>
      </c>
    </row>
    <row r="30" spans="2:38" x14ac:dyDescent="0.2">
      <c r="C30" s="6">
        <v>9200</v>
      </c>
      <c r="D30" s="6">
        <v>0</v>
      </c>
      <c r="E30">
        <f t="shared" si="1"/>
        <v>3.9637878273455551</v>
      </c>
      <c r="F30">
        <f t="shared" si="24"/>
        <v>0</v>
      </c>
      <c r="G30">
        <f t="shared" si="3"/>
        <v>3.9637878273455551</v>
      </c>
      <c r="H30" t="s">
        <v>131</v>
      </c>
      <c r="I30" s="11">
        <v>4</v>
      </c>
      <c r="J30" s="6">
        <v>0</v>
      </c>
      <c r="K30">
        <f t="shared" si="4"/>
        <v>0.6020599913279624</v>
      </c>
      <c r="L30" s="2">
        <v>0</v>
      </c>
      <c r="M30">
        <f t="shared" si="0"/>
        <v>0.6020599913279624</v>
      </c>
      <c r="P30">
        <v>222</v>
      </c>
      <c r="Q30">
        <v>27</v>
      </c>
      <c r="R30">
        <f t="shared" si="7"/>
        <v>2.3463529744506388</v>
      </c>
      <c r="S30">
        <f t="shared" si="20"/>
        <v>1.4313637641589874</v>
      </c>
      <c r="T30">
        <f t="shared" si="13"/>
        <v>0.91498921029165148</v>
      </c>
      <c r="U30">
        <f>T30</f>
        <v>0.91498921029165148</v>
      </c>
      <c r="V30">
        <v>1</v>
      </c>
      <c r="W30">
        <v>0</v>
      </c>
      <c r="X30">
        <f t="shared" si="23"/>
        <v>0</v>
      </c>
      <c r="Y30">
        <f t="shared" si="22"/>
        <v>0</v>
      </c>
      <c r="Z30">
        <f t="shared" si="14"/>
        <v>0</v>
      </c>
      <c r="AC30" s="14" t="s">
        <v>114</v>
      </c>
      <c r="AD30" s="14">
        <f>MAX(R$57:R$96)</f>
        <v>4.4771212547196626</v>
      </c>
      <c r="AE30" s="14">
        <f>MAX(S$57:S$96)</f>
        <v>3.6532125137753435</v>
      </c>
      <c r="AF30" s="14">
        <f>MAX(X$57:X$96)</f>
        <v>1.3010299956639813</v>
      </c>
      <c r="AG30" s="14">
        <f>MAX(Y$57:Y$96)</f>
        <v>1.711807229041191</v>
      </c>
    </row>
    <row r="31" spans="2:38" x14ac:dyDescent="0.2">
      <c r="B31">
        <v>15</v>
      </c>
      <c r="C31" s="6">
        <v>6</v>
      </c>
      <c r="D31" s="6">
        <v>0</v>
      </c>
      <c r="E31">
        <f t="shared" si="1"/>
        <v>0.77815125038364363</v>
      </c>
      <c r="F31">
        <f t="shared" si="24"/>
        <v>0</v>
      </c>
      <c r="G31">
        <f t="shared" si="3"/>
        <v>0.77815125038364363</v>
      </c>
      <c r="H31" t="s">
        <v>131</v>
      </c>
      <c r="I31" s="6">
        <v>0</v>
      </c>
      <c r="J31" s="6">
        <v>0</v>
      </c>
      <c r="K31" s="2">
        <v>0</v>
      </c>
      <c r="L31" s="2">
        <v>0</v>
      </c>
      <c r="M31">
        <f t="shared" si="0"/>
        <v>0</v>
      </c>
      <c r="O31">
        <v>15</v>
      </c>
      <c r="P31">
        <v>10</v>
      </c>
      <c r="Q31">
        <v>0</v>
      </c>
      <c r="R31">
        <f t="shared" si="7"/>
        <v>1</v>
      </c>
      <c r="S31">
        <f t="shared" ref="S31:S32" si="28">LOG(1)</f>
        <v>0</v>
      </c>
      <c r="T31">
        <f t="shared" si="13"/>
        <v>1</v>
      </c>
      <c r="U31" t="s">
        <v>131</v>
      </c>
      <c r="V31">
        <v>0</v>
      </c>
      <c r="W31">
        <v>0</v>
      </c>
      <c r="X31">
        <f>LOG(1)</f>
        <v>0</v>
      </c>
      <c r="Y31">
        <f t="shared" si="22"/>
        <v>0</v>
      </c>
      <c r="Z31">
        <f t="shared" si="14"/>
        <v>0</v>
      </c>
    </row>
    <row r="32" spans="2:38" x14ac:dyDescent="0.2">
      <c r="C32" s="6">
        <v>57</v>
      </c>
      <c r="D32" s="6">
        <v>0</v>
      </c>
      <c r="E32">
        <f t="shared" si="1"/>
        <v>1.7558748556724915</v>
      </c>
      <c r="F32">
        <f t="shared" si="24"/>
        <v>0</v>
      </c>
      <c r="G32">
        <f>E32-F32</f>
        <v>1.7558748556724915</v>
      </c>
      <c r="H32" t="s">
        <v>131</v>
      </c>
      <c r="I32" s="6">
        <v>0</v>
      </c>
      <c r="J32" s="6">
        <v>0</v>
      </c>
      <c r="K32" s="2">
        <v>0</v>
      </c>
      <c r="L32" s="2">
        <v>0</v>
      </c>
      <c r="M32">
        <f t="shared" si="0"/>
        <v>0</v>
      </c>
      <c r="P32" s="24">
        <v>306</v>
      </c>
      <c r="Q32" s="24">
        <v>0</v>
      </c>
      <c r="R32">
        <f t="shared" si="7"/>
        <v>2.4857214264815801</v>
      </c>
      <c r="S32">
        <f t="shared" si="28"/>
        <v>0</v>
      </c>
      <c r="T32">
        <f t="shared" si="13"/>
        <v>2.4857214264815801</v>
      </c>
      <c r="U32" t="s">
        <v>131</v>
      </c>
      <c r="V32">
        <v>0</v>
      </c>
      <c r="W32">
        <v>0</v>
      </c>
      <c r="X32">
        <f t="shared" ref="X32:Y41" si="29">LOG(1)</f>
        <v>0</v>
      </c>
      <c r="Y32">
        <f t="shared" si="22"/>
        <v>0</v>
      </c>
      <c r="Z32">
        <f t="shared" si="14"/>
        <v>0</v>
      </c>
    </row>
    <row r="33" spans="2:40" x14ac:dyDescent="0.2">
      <c r="B33">
        <v>16</v>
      </c>
      <c r="C33" s="6">
        <v>3200</v>
      </c>
      <c r="D33" s="6">
        <v>0</v>
      </c>
      <c r="E33">
        <f t="shared" si="1"/>
        <v>3.5051499783199058</v>
      </c>
      <c r="F33">
        <f t="shared" si="24"/>
        <v>0</v>
      </c>
      <c r="G33">
        <f t="shared" si="3"/>
        <v>3.5051499783199058</v>
      </c>
      <c r="H33" t="s">
        <v>131</v>
      </c>
      <c r="I33" s="6">
        <v>1600</v>
      </c>
      <c r="J33" s="6">
        <v>250</v>
      </c>
      <c r="K33">
        <f t="shared" si="4"/>
        <v>3.2041199826559246</v>
      </c>
      <c r="L33">
        <f t="shared" si="5"/>
        <v>2.3979400086720375</v>
      </c>
      <c r="M33">
        <f t="shared" si="0"/>
        <v>0.80617997398388708</v>
      </c>
      <c r="O33">
        <v>16</v>
      </c>
      <c r="P33" s="6">
        <v>480.5</v>
      </c>
      <c r="Q33" s="6">
        <v>7795</v>
      </c>
      <c r="R33">
        <f t="shared" si="7"/>
        <v>2.681693392004564</v>
      </c>
      <c r="S33">
        <f t="shared" si="20"/>
        <v>3.8918161195248606</v>
      </c>
      <c r="T33">
        <f t="shared" si="13"/>
        <v>-1.2101227275202966</v>
      </c>
      <c r="U33">
        <f>T33</f>
        <v>-1.2101227275202966</v>
      </c>
      <c r="V33">
        <v>0</v>
      </c>
      <c r="W33">
        <v>3</v>
      </c>
      <c r="X33">
        <f t="shared" si="29"/>
        <v>0</v>
      </c>
      <c r="Y33">
        <f t="shared" ref="Y33:Y42" si="30">LOG(W33)</f>
        <v>0.47712125471966244</v>
      </c>
      <c r="Z33">
        <f t="shared" si="14"/>
        <v>-0.47712125471966244</v>
      </c>
    </row>
    <row r="34" spans="2:40" x14ac:dyDescent="0.2">
      <c r="C34" s="6">
        <v>915</v>
      </c>
      <c r="D34" s="6">
        <v>8200</v>
      </c>
      <c r="E34">
        <f t="shared" si="1"/>
        <v>2.9614210940664485</v>
      </c>
      <c r="F34">
        <f t="shared" si="2"/>
        <v>3.9138138523837167</v>
      </c>
      <c r="G34">
        <f t="shared" si="3"/>
        <v>-0.95239275831726822</v>
      </c>
      <c r="H34">
        <f>G34</f>
        <v>-0.95239275831726822</v>
      </c>
      <c r="I34" s="6">
        <v>1</v>
      </c>
      <c r="J34" s="6">
        <v>1</v>
      </c>
      <c r="K34">
        <f t="shared" si="4"/>
        <v>0</v>
      </c>
      <c r="L34">
        <f t="shared" si="5"/>
        <v>0</v>
      </c>
      <c r="M34">
        <f t="shared" si="0"/>
        <v>0</v>
      </c>
      <c r="P34" s="6">
        <v>1053</v>
      </c>
      <c r="Q34" s="6">
        <v>30000</v>
      </c>
      <c r="R34">
        <f t="shared" si="7"/>
        <v>3.0224283711854865</v>
      </c>
      <c r="S34">
        <f t="shared" si="20"/>
        <v>4.4771212547196626</v>
      </c>
      <c r="T34">
        <f t="shared" si="13"/>
        <v>-1.4546928835341761</v>
      </c>
      <c r="U34">
        <f>T34</f>
        <v>-1.4546928835341761</v>
      </c>
      <c r="V34">
        <v>1</v>
      </c>
      <c r="W34">
        <v>0</v>
      </c>
      <c r="X34">
        <f t="shared" si="23"/>
        <v>0</v>
      </c>
      <c r="Y34">
        <f>LOG(1)</f>
        <v>0</v>
      </c>
      <c r="Z34">
        <f t="shared" si="14"/>
        <v>0</v>
      </c>
      <c r="AC34" s="15" t="s">
        <v>116</v>
      </c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</row>
    <row r="35" spans="2:40" x14ac:dyDescent="0.2">
      <c r="B35">
        <v>17</v>
      </c>
      <c r="C35" s="6">
        <v>23100</v>
      </c>
      <c r="D35" s="6">
        <v>0</v>
      </c>
      <c r="E35">
        <f t="shared" si="1"/>
        <v>4.363611979892144</v>
      </c>
      <c r="F35">
        <f t="shared" si="24"/>
        <v>0</v>
      </c>
      <c r="G35">
        <f t="shared" si="3"/>
        <v>4.363611979892144</v>
      </c>
      <c r="H35" t="s">
        <v>131</v>
      </c>
      <c r="I35" s="6">
        <v>2</v>
      </c>
      <c r="J35" s="6">
        <v>0</v>
      </c>
      <c r="K35">
        <f t="shared" si="4"/>
        <v>0.3010299956639812</v>
      </c>
      <c r="L35" s="2">
        <v>0</v>
      </c>
      <c r="M35">
        <f t="shared" si="0"/>
        <v>0.3010299956639812</v>
      </c>
      <c r="O35">
        <v>17</v>
      </c>
      <c r="P35" s="6">
        <v>214.5</v>
      </c>
      <c r="Q35" s="6">
        <v>0</v>
      </c>
      <c r="R35">
        <f t="shared" si="7"/>
        <v>2.3314272965207432</v>
      </c>
      <c r="S35">
        <f t="shared" ref="S35" si="31">LOG(1)</f>
        <v>0</v>
      </c>
      <c r="T35">
        <f t="shared" si="13"/>
        <v>2.3314272965207432</v>
      </c>
      <c r="U35" t="s">
        <v>131</v>
      </c>
      <c r="V35">
        <v>0</v>
      </c>
      <c r="W35">
        <v>0</v>
      </c>
      <c r="X35">
        <f t="shared" si="29"/>
        <v>0</v>
      </c>
      <c r="Y35">
        <f t="shared" si="29"/>
        <v>0</v>
      </c>
      <c r="Z35">
        <f t="shared" si="14"/>
        <v>0</v>
      </c>
      <c r="AC35" s="14" t="s">
        <v>117</v>
      </c>
      <c r="AD35" s="14" t="s">
        <v>110</v>
      </c>
      <c r="AE35" s="14" t="s">
        <v>111</v>
      </c>
      <c r="AF35" s="14" t="s">
        <v>112</v>
      </c>
      <c r="AG35" s="14" t="s">
        <v>113</v>
      </c>
      <c r="AH35" s="14" t="s">
        <v>114</v>
      </c>
      <c r="AI35" s="14" t="s">
        <v>118</v>
      </c>
      <c r="AJ35" s="14" t="s">
        <v>110</v>
      </c>
      <c r="AK35" s="14" t="s">
        <v>111</v>
      </c>
      <c r="AL35" s="14" t="s">
        <v>112</v>
      </c>
      <c r="AM35" s="14" t="s">
        <v>113</v>
      </c>
      <c r="AN35" s="14" t="s">
        <v>114</v>
      </c>
    </row>
    <row r="36" spans="2:40" x14ac:dyDescent="0.2">
      <c r="C36" s="6">
        <v>190</v>
      </c>
      <c r="D36" s="6">
        <v>0</v>
      </c>
      <c r="E36">
        <f t="shared" si="1"/>
        <v>2.2787536009528289</v>
      </c>
      <c r="F36">
        <f t="shared" si="24"/>
        <v>0</v>
      </c>
      <c r="G36">
        <f t="shared" si="3"/>
        <v>2.2787536009528289</v>
      </c>
      <c r="H36" t="s">
        <v>131</v>
      </c>
      <c r="I36" s="6">
        <v>0</v>
      </c>
      <c r="J36" s="6">
        <v>0</v>
      </c>
      <c r="K36" s="2">
        <v>0</v>
      </c>
      <c r="L36" s="2">
        <v>0</v>
      </c>
      <c r="M36">
        <f t="shared" si="0"/>
        <v>0</v>
      </c>
      <c r="P36" s="6">
        <v>212.5</v>
      </c>
      <c r="Q36" s="6">
        <v>18</v>
      </c>
      <c r="R36">
        <f t="shared" si="7"/>
        <v>2.3273589343863303</v>
      </c>
      <c r="S36">
        <f t="shared" si="20"/>
        <v>1.255272505103306</v>
      </c>
      <c r="T36">
        <f t="shared" si="13"/>
        <v>1.0720864292830243</v>
      </c>
      <c r="U36">
        <f>T36</f>
        <v>1.0720864292830243</v>
      </c>
      <c r="V36">
        <v>1</v>
      </c>
      <c r="W36">
        <v>0</v>
      </c>
      <c r="X36">
        <f t="shared" si="23"/>
        <v>0</v>
      </c>
      <c r="Y36">
        <f t="shared" si="29"/>
        <v>0</v>
      </c>
      <c r="Z36">
        <f t="shared" si="14"/>
        <v>0</v>
      </c>
      <c r="AC36" s="14">
        <v>1</v>
      </c>
      <c r="AD36" s="14">
        <f>AD5</f>
        <v>0.77815125038364363</v>
      </c>
      <c r="AE36" s="14">
        <f>AD6</f>
        <v>2.2538229010988196</v>
      </c>
      <c r="AF36" s="14">
        <f>AD7</f>
        <v>2.9655349672735869</v>
      </c>
      <c r="AG36" s="14">
        <f>AD8</f>
        <v>3.4052091680105709</v>
      </c>
      <c r="AH36" s="14">
        <f>AD9</f>
        <v>4.3692158574101425</v>
      </c>
      <c r="AI36" s="14">
        <v>1</v>
      </c>
      <c r="AJ36" s="14">
        <f>AE5</f>
        <v>0</v>
      </c>
      <c r="AK36" s="14">
        <f>AE6</f>
        <v>0</v>
      </c>
      <c r="AL36" s="14">
        <f>AE7</f>
        <v>0</v>
      </c>
      <c r="AM36" s="14">
        <f>AE8</f>
        <v>1.6989700043360187</v>
      </c>
      <c r="AN36" s="14">
        <f>AE9</f>
        <v>3.9138138523837167</v>
      </c>
    </row>
    <row r="37" spans="2:40" x14ac:dyDescent="0.2">
      <c r="B37">
        <v>18</v>
      </c>
      <c r="C37" s="6">
        <v>932.5</v>
      </c>
      <c r="D37" s="6">
        <v>0</v>
      </c>
      <c r="E37">
        <f t="shared" si="1"/>
        <v>2.9696488404807253</v>
      </c>
      <c r="F37">
        <f t="shared" si="24"/>
        <v>0</v>
      </c>
      <c r="G37">
        <f t="shared" si="3"/>
        <v>2.9696488404807253</v>
      </c>
      <c r="H37" t="s">
        <v>131</v>
      </c>
      <c r="I37" s="6">
        <v>9</v>
      </c>
      <c r="J37" s="6">
        <v>100</v>
      </c>
      <c r="K37">
        <f t="shared" si="4"/>
        <v>0.95424250943932487</v>
      </c>
      <c r="L37">
        <f t="shared" si="5"/>
        <v>2</v>
      </c>
      <c r="M37">
        <f t="shared" si="0"/>
        <v>-1.0457574905606752</v>
      </c>
      <c r="O37">
        <v>18</v>
      </c>
      <c r="P37" s="6">
        <v>1187</v>
      </c>
      <c r="Q37" s="6">
        <v>51</v>
      </c>
      <c r="R37">
        <f t="shared" si="7"/>
        <v>3.0744507189545911</v>
      </c>
      <c r="S37">
        <f t="shared" si="20"/>
        <v>1.7075701760979363</v>
      </c>
      <c r="T37">
        <f t="shared" si="13"/>
        <v>1.3668805428566548</v>
      </c>
      <c r="U37">
        <f>T37</f>
        <v>1.3668805428566548</v>
      </c>
      <c r="V37">
        <v>0</v>
      </c>
      <c r="W37">
        <v>0</v>
      </c>
      <c r="X37">
        <f t="shared" si="29"/>
        <v>0</v>
      </c>
      <c r="Y37">
        <f t="shared" si="29"/>
        <v>0</v>
      </c>
      <c r="Z37">
        <f t="shared" si="14"/>
        <v>0</v>
      </c>
      <c r="AC37" s="14">
        <v>2</v>
      </c>
      <c r="AD37" s="14">
        <f>AD12</f>
        <v>0</v>
      </c>
      <c r="AE37" s="14">
        <f>AD13</f>
        <v>1.8633228601204559</v>
      </c>
      <c r="AF37" s="14">
        <f>AD14</f>
        <v>2.6196150057428063</v>
      </c>
      <c r="AG37" s="14">
        <f>AD15</f>
        <v>3.3793961751941644</v>
      </c>
      <c r="AH37" s="14">
        <f>AD16</f>
        <v>4.4771212547196626</v>
      </c>
      <c r="AI37" s="14">
        <v>2</v>
      </c>
      <c r="AJ37" s="14">
        <f>AE12</f>
        <v>0</v>
      </c>
      <c r="AK37" s="14">
        <f>AE13</f>
        <v>0</v>
      </c>
      <c r="AL37" s="14">
        <f>AE14</f>
        <v>1.7634279935629373</v>
      </c>
      <c r="AM37" s="14">
        <f>AE15</f>
        <v>2.7630534402996147</v>
      </c>
      <c r="AN37" s="14">
        <f>AE16</f>
        <v>4.4771212547196626</v>
      </c>
    </row>
    <row r="38" spans="2:40" x14ac:dyDescent="0.2">
      <c r="C38" s="6">
        <v>1624</v>
      </c>
      <c r="D38" s="6">
        <v>50</v>
      </c>
      <c r="E38">
        <f t="shared" si="1"/>
        <v>3.2105860249051563</v>
      </c>
      <c r="F38">
        <f t="shared" si="2"/>
        <v>1.6989700043360187</v>
      </c>
      <c r="G38">
        <f t="shared" si="3"/>
        <v>1.5116160205691376</v>
      </c>
      <c r="H38" t="s">
        <v>131</v>
      </c>
      <c r="I38" s="6">
        <v>3</v>
      </c>
      <c r="J38" s="6">
        <v>0</v>
      </c>
      <c r="K38">
        <f>LOG(I38)</f>
        <v>0.47712125471966244</v>
      </c>
      <c r="L38" s="2">
        <v>0</v>
      </c>
      <c r="M38">
        <f t="shared" si="0"/>
        <v>0.47712125471966244</v>
      </c>
      <c r="P38" s="6">
        <v>600</v>
      </c>
      <c r="Q38" s="6">
        <v>65.5</v>
      </c>
      <c r="R38">
        <f t="shared" si="7"/>
        <v>2.7781512503836434</v>
      </c>
      <c r="S38">
        <f t="shared" si="20"/>
        <v>1.816241299991783</v>
      </c>
      <c r="T38">
        <f t="shared" si="13"/>
        <v>0.96190995039186045</v>
      </c>
      <c r="U38">
        <f>T38</f>
        <v>0.96190995039186045</v>
      </c>
      <c r="V38">
        <v>1</v>
      </c>
      <c r="W38">
        <v>0</v>
      </c>
      <c r="X38">
        <f t="shared" si="23"/>
        <v>0</v>
      </c>
      <c r="Y38">
        <f t="shared" si="29"/>
        <v>0</v>
      </c>
      <c r="Z38">
        <f t="shared" si="14"/>
        <v>0</v>
      </c>
      <c r="AC38" s="14">
        <v>3</v>
      </c>
      <c r="AD38" s="14">
        <f>AD19</f>
        <v>0</v>
      </c>
      <c r="AE38" s="14">
        <f>AD20</f>
        <v>1.9489700043360187</v>
      </c>
      <c r="AF38" s="14">
        <f>AD21</f>
        <v>2.6308600622542007</v>
      </c>
      <c r="AG38" s="14">
        <f>AD22</f>
        <v>3.0254073770703709</v>
      </c>
      <c r="AH38" s="14">
        <f>AD23</f>
        <v>3.6434526764861874</v>
      </c>
      <c r="AI38" s="14">
        <v>3</v>
      </c>
      <c r="AJ38" s="14">
        <f>AE19</f>
        <v>0</v>
      </c>
      <c r="AK38" s="14">
        <f>AE20</f>
        <v>0</v>
      </c>
      <c r="AL38" s="14">
        <f>AE21</f>
        <v>1.3433181346311467</v>
      </c>
      <c r="AM38" s="14">
        <f>AE22</f>
        <v>2.451008069667179</v>
      </c>
      <c r="AN38" s="14">
        <f>AE23</f>
        <v>4.4771212547196626</v>
      </c>
    </row>
    <row r="39" spans="2:40" x14ac:dyDescent="0.2">
      <c r="B39">
        <v>19</v>
      </c>
      <c r="C39" s="6">
        <v>116.5</v>
      </c>
      <c r="D39" s="6">
        <v>0</v>
      </c>
      <c r="E39">
        <f t="shared" si="1"/>
        <v>2.0663259253620376</v>
      </c>
      <c r="F39">
        <f t="shared" si="24"/>
        <v>0</v>
      </c>
      <c r="G39">
        <f t="shared" si="3"/>
        <v>2.0663259253620376</v>
      </c>
      <c r="H39" t="s">
        <v>131</v>
      </c>
      <c r="I39" s="6">
        <v>6</v>
      </c>
      <c r="J39" s="6">
        <v>0</v>
      </c>
      <c r="K39">
        <f t="shared" si="4"/>
        <v>0.77815125038364363</v>
      </c>
      <c r="L39" s="2">
        <v>0</v>
      </c>
      <c r="M39">
        <f t="shared" si="0"/>
        <v>0.77815125038364363</v>
      </c>
      <c r="O39">
        <v>19</v>
      </c>
      <c r="P39" s="6">
        <v>306.5</v>
      </c>
      <c r="Q39" s="6">
        <v>0</v>
      </c>
      <c r="R39">
        <f t="shared" si="7"/>
        <v>2.4864304788544338</v>
      </c>
      <c r="S39">
        <f t="shared" ref="S39" si="32">LOG(1)</f>
        <v>0</v>
      </c>
      <c r="T39">
        <f t="shared" si="13"/>
        <v>2.4864304788544338</v>
      </c>
      <c r="U39" t="s">
        <v>131</v>
      </c>
      <c r="V39">
        <v>50</v>
      </c>
      <c r="W39">
        <v>0</v>
      </c>
      <c r="X39">
        <f t="shared" si="23"/>
        <v>1.6989700043360187</v>
      </c>
      <c r="Y39">
        <f t="shared" si="29"/>
        <v>0</v>
      </c>
      <c r="Z39">
        <f t="shared" si="14"/>
        <v>1.6989700043360187</v>
      </c>
      <c r="AC39" s="14">
        <v>4</v>
      </c>
      <c r="AD39" s="14">
        <f>AD26</f>
        <v>1</v>
      </c>
      <c r="AE39" s="14">
        <f>AD27</f>
        <v>2.0149403497929366</v>
      </c>
      <c r="AF39" s="14">
        <f>AD28</f>
        <v>2.4616485680634552</v>
      </c>
      <c r="AG39" s="14">
        <f>AD29</f>
        <v>2.8785217955012063</v>
      </c>
      <c r="AH39" s="14">
        <f>AD30</f>
        <v>4.4771212547196626</v>
      </c>
      <c r="AI39" s="14">
        <v>4</v>
      </c>
      <c r="AJ39" s="14">
        <f>AE26</f>
        <v>0</v>
      </c>
      <c r="AK39" s="14">
        <f>AE27</f>
        <v>0</v>
      </c>
      <c r="AL39" s="14">
        <f>AE28</f>
        <v>0</v>
      </c>
      <c r="AM39" s="14">
        <f>AE29</f>
        <v>1.7671558660821804</v>
      </c>
      <c r="AN39" s="14">
        <f>AE30</f>
        <v>3.6532125137753435</v>
      </c>
    </row>
    <row r="40" spans="2:40" x14ac:dyDescent="0.2">
      <c r="C40" s="6">
        <v>1459</v>
      </c>
      <c r="D40" s="6">
        <v>0</v>
      </c>
      <c r="E40">
        <f t="shared" si="1"/>
        <v>3.1640552918934515</v>
      </c>
      <c r="F40">
        <f t="shared" si="24"/>
        <v>0</v>
      </c>
      <c r="G40">
        <f t="shared" si="3"/>
        <v>3.1640552918934515</v>
      </c>
      <c r="H40" t="s">
        <v>131</v>
      </c>
      <c r="I40" s="6">
        <v>1</v>
      </c>
      <c r="J40" s="6">
        <v>0</v>
      </c>
      <c r="K40">
        <f t="shared" si="4"/>
        <v>0</v>
      </c>
      <c r="L40" s="2">
        <v>0</v>
      </c>
      <c r="M40">
        <f t="shared" si="0"/>
        <v>0</v>
      </c>
      <c r="P40" s="6">
        <v>4400</v>
      </c>
      <c r="Q40" s="6">
        <v>50</v>
      </c>
      <c r="R40">
        <f t="shared" si="7"/>
        <v>3.6434526764861874</v>
      </c>
      <c r="S40">
        <f t="shared" si="20"/>
        <v>1.6989700043360187</v>
      </c>
      <c r="T40">
        <f t="shared" si="13"/>
        <v>1.9444826721501687</v>
      </c>
      <c r="U40" t="s">
        <v>131</v>
      </c>
      <c r="V40">
        <v>1</v>
      </c>
      <c r="W40">
        <v>0</v>
      </c>
      <c r="X40">
        <f t="shared" si="23"/>
        <v>0</v>
      </c>
      <c r="Y40">
        <f t="shared" si="29"/>
        <v>0</v>
      </c>
      <c r="Z40">
        <f t="shared" si="14"/>
        <v>0</v>
      </c>
    </row>
    <row r="41" spans="2:40" x14ac:dyDescent="0.2">
      <c r="B41">
        <v>20</v>
      </c>
      <c r="C41" s="6">
        <v>2122</v>
      </c>
      <c r="D41" s="6">
        <v>20</v>
      </c>
      <c r="E41">
        <f t="shared" si="1"/>
        <v>3.3267453795653217</v>
      </c>
      <c r="F41">
        <f t="shared" si="2"/>
        <v>1.3010299956639813</v>
      </c>
      <c r="G41">
        <f t="shared" si="3"/>
        <v>2.0257153839013404</v>
      </c>
      <c r="H41">
        <f>G41</f>
        <v>2.0257153839013404</v>
      </c>
      <c r="I41" s="6">
        <v>5</v>
      </c>
      <c r="J41" s="6">
        <v>0</v>
      </c>
      <c r="K41">
        <f t="shared" si="4"/>
        <v>0.69897000433601886</v>
      </c>
      <c r="L41" s="2">
        <v>0</v>
      </c>
      <c r="M41">
        <f t="shared" si="0"/>
        <v>0.69897000433601886</v>
      </c>
      <c r="O41">
        <v>20</v>
      </c>
      <c r="P41" s="6">
        <v>486</v>
      </c>
      <c r="Q41" s="6">
        <v>0</v>
      </c>
      <c r="R41">
        <f t="shared" si="7"/>
        <v>2.6866362692622934</v>
      </c>
      <c r="S41">
        <f t="shared" ref="S41" si="33">LOG(1)</f>
        <v>0</v>
      </c>
      <c r="T41">
        <f t="shared" si="13"/>
        <v>2.6866362692622934</v>
      </c>
      <c r="U41" t="s">
        <v>131</v>
      </c>
      <c r="V41">
        <v>3</v>
      </c>
      <c r="W41">
        <v>0</v>
      </c>
      <c r="X41">
        <f t="shared" si="23"/>
        <v>0.47712125471966244</v>
      </c>
      <c r="Y41">
        <f t="shared" si="29"/>
        <v>0</v>
      </c>
      <c r="Z41">
        <f t="shared" si="14"/>
        <v>0.47712125471966244</v>
      </c>
    </row>
    <row r="42" spans="2:40" x14ac:dyDescent="0.2">
      <c r="C42" s="6">
        <v>327.5</v>
      </c>
      <c r="D42" s="6">
        <v>1796</v>
      </c>
      <c r="E42">
        <f t="shared" si="1"/>
        <v>2.5152113043278019</v>
      </c>
      <c r="F42">
        <f t="shared" si="2"/>
        <v>3.2543063323312857</v>
      </c>
      <c r="G42">
        <f t="shared" si="3"/>
        <v>-0.73909502800348381</v>
      </c>
      <c r="H42">
        <f>G42</f>
        <v>-0.73909502800348381</v>
      </c>
      <c r="I42" s="6">
        <v>0</v>
      </c>
      <c r="J42" s="6">
        <v>9</v>
      </c>
      <c r="K42" s="2">
        <v>0</v>
      </c>
      <c r="L42">
        <f t="shared" si="5"/>
        <v>0.95424250943932487</v>
      </c>
      <c r="M42">
        <f t="shared" si="0"/>
        <v>-0.95424250943932487</v>
      </c>
      <c r="P42" s="6">
        <v>359.5</v>
      </c>
      <c r="Q42" s="6">
        <v>313</v>
      </c>
      <c r="R42">
        <f t="shared" si="7"/>
        <v>2.5556988947189012</v>
      </c>
      <c r="S42">
        <f t="shared" si="20"/>
        <v>2.4955443375464483</v>
      </c>
      <c r="T42">
        <f t="shared" si="13"/>
        <v>6.0154557172452883E-2</v>
      </c>
      <c r="U42">
        <f>T42</f>
        <v>6.0154557172452883E-2</v>
      </c>
      <c r="V42">
        <v>1</v>
      </c>
      <c r="W42">
        <v>1</v>
      </c>
      <c r="X42">
        <f t="shared" si="23"/>
        <v>0</v>
      </c>
      <c r="Y42">
        <f t="shared" si="30"/>
        <v>0</v>
      </c>
      <c r="Z42">
        <f t="shared" si="14"/>
        <v>0</v>
      </c>
      <c r="AC42" s="15" t="s">
        <v>2</v>
      </c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</row>
    <row r="43" spans="2:40" x14ac:dyDescent="0.2">
      <c r="G43">
        <f>AVERAGE(G3:G42)</f>
        <v>2.0626575802564018</v>
      </c>
      <c r="H43">
        <f>AVERAGE(H3:H42)</f>
        <v>1.1446093546951541</v>
      </c>
      <c r="M43">
        <f>AVERAGE(M3:M42)</f>
        <v>0.29331954494450913</v>
      </c>
      <c r="T43">
        <f>AVERAGE(T3:T42)</f>
        <v>1.0706845758486387</v>
      </c>
      <c r="U43">
        <f>AVERAGE(U3:U42)</f>
        <v>3.1530909657842998E-2</v>
      </c>
      <c r="Z43">
        <f>AVERAGE(Z3:Z42)</f>
        <v>8.8361564181745067E-2</v>
      </c>
      <c r="AC43" s="14" t="s">
        <v>117</v>
      </c>
      <c r="AD43" s="14" t="s">
        <v>110</v>
      </c>
      <c r="AE43" s="14" t="s">
        <v>111</v>
      </c>
      <c r="AF43" s="14" t="s">
        <v>112</v>
      </c>
      <c r="AG43" s="14" t="s">
        <v>113</v>
      </c>
      <c r="AH43" s="14" t="s">
        <v>114</v>
      </c>
      <c r="AI43" s="14" t="s">
        <v>118</v>
      </c>
      <c r="AJ43" s="14" t="s">
        <v>110</v>
      </c>
      <c r="AK43" s="14" t="s">
        <v>111</v>
      </c>
      <c r="AL43" s="14" t="s">
        <v>112</v>
      </c>
      <c r="AM43" s="14" t="s">
        <v>113</v>
      </c>
      <c r="AN43" s="14" t="s">
        <v>114</v>
      </c>
    </row>
    <row r="44" spans="2:40" x14ac:dyDescent="0.2">
      <c r="G44">
        <f>(STDEV(G3:G42))/(SQRT(COUNT(G3:G42)))</f>
        <v>0.21277586409591323</v>
      </c>
      <c r="H44">
        <f>(STDEV(H3:H42))/(SQRT(COUNT(H3:H42)))</f>
        <v>0.45852237728866235</v>
      </c>
      <c r="M44">
        <f>(STDEV(M3:M42))/(SQRT(COUNT(M3:M42)))</f>
        <v>0.11974716797522601</v>
      </c>
      <c r="T44">
        <f>(STDEV(T3:T42))/(SQRT(COUNT(T3:T42)))</f>
        <v>0.24810199567304572</v>
      </c>
      <c r="U44">
        <f>(STDEV(U3:U42))/(SQRT(COUNT(U3:U42)))</f>
        <v>0.23346976698234678</v>
      </c>
      <c r="Z44">
        <f>(STDEV(Z3:Z42))/(SQRT(COUNT(Z3:Z42)))</f>
        <v>0.10306140225867533</v>
      </c>
      <c r="AC44" s="14">
        <v>1</v>
      </c>
      <c r="AD44" s="14">
        <f>AF5</f>
        <v>0</v>
      </c>
      <c r="AE44" s="14">
        <f>AF6</f>
        <v>0</v>
      </c>
      <c r="AF44" s="14">
        <f>AF7</f>
        <v>0.3010299956639812</v>
      </c>
      <c r="AG44" s="14">
        <f>AF8</f>
        <v>0.75835593887173747</v>
      </c>
      <c r="AH44" s="14">
        <f>AF9</f>
        <v>3.2041199826559246</v>
      </c>
      <c r="AI44" s="14">
        <v>1</v>
      </c>
      <c r="AJ44" s="14">
        <f>AG5</f>
        <v>0</v>
      </c>
      <c r="AK44" s="14">
        <f>AG6</f>
        <v>0</v>
      </c>
      <c r="AL44" s="14">
        <f>AG7</f>
        <v>0</v>
      </c>
      <c r="AM44" s="14">
        <f>AG8</f>
        <v>0</v>
      </c>
      <c r="AN44" s="14">
        <f>AG9</f>
        <v>2.3979400086720375</v>
      </c>
    </row>
    <row r="45" spans="2:40" x14ac:dyDescent="0.2">
      <c r="AC45" s="14">
        <v>2</v>
      </c>
      <c r="AD45" s="14">
        <f>AF12</f>
        <v>0</v>
      </c>
      <c r="AE45" s="14">
        <f>AF13</f>
        <v>0</v>
      </c>
      <c r="AF45" s="14">
        <f>AF14</f>
        <v>0</v>
      </c>
      <c r="AG45" s="14">
        <f>AF15</f>
        <v>0.6020599913279624</v>
      </c>
      <c r="AH45" s="14">
        <f>AF16</f>
        <v>2.4556061125818669</v>
      </c>
      <c r="AI45" s="14">
        <v>2</v>
      </c>
      <c r="AJ45" s="14">
        <f>AG12</f>
        <v>0</v>
      </c>
      <c r="AK45" s="14">
        <f>AG13</f>
        <v>0</v>
      </c>
      <c r="AL45" s="14">
        <f>AG14</f>
        <v>0</v>
      </c>
      <c r="AM45" s="14">
        <f>AG15</f>
        <v>0</v>
      </c>
      <c r="AN45" s="14">
        <f>AG16</f>
        <v>1.8388490907372552</v>
      </c>
    </row>
    <row r="46" spans="2:40" x14ac:dyDescent="0.2">
      <c r="AC46" s="14">
        <v>3</v>
      </c>
      <c r="AD46" s="14">
        <f>AF19</f>
        <v>0</v>
      </c>
      <c r="AE46" s="14">
        <f>AF20</f>
        <v>0</v>
      </c>
      <c r="AF46" s="14">
        <f>AF21</f>
        <v>0</v>
      </c>
      <c r="AG46" s="14">
        <f>AF22</f>
        <v>0.11928031367991561</v>
      </c>
      <c r="AH46" s="14">
        <f>AF23</f>
        <v>2.3010299956639813</v>
      </c>
      <c r="AI46" s="14">
        <v>3</v>
      </c>
      <c r="AJ46" s="14">
        <f>AG19</f>
        <v>0</v>
      </c>
      <c r="AK46" s="14">
        <f>AG20</f>
        <v>0</v>
      </c>
      <c r="AL46" s="14">
        <f>AG21</f>
        <v>0</v>
      </c>
      <c r="AM46" s="14">
        <f>AG22</f>
        <v>0</v>
      </c>
      <c r="AN46" s="14">
        <f>AG23</f>
        <v>2.6532125137753435</v>
      </c>
    </row>
    <row r="47" spans="2:40" x14ac:dyDescent="0.2">
      <c r="D47">
        <f>COUNTIFS(D3:D42,"&lt;1")</f>
        <v>24</v>
      </c>
      <c r="Q47">
        <f>COUNTIFS(Q3:Q42,"&lt;1")</f>
        <v>16</v>
      </c>
      <c r="AC47" s="14">
        <v>4</v>
      </c>
      <c r="AD47" s="14">
        <f>AF26</f>
        <v>0</v>
      </c>
      <c r="AE47" s="14">
        <f>AF27</f>
        <v>0</v>
      </c>
      <c r="AF47" s="14">
        <f>AF28</f>
        <v>0</v>
      </c>
      <c r="AG47" s="14">
        <f>AF29</f>
        <v>0.1505149978319906</v>
      </c>
      <c r="AH47" s="14">
        <f>AF30</f>
        <v>1.3010299956639813</v>
      </c>
      <c r="AI47" s="14">
        <v>4</v>
      </c>
      <c r="AJ47" s="14">
        <f>AG26</f>
        <v>0</v>
      </c>
      <c r="AK47" s="14">
        <f>AG27</f>
        <v>0</v>
      </c>
      <c r="AL47" s="14">
        <f>AG28</f>
        <v>0</v>
      </c>
      <c r="AM47" s="14">
        <f>AG29</f>
        <v>0</v>
      </c>
      <c r="AN47" s="14">
        <f>AG30</f>
        <v>1.711807229041191</v>
      </c>
    </row>
    <row r="48" spans="2:40" x14ac:dyDescent="0.2">
      <c r="D48">
        <f>COUNTIFS(D3:D42,"&gt;=1",D3:D42, "&lt;=10")</f>
        <v>4</v>
      </c>
      <c r="Q48">
        <f>COUNTIFS(Q3:Q42,"&gt;=1",Q3:Q42, "&lt;=10")</f>
        <v>2</v>
      </c>
    </row>
    <row r="49" spans="2:40" x14ac:dyDescent="0.2">
      <c r="D49">
        <f>COUNTIFS(D3:D42,"&gt;=11",D3:D42, "&lt;=101")</f>
        <v>5</v>
      </c>
      <c r="Q49">
        <f>COUNTIFS(Q3:Q42,"&gt;=11",Q3:Q42, "&lt;=101")</f>
        <v>7</v>
      </c>
      <c r="AC49" t="s">
        <v>116</v>
      </c>
    </row>
    <row r="50" spans="2:40" x14ac:dyDescent="0.2">
      <c r="D50">
        <f>COUNTIFS(D3:D42,"&gt;=101",D3:D42, "&lt;=1000")</f>
        <v>3</v>
      </c>
      <c r="F50">
        <f>COUNT(D3:D42)</f>
        <v>40</v>
      </c>
      <c r="Q50">
        <f>COUNTIFS(Q3:Q42,"&gt;=101",Q3:Q42, "&lt;=1000")</f>
        <v>8</v>
      </c>
      <c r="S50">
        <f>COUNT(Q3:Q42)</f>
        <v>38</v>
      </c>
      <c r="AC50" s="14" t="s">
        <v>117</v>
      </c>
      <c r="AD50" s="14" t="s">
        <v>119</v>
      </c>
      <c r="AE50" s="14" t="s">
        <v>120</v>
      </c>
      <c r="AF50" s="14" t="s">
        <v>121</v>
      </c>
      <c r="AG50" s="14" t="s">
        <v>122</v>
      </c>
      <c r="AH50" s="14" t="s">
        <v>123</v>
      </c>
      <c r="AI50" s="14" t="s">
        <v>118</v>
      </c>
      <c r="AJ50" s="14" t="s">
        <v>119</v>
      </c>
      <c r="AK50" s="14" t="s">
        <v>120</v>
      </c>
      <c r="AL50" s="14" t="s">
        <v>121</v>
      </c>
      <c r="AM50" s="14" t="s">
        <v>122</v>
      </c>
      <c r="AN50" s="14" t="s">
        <v>123</v>
      </c>
    </row>
    <row r="51" spans="2:40" x14ac:dyDescent="0.2">
      <c r="D51">
        <f>COUNTIFS(D3:D42,"&gt;1001")</f>
        <v>4</v>
      </c>
      <c r="Q51">
        <f>COUNTIFS(Q3:Q42,"&gt;1001")</f>
        <v>5</v>
      </c>
      <c r="AC51" s="14">
        <v>1</v>
      </c>
      <c r="AD51" s="14">
        <f>AE36-AD36</f>
        <v>1.4756716507151759</v>
      </c>
      <c r="AE51" s="14">
        <f>AE36</f>
        <v>2.2538229010988196</v>
      </c>
      <c r="AF51" s="14">
        <f>AF36-AE36</f>
        <v>0.71171206617476734</v>
      </c>
      <c r="AG51" s="14">
        <f>AG36-AF36</f>
        <v>0.43967420073698404</v>
      </c>
      <c r="AH51" s="14">
        <f>AH36-AG36</f>
        <v>0.96400668939957157</v>
      </c>
      <c r="AI51" s="14">
        <v>1</v>
      </c>
      <c r="AJ51" s="14">
        <f>AK36-AJ36</f>
        <v>0</v>
      </c>
      <c r="AK51" s="14">
        <f>AK36</f>
        <v>0</v>
      </c>
      <c r="AL51" s="14">
        <f>AL36-AK36</f>
        <v>0</v>
      </c>
      <c r="AM51" s="14">
        <f>AM36-AL36</f>
        <v>1.6989700043360187</v>
      </c>
      <c r="AN51" s="14">
        <f>AN36-AM36</f>
        <v>2.214843848047698</v>
      </c>
    </row>
    <row r="52" spans="2:40" x14ac:dyDescent="0.2">
      <c r="D52">
        <f>SUM(D47:D51)</f>
        <v>40</v>
      </c>
      <c r="Q52">
        <f>SUM(Q47:Q51)</f>
        <v>38</v>
      </c>
      <c r="AC52" s="14">
        <v>2</v>
      </c>
      <c r="AD52" s="14">
        <f>AE37-AD37</f>
        <v>1.8633228601204559</v>
      </c>
      <c r="AE52" s="14">
        <f>AE37</f>
        <v>1.8633228601204559</v>
      </c>
      <c r="AF52" s="14">
        <f t="shared" ref="AF52:AH54" si="34">AF37-AE37</f>
        <v>0.75629214562235036</v>
      </c>
      <c r="AG52" s="14">
        <f t="shared" si="34"/>
        <v>0.7597811694513581</v>
      </c>
      <c r="AH52" s="14">
        <f t="shared" si="34"/>
        <v>1.0977250795254982</v>
      </c>
      <c r="AI52" s="14">
        <v>2</v>
      </c>
      <c r="AJ52" s="14">
        <f>AK37-AJ37</f>
        <v>0</v>
      </c>
      <c r="AK52" s="14">
        <f>AK37</f>
        <v>0</v>
      </c>
      <c r="AL52" s="14">
        <f t="shared" ref="AL52:AN54" si="35">AL37-AK37</f>
        <v>1.7634279935629373</v>
      </c>
      <c r="AM52" s="14">
        <f t="shared" si="35"/>
        <v>0.99962544673667741</v>
      </c>
      <c r="AN52" s="14">
        <f t="shared" si="35"/>
        <v>1.7140678144200479</v>
      </c>
    </row>
    <row r="53" spans="2:40" x14ac:dyDescent="0.2">
      <c r="AC53" s="14">
        <v>3</v>
      </c>
      <c r="AD53" s="14">
        <f>AE38-AD38</f>
        <v>1.9489700043360187</v>
      </c>
      <c r="AE53" s="14">
        <f>AE38</f>
        <v>1.9489700043360187</v>
      </c>
      <c r="AF53" s="14">
        <f t="shared" si="34"/>
        <v>0.68189005791818191</v>
      </c>
      <c r="AG53" s="14">
        <f t="shared" si="34"/>
        <v>0.39454731481617022</v>
      </c>
      <c r="AH53" s="14">
        <f t="shared" si="34"/>
        <v>0.61804529941581654</v>
      </c>
      <c r="AI53" s="14">
        <v>3</v>
      </c>
      <c r="AJ53" s="14">
        <f>AK38-AJ38</f>
        <v>0</v>
      </c>
      <c r="AK53" s="14">
        <f>AK38</f>
        <v>0</v>
      </c>
      <c r="AL53" s="14">
        <f t="shared" si="35"/>
        <v>1.3433181346311467</v>
      </c>
      <c r="AM53" s="14">
        <f t="shared" si="35"/>
        <v>1.1076899350360323</v>
      </c>
      <c r="AN53" s="14">
        <f t="shared" si="35"/>
        <v>2.0261131850524836</v>
      </c>
    </row>
    <row r="54" spans="2:40" x14ac:dyDescent="0.2">
      <c r="AC54" s="14">
        <v>4</v>
      </c>
      <c r="AD54" s="14">
        <f>AE39-AD39</f>
        <v>1.0149403497929366</v>
      </c>
      <c r="AE54" s="14">
        <f>AE39</f>
        <v>2.0149403497929366</v>
      </c>
      <c r="AF54" s="14">
        <f t="shared" si="34"/>
        <v>0.44670821827051865</v>
      </c>
      <c r="AG54" s="14">
        <f t="shared" si="34"/>
        <v>0.41687322743775113</v>
      </c>
      <c r="AH54" s="14">
        <f t="shared" si="34"/>
        <v>1.5985994592184563</v>
      </c>
      <c r="AI54" s="14">
        <v>4</v>
      </c>
      <c r="AJ54" s="14">
        <f>AK39-AJ39</f>
        <v>0</v>
      </c>
      <c r="AK54" s="14">
        <f>AK39</f>
        <v>0</v>
      </c>
      <c r="AL54" s="14">
        <f t="shared" si="35"/>
        <v>0</v>
      </c>
      <c r="AM54" s="14">
        <f t="shared" si="35"/>
        <v>1.7671558660821804</v>
      </c>
      <c r="AN54" s="14">
        <f t="shared" si="35"/>
        <v>1.8860566476931631</v>
      </c>
    </row>
    <row r="55" spans="2:40" x14ac:dyDescent="0.2">
      <c r="B55" t="s">
        <v>104</v>
      </c>
      <c r="O55" t="s">
        <v>106</v>
      </c>
    </row>
    <row r="56" spans="2:40" x14ac:dyDescent="0.2">
      <c r="B56" t="s">
        <v>97</v>
      </c>
      <c r="C56" t="s">
        <v>91</v>
      </c>
      <c r="D56" t="s">
        <v>92</v>
      </c>
      <c r="E56" t="s">
        <v>99</v>
      </c>
      <c r="F56" t="s">
        <v>100</v>
      </c>
      <c r="G56" t="s">
        <v>93</v>
      </c>
      <c r="H56" t="s">
        <v>132</v>
      </c>
      <c r="I56" t="s">
        <v>94</v>
      </c>
      <c r="J56" t="s">
        <v>95</v>
      </c>
      <c r="K56" t="s">
        <v>101</v>
      </c>
      <c r="L56" t="s">
        <v>102</v>
      </c>
      <c r="M56" t="s">
        <v>103</v>
      </c>
      <c r="O56" t="s">
        <v>97</v>
      </c>
      <c r="P56" t="s">
        <v>91</v>
      </c>
      <c r="Q56" t="s">
        <v>92</v>
      </c>
      <c r="R56" t="s">
        <v>99</v>
      </c>
      <c r="S56" t="s">
        <v>100</v>
      </c>
      <c r="T56" t="s">
        <v>93</v>
      </c>
      <c r="U56" s="2" t="s">
        <v>132</v>
      </c>
      <c r="V56" t="s">
        <v>94</v>
      </c>
      <c r="W56" t="s">
        <v>95</v>
      </c>
      <c r="X56" t="s">
        <v>101</v>
      </c>
      <c r="Y56" t="s">
        <v>102</v>
      </c>
      <c r="Z56" t="s">
        <v>103</v>
      </c>
    </row>
    <row r="57" spans="2:40" x14ac:dyDescent="0.2">
      <c r="B57">
        <v>1</v>
      </c>
      <c r="C57" s="6">
        <v>111.5</v>
      </c>
      <c r="D57" s="6">
        <v>1</v>
      </c>
      <c r="E57">
        <f>LOG(C57)</f>
        <v>2.0472748673841794</v>
      </c>
      <c r="F57">
        <f>LOG(D57)</f>
        <v>0</v>
      </c>
      <c r="G57">
        <f>E57-F57</f>
        <v>2.0472748673841794</v>
      </c>
      <c r="H57" t="s">
        <v>131</v>
      </c>
      <c r="I57" s="11">
        <v>2</v>
      </c>
      <c r="J57" s="6">
        <v>0</v>
      </c>
      <c r="K57">
        <f>LOG(I57)</f>
        <v>0.3010299956639812</v>
      </c>
      <c r="L57" s="2">
        <f>LOG(1)</f>
        <v>0</v>
      </c>
      <c r="M57">
        <f>K57-L57</f>
        <v>0.3010299956639812</v>
      </c>
      <c r="O57">
        <v>1</v>
      </c>
      <c r="P57">
        <v>317.5</v>
      </c>
      <c r="Q57">
        <v>91</v>
      </c>
      <c r="R57">
        <f>LOG(P57)</f>
        <v>2.5017437296279943</v>
      </c>
      <c r="S57">
        <f>LOG(Q57)</f>
        <v>1.9590413923210936</v>
      </c>
      <c r="T57">
        <f>R57-S57</f>
        <v>0.54270233730690065</v>
      </c>
      <c r="U57">
        <f>T57</f>
        <v>0.54270233730690065</v>
      </c>
      <c r="V57">
        <v>0</v>
      </c>
      <c r="W57">
        <v>1</v>
      </c>
      <c r="X57" s="2">
        <f>LOG(1)</f>
        <v>0</v>
      </c>
      <c r="Y57">
        <f>LOG(W57)</f>
        <v>0</v>
      </c>
      <c r="Z57">
        <f>X57-Y57</f>
        <v>0</v>
      </c>
      <c r="AC57" t="s">
        <v>2</v>
      </c>
    </row>
    <row r="58" spans="2:40" x14ac:dyDescent="0.2">
      <c r="C58" s="6">
        <v>1600</v>
      </c>
      <c r="D58" s="6">
        <v>1116</v>
      </c>
      <c r="E58">
        <f t="shared" ref="E58:E96" si="36">LOG(C58)</f>
        <v>3.2041199826559246</v>
      </c>
      <c r="F58">
        <f t="shared" ref="F58:F96" si="37">LOG(D58)</f>
        <v>3.0476641946015599</v>
      </c>
      <c r="G58">
        <f>E58-F58</f>
        <v>0.15645578805436466</v>
      </c>
      <c r="H58">
        <f>G58</f>
        <v>0.15645578805436466</v>
      </c>
      <c r="I58" s="11">
        <v>20</v>
      </c>
      <c r="J58" s="6">
        <v>2</v>
      </c>
      <c r="K58">
        <f>LOG(I58)</f>
        <v>1.3010299956639813</v>
      </c>
      <c r="L58" s="2">
        <f t="shared" ref="L58:L96" si="38">LOG(J58)</f>
        <v>0.3010299956639812</v>
      </c>
      <c r="M58">
        <f>K58-L58</f>
        <v>1</v>
      </c>
      <c r="X58" s="2">
        <f t="shared" ref="X58:X59" si="39">LOG(1)</f>
        <v>0</v>
      </c>
      <c r="AC58" s="14" t="s">
        <v>117</v>
      </c>
      <c r="AD58" s="14" t="s">
        <v>119</v>
      </c>
      <c r="AE58" s="14" t="s">
        <v>120</v>
      </c>
      <c r="AF58" s="14" t="s">
        <v>121</v>
      </c>
      <c r="AG58" s="14" t="s">
        <v>122</v>
      </c>
      <c r="AH58" s="14" t="s">
        <v>123</v>
      </c>
      <c r="AI58" s="14" t="s">
        <v>118</v>
      </c>
      <c r="AJ58" s="14" t="s">
        <v>119</v>
      </c>
      <c r="AK58" s="14" t="s">
        <v>120</v>
      </c>
      <c r="AL58" s="14" t="s">
        <v>121</v>
      </c>
      <c r="AM58" s="14" t="s">
        <v>122</v>
      </c>
      <c r="AN58" s="14" t="s">
        <v>123</v>
      </c>
    </row>
    <row r="59" spans="2:40" x14ac:dyDescent="0.2">
      <c r="B59">
        <v>2</v>
      </c>
      <c r="C59" s="6">
        <v>73</v>
      </c>
      <c r="D59" s="6">
        <v>30000</v>
      </c>
      <c r="E59">
        <f t="shared" si="36"/>
        <v>1.8633228601204559</v>
      </c>
      <c r="F59">
        <f t="shared" si="37"/>
        <v>4.4771212547196626</v>
      </c>
      <c r="G59">
        <f>E59-F59</f>
        <v>-2.6137983945992067</v>
      </c>
      <c r="H59" t="s">
        <v>131</v>
      </c>
      <c r="I59" s="11">
        <v>0</v>
      </c>
      <c r="J59" s="6">
        <v>69</v>
      </c>
      <c r="K59">
        <f>LOG(1)</f>
        <v>0</v>
      </c>
      <c r="L59" s="2">
        <f t="shared" si="38"/>
        <v>1.8388490907372552</v>
      </c>
      <c r="M59">
        <f>K59-L59</f>
        <v>-1.8388490907372552</v>
      </c>
      <c r="O59">
        <v>2</v>
      </c>
      <c r="P59">
        <v>330.5</v>
      </c>
      <c r="Q59">
        <v>1142.5</v>
      </c>
      <c r="R59">
        <f t="shared" ref="R59:R96" si="40">LOG(P59)</f>
        <v>2.5191714638216589</v>
      </c>
      <c r="S59">
        <f t="shared" ref="S59:S91" si="41">LOG(Q59)</f>
        <v>3.0578562087418879</v>
      </c>
      <c r="T59">
        <f>R59-S59</f>
        <v>-0.538684744920229</v>
      </c>
      <c r="U59">
        <f>T59</f>
        <v>-0.538684744920229</v>
      </c>
      <c r="V59">
        <v>0</v>
      </c>
      <c r="W59">
        <v>1</v>
      </c>
      <c r="X59" s="2">
        <f t="shared" si="39"/>
        <v>0</v>
      </c>
      <c r="Y59">
        <f>LOG(W59)</f>
        <v>0</v>
      </c>
      <c r="Z59">
        <f>X59-Y59</f>
        <v>0</v>
      </c>
      <c r="AC59" s="14">
        <v>1</v>
      </c>
      <c r="AD59" s="14">
        <f>AE44-AD44</f>
        <v>0</v>
      </c>
      <c r="AE59" s="14">
        <f>AE44</f>
        <v>0</v>
      </c>
      <c r="AF59" s="14">
        <f>AF44-AE44</f>
        <v>0.3010299956639812</v>
      </c>
      <c r="AG59" s="14">
        <f>AG44-AF44</f>
        <v>0.45732594320775627</v>
      </c>
      <c r="AH59" s="14">
        <f>AH44-AG44</f>
        <v>2.445764043784187</v>
      </c>
      <c r="AI59" s="14">
        <v>1</v>
      </c>
      <c r="AJ59" s="14">
        <f>AK44-AJ44</f>
        <v>0</v>
      </c>
      <c r="AK59" s="14">
        <f>AK44</f>
        <v>0</v>
      </c>
      <c r="AL59" s="14">
        <f t="shared" ref="AL59:AN62" si="42">AL44-AK44</f>
        <v>0</v>
      </c>
      <c r="AM59" s="14">
        <f t="shared" si="42"/>
        <v>0</v>
      </c>
      <c r="AN59" s="14">
        <f t="shared" si="42"/>
        <v>2.3979400086720375</v>
      </c>
    </row>
    <row r="60" spans="2:40" x14ac:dyDescent="0.2">
      <c r="C60" s="6">
        <v>52.5</v>
      </c>
      <c r="D60" s="6">
        <v>2100</v>
      </c>
      <c r="E60">
        <f t="shared" si="36"/>
        <v>1.7201593034059568</v>
      </c>
      <c r="F60">
        <f t="shared" si="37"/>
        <v>3.3222192947339191</v>
      </c>
      <c r="G60">
        <f>E60-F60</f>
        <v>-1.6020599913279623</v>
      </c>
      <c r="H60">
        <f>G60</f>
        <v>-1.6020599913279623</v>
      </c>
      <c r="I60" s="11">
        <v>0</v>
      </c>
      <c r="J60" s="6">
        <v>0</v>
      </c>
      <c r="K60">
        <f>LOG(1)</f>
        <v>0</v>
      </c>
      <c r="L60" s="2">
        <f>LOG(1)</f>
        <v>0</v>
      </c>
      <c r="M60">
        <f>K60-L60</f>
        <v>0</v>
      </c>
      <c r="P60">
        <v>171.5</v>
      </c>
      <c r="Q60">
        <v>4500</v>
      </c>
      <c r="R60">
        <f t="shared" si="40"/>
        <v>2.2342641243787895</v>
      </c>
      <c r="S60">
        <f t="shared" si="41"/>
        <v>3.6532125137753435</v>
      </c>
      <c r="T60">
        <f>R60-S60</f>
        <v>-1.418948389396554</v>
      </c>
      <c r="U60">
        <f>T60</f>
        <v>-1.418948389396554</v>
      </c>
      <c r="V60">
        <v>1</v>
      </c>
      <c r="W60">
        <v>0</v>
      </c>
      <c r="X60" s="2">
        <f t="shared" ref="X60:X96" si="43">LOG(V60)</f>
        <v>0</v>
      </c>
      <c r="Y60" s="2">
        <v>0</v>
      </c>
      <c r="Z60">
        <f>X60-Y60</f>
        <v>0</v>
      </c>
      <c r="AC60" s="14">
        <v>2</v>
      </c>
      <c r="AD60" s="14">
        <f>AE45-AD45</f>
        <v>0</v>
      </c>
      <c r="AE60" s="14">
        <f>AE45</f>
        <v>0</v>
      </c>
      <c r="AF60" s="14">
        <f t="shared" ref="AF60:AH62" si="44">AF45-AE45</f>
        <v>0</v>
      </c>
      <c r="AG60" s="14">
        <f t="shared" si="44"/>
        <v>0.6020599913279624</v>
      </c>
      <c r="AH60" s="14">
        <f t="shared" si="44"/>
        <v>1.8535461212539044</v>
      </c>
      <c r="AI60" s="14">
        <v>2</v>
      </c>
      <c r="AJ60" s="14">
        <f>AK45-AJ45</f>
        <v>0</v>
      </c>
      <c r="AK60" s="14">
        <f>AK45</f>
        <v>0</v>
      </c>
      <c r="AL60" s="14">
        <f t="shared" si="42"/>
        <v>0</v>
      </c>
      <c r="AM60" s="14">
        <f t="shared" si="42"/>
        <v>0</v>
      </c>
      <c r="AN60" s="14">
        <f t="shared" si="42"/>
        <v>1.8388490907372552</v>
      </c>
    </row>
    <row r="61" spans="2:40" x14ac:dyDescent="0.2">
      <c r="B61">
        <v>3</v>
      </c>
      <c r="C61" s="6">
        <v>30000</v>
      </c>
      <c r="D61" s="6">
        <v>0</v>
      </c>
      <c r="E61">
        <f t="shared" si="36"/>
        <v>4.4771212547196626</v>
      </c>
      <c r="F61">
        <f>LOG(1)</f>
        <v>0</v>
      </c>
      <c r="G61">
        <f>E61-F61</f>
        <v>4.4771212547196626</v>
      </c>
      <c r="H61" t="s">
        <v>131</v>
      </c>
      <c r="I61" s="6">
        <v>93</v>
      </c>
      <c r="J61" s="6">
        <v>0</v>
      </c>
      <c r="K61">
        <f t="shared" ref="K61:K95" si="45">LOG(I61)</f>
        <v>1.968482948553935</v>
      </c>
      <c r="L61" s="2">
        <f t="shared" ref="L61:L95" si="46">LOG(1)</f>
        <v>0</v>
      </c>
      <c r="M61">
        <f>K61-L61</f>
        <v>1.968482948553935</v>
      </c>
      <c r="O61">
        <v>3</v>
      </c>
      <c r="P61">
        <v>25900</v>
      </c>
      <c r="Q61">
        <v>0</v>
      </c>
      <c r="R61">
        <f t="shared" si="40"/>
        <v>4.4132997640812519</v>
      </c>
      <c r="T61">
        <f>R61-S61</f>
        <v>4.4132997640812519</v>
      </c>
      <c r="U61" t="s">
        <v>131</v>
      </c>
      <c r="V61">
        <v>20</v>
      </c>
      <c r="W61">
        <v>0</v>
      </c>
      <c r="X61" s="2">
        <f t="shared" si="43"/>
        <v>1.3010299956639813</v>
      </c>
      <c r="Y61" s="2">
        <v>0</v>
      </c>
      <c r="Z61">
        <f>X61-Y61</f>
        <v>1.3010299956639813</v>
      </c>
      <c r="AC61" s="14">
        <v>3</v>
      </c>
      <c r="AD61" s="14">
        <f>AE46-AD46</f>
        <v>0</v>
      </c>
      <c r="AE61" s="14">
        <f>AE46</f>
        <v>0</v>
      </c>
      <c r="AF61" s="14">
        <f t="shared" si="44"/>
        <v>0</v>
      </c>
      <c r="AG61" s="14">
        <f t="shared" si="44"/>
        <v>0.11928031367991561</v>
      </c>
      <c r="AH61" s="14">
        <f t="shared" si="44"/>
        <v>2.1817496819840656</v>
      </c>
      <c r="AI61" s="14">
        <v>3</v>
      </c>
      <c r="AJ61" s="14">
        <f>AK46-AJ46</f>
        <v>0</v>
      </c>
      <c r="AK61" s="14">
        <f>AK46</f>
        <v>0</v>
      </c>
      <c r="AL61" s="14">
        <f t="shared" si="42"/>
        <v>0</v>
      </c>
      <c r="AM61" s="14">
        <f t="shared" si="42"/>
        <v>0</v>
      </c>
      <c r="AN61" s="14">
        <f t="shared" si="42"/>
        <v>2.6532125137753435</v>
      </c>
    </row>
    <row r="62" spans="2:40" x14ac:dyDescent="0.2">
      <c r="B62" s="12"/>
      <c r="L62" s="2">
        <f t="shared" si="46"/>
        <v>0</v>
      </c>
      <c r="O62" s="12"/>
      <c r="X62" s="2"/>
      <c r="AC62" s="14">
        <v>4</v>
      </c>
      <c r="AD62" s="14">
        <f>AE47-AD47</f>
        <v>0</v>
      </c>
      <c r="AE62" s="14">
        <f>AE47</f>
        <v>0</v>
      </c>
      <c r="AF62" s="14">
        <f t="shared" si="44"/>
        <v>0</v>
      </c>
      <c r="AG62" s="14">
        <f t="shared" si="44"/>
        <v>0.1505149978319906</v>
      </c>
      <c r="AH62" s="14">
        <f t="shared" si="44"/>
        <v>1.1505149978319906</v>
      </c>
      <c r="AI62" s="14">
        <v>4</v>
      </c>
      <c r="AJ62" s="14">
        <f>AK47-AJ47</f>
        <v>0</v>
      </c>
      <c r="AK62" s="14">
        <f>AK47</f>
        <v>0</v>
      </c>
      <c r="AL62" s="14">
        <f t="shared" si="42"/>
        <v>0</v>
      </c>
      <c r="AM62" s="14">
        <f t="shared" si="42"/>
        <v>0</v>
      </c>
      <c r="AN62" s="14">
        <f t="shared" si="42"/>
        <v>1.711807229041191</v>
      </c>
    </row>
    <row r="63" spans="2:40" x14ac:dyDescent="0.2">
      <c r="B63">
        <v>4</v>
      </c>
      <c r="C63" s="6">
        <v>414.5</v>
      </c>
      <c r="D63" s="6">
        <v>30</v>
      </c>
      <c r="E63">
        <f t="shared" si="36"/>
        <v>2.6175245348862926</v>
      </c>
      <c r="F63">
        <f t="shared" si="37"/>
        <v>1.4771212547196624</v>
      </c>
      <c r="G63">
        <f t="shared" ref="G63:G79" si="47">E63-F63</f>
        <v>1.1404032801666302</v>
      </c>
      <c r="H63">
        <f>G63</f>
        <v>1.1404032801666302</v>
      </c>
      <c r="I63" s="6">
        <v>0</v>
      </c>
      <c r="J63" s="6">
        <v>0</v>
      </c>
      <c r="K63">
        <f>LOG(1)</f>
        <v>0</v>
      </c>
      <c r="L63" s="2">
        <f t="shared" si="46"/>
        <v>0</v>
      </c>
      <c r="M63">
        <f t="shared" ref="M63:M96" si="48">K63-L63</f>
        <v>0</v>
      </c>
      <c r="O63">
        <v>4</v>
      </c>
      <c r="P63">
        <v>3700</v>
      </c>
      <c r="Q63">
        <v>799.5</v>
      </c>
      <c r="R63">
        <f t="shared" si="40"/>
        <v>3.568201724066995</v>
      </c>
      <c r="S63">
        <f t="shared" si="41"/>
        <v>2.9028184680822533</v>
      </c>
      <c r="T63">
        <f t="shared" ref="T63:T69" si="49">R63-S63</f>
        <v>0.66538325598474168</v>
      </c>
      <c r="U63">
        <f>T63</f>
        <v>0.66538325598474168</v>
      </c>
      <c r="V63">
        <v>4</v>
      </c>
      <c r="W63">
        <v>0</v>
      </c>
      <c r="X63" s="2">
        <f t="shared" si="43"/>
        <v>0.6020599913279624</v>
      </c>
      <c r="Y63" s="2">
        <v>0</v>
      </c>
      <c r="Z63">
        <f t="shared" ref="Z63:Z69" si="50">X63-Y63</f>
        <v>0.6020599913279624</v>
      </c>
    </row>
    <row r="64" spans="2:40" x14ac:dyDescent="0.2">
      <c r="C64" s="6">
        <v>8100</v>
      </c>
      <c r="D64" s="6">
        <v>131</v>
      </c>
      <c r="E64">
        <f t="shared" si="36"/>
        <v>3.90848501887865</v>
      </c>
      <c r="F64">
        <f t="shared" si="37"/>
        <v>2.1172712956557644</v>
      </c>
      <c r="G64">
        <f t="shared" si="47"/>
        <v>1.7912137232228855</v>
      </c>
      <c r="H64">
        <f>G64</f>
        <v>1.7912137232228855</v>
      </c>
      <c r="I64" s="6">
        <v>3</v>
      </c>
      <c r="J64" s="6">
        <v>0</v>
      </c>
      <c r="K64">
        <f t="shared" si="45"/>
        <v>0.47712125471966244</v>
      </c>
      <c r="L64" s="2">
        <f t="shared" si="46"/>
        <v>0</v>
      </c>
      <c r="M64">
        <f t="shared" si="48"/>
        <v>0.47712125471966244</v>
      </c>
      <c r="P64">
        <v>154</v>
      </c>
      <c r="Q64">
        <v>0</v>
      </c>
      <c r="R64">
        <f t="shared" si="40"/>
        <v>2.1875207208364631</v>
      </c>
      <c r="S64">
        <f>LOG(1)</f>
        <v>0</v>
      </c>
      <c r="T64">
        <f t="shared" si="49"/>
        <v>2.1875207208364631</v>
      </c>
      <c r="U64" t="s">
        <v>131</v>
      </c>
      <c r="V64">
        <v>1</v>
      </c>
      <c r="W64">
        <v>0</v>
      </c>
      <c r="X64" s="2">
        <f t="shared" si="43"/>
        <v>0</v>
      </c>
      <c r="Y64" s="2">
        <v>0</v>
      </c>
      <c r="Z64">
        <f t="shared" si="50"/>
        <v>0</v>
      </c>
    </row>
    <row r="65" spans="2:33" x14ac:dyDescent="0.2">
      <c r="B65">
        <v>5</v>
      </c>
      <c r="C65" s="6">
        <v>10800</v>
      </c>
      <c r="D65" s="6">
        <v>4100</v>
      </c>
      <c r="E65">
        <f t="shared" si="36"/>
        <v>4.0334237554869494</v>
      </c>
      <c r="F65">
        <f t="shared" si="37"/>
        <v>3.6127838567197355</v>
      </c>
      <c r="G65">
        <f t="shared" si="47"/>
        <v>0.42063989876721397</v>
      </c>
      <c r="H65">
        <f>G65</f>
        <v>0.42063989876721397</v>
      </c>
      <c r="I65" s="6">
        <v>100</v>
      </c>
      <c r="J65" s="6">
        <v>0</v>
      </c>
      <c r="K65">
        <f t="shared" si="45"/>
        <v>2</v>
      </c>
      <c r="L65" s="2">
        <f t="shared" si="46"/>
        <v>0</v>
      </c>
      <c r="M65">
        <f t="shared" si="48"/>
        <v>2</v>
      </c>
      <c r="O65">
        <v>5</v>
      </c>
      <c r="P65" s="25">
        <v>289.5</v>
      </c>
      <c r="Q65" s="25">
        <v>1000</v>
      </c>
      <c r="R65">
        <f t="shared" si="40"/>
        <v>2.4616485680634552</v>
      </c>
      <c r="S65">
        <f t="shared" si="41"/>
        <v>3</v>
      </c>
      <c r="T65">
        <f t="shared" si="49"/>
        <v>-0.53835143193654478</v>
      </c>
      <c r="U65">
        <f>T65</f>
        <v>-0.53835143193654478</v>
      </c>
      <c r="V65">
        <v>4</v>
      </c>
      <c r="W65">
        <v>51.5</v>
      </c>
      <c r="X65" s="2">
        <f t="shared" si="43"/>
        <v>0.6020599913279624</v>
      </c>
      <c r="Y65" s="2">
        <f>LOG(W65)</f>
        <v>1.711807229041191</v>
      </c>
      <c r="Z65">
        <f t="shared" si="50"/>
        <v>-1.1097472377132287</v>
      </c>
    </row>
    <row r="66" spans="2:33" x14ac:dyDescent="0.2">
      <c r="C66" s="6">
        <v>1059</v>
      </c>
      <c r="D66" s="6">
        <v>478</v>
      </c>
      <c r="E66">
        <f t="shared" si="36"/>
        <v>3.024895960107485</v>
      </c>
      <c r="F66">
        <f t="shared" si="37"/>
        <v>2.6794278966121188</v>
      </c>
      <c r="G66">
        <f t="shared" si="47"/>
        <v>0.34546806349536618</v>
      </c>
      <c r="H66">
        <f>G66</f>
        <v>0.34546806349536618</v>
      </c>
      <c r="I66" s="6">
        <v>4</v>
      </c>
      <c r="J66" s="6">
        <v>1</v>
      </c>
      <c r="K66">
        <f t="shared" si="45"/>
        <v>0.6020599913279624</v>
      </c>
      <c r="L66" s="2">
        <f t="shared" si="38"/>
        <v>0</v>
      </c>
      <c r="M66">
        <f t="shared" si="48"/>
        <v>0.6020599913279624</v>
      </c>
      <c r="P66">
        <v>203</v>
      </c>
      <c r="Q66">
        <v>58.5</v>
      </c>
      <c r="R66">
        <f t="shared" si="40"/>
        <v>2.307496037913213</v>
      </c>
      <c r="S66">
        <f t="shared" si="41"/>
        <v>1.7671558660821804</v>
      </c>
      <c r="T66">
        <f t="shared" si="49"/>
        <v>0.54034017183103256</v>
      </c>
      <c r="U66">
        <f>T66</f>
        <v>0.54034017183103256</v>
      </c>
      <c r="V66">
        <v>1</v>
      </c>
      <c r="W66">
        <v>50.5</v>
      </c>
      <c r="X66" s="2">
        <f t="shared" si="43"/>
        <v>0</v>
      </c>
      <c r="Y66" s="2">
        <f>LOG(W66)</f>
        <v>1.7032913781186614</v>
      </c>
      <c r="Z66">
        <f t="shared" si="50"/>
        <v>-1.7032913781186614</v>
      </c>
      <c r="AC66" t="s">
        <v>127</v>
      </c>
    </row>
    <row r="67" spans="2:33" x14ac:dyDescent="0.2">
      <c r="B67">
        <v>6</v>
      </c>
      <c r="C67" s="6">
        <v>435</v>
      </c>
      <c r="D67" s="6">
        <v>0</v>
      </c>
      <c r="E67">
        <f t="shared" si="36"/>
        <v>2.6384892569546374</v>
      </c>
      <c r="F67">
        <f>LOG(1)</f>
        <v>0</v>
      </c>
      <c r="G67">
        <f t="shared" si="47"/>
        <v>2.6384892569546374</v>
      </c>
      <c r="H67" t="s">
        <v>131</v>
      </c>
      <c r="I67" s="11">
        <v>5</v>
      </c>
      <c r="J67" s="6">
        <v>0</v>
      </c>
      <c r="K67">
        <f t="shared" si="45"/>
        <v>0.69897000433601886</v>
      </c>
      <c r="L67" s="2">
        <f t="shared" si="46"/>
        <v>0</v>
      </c>
      <c r="M67">
        <f t="shared" si="48"/>
        <v>0.69897000433601886</v>
      </c>
      <c r="O67">
        <v>6</v>
      </c>
      <c r="P67">
        <v>209.5</v>
      </c>
      <c r="Q67">
        <v>0</v>
      </c>
      <c r="R67">
        <f t="shared" si="40"/>
        <v>2.3211840273023143</v>
      </c>
      <c r="S67">
        <f>LOG(1)</f>
        <v>0</v>
      </c>
      <c r="T67">
        <f t="shared" si="49"/>
        <v>2.3211840273023143</v>
      </c>
      <c r="U67" t="s">
        <v>131</v>
      </c>
      <c r="V67">
        <v>0</v>
      </c>
      <c r="W67">
        <v>0</v>
      </c>
      <c r="X67" s="2">
        <f t="shared" ref="X67:X71" si="51">LOG(1)</f>
        <v>0</v>
      </c>
      <c r="Y67" s="2">
        <v>0</v>
      </c>
      <c r="Z67">
        <f t="shared" si="50"/>
        <v>0</v>
      </c>
    </row>
    <row r="68" spans="2:33" x14ac:dyDescent="0.2">
      <c r="C68" s="6">
        <v>366.5</v>
      </c>
      <c r="D68" s="6">
        <v>0</v>
      </c>
      <c r="E68">
        <f t="shared" si="36"/>
        <v>2.564073978977147</v>
      </c>
      <c r="F68">
        <f>LOG(1)</f>
        <v>0</v>
      </c>
      <c r="G68">
        <f t="shared" si="47"/>
        <v>2.564073978977147</v>
      </c>
      <c r="H68" t="s">
        <v>131</v>
      </c>
      <c r="I68" s="6">
        <v>0</v>
      </c>
      <c r="J68" s="6">
        <v>0</v>
      </c>
      <c r="K68">
        <f>LOG(1)</f>
        <v>0</v>
      </c>
      <c r="L68" s="2">
        <f t="shared" si="46"/>
        <v>0</v>
      </c>
      <c r="M68">
        <f t="shared" si="48"/>
        <v>0</v>
      </c>
      <c r="P68">
        <v>44</v>
      </c>
      <c r="Q68">
        <v>0</v>
      </c>
      <c r="R68">
        <f t="shared" si="40"/>
        <v>1.6434526764861874</v>
      </c>
      <c r="S68">
        <f>LOG(1)</f>
        <v>0</v>
      </c>
      <c r="T68">
        <f t="shared" si="49"/>
        <v>1.6434526764861874</v>
      </c>
      <c r="U68" t="s">
        <v>131</v>
      </c>
      <c r="V68">
        <v>0</v>
      </c>
      <c r="W68">
        <v>0</v>
      </c>
      <c r="X68" s="2">
        <f t="shared" si="51"/>
        <v>0</v>
      </c>
      <c r="Y68" s="2">
        <v>0</v>
      </c>
      <c r="Z68">
        <f t="shared" si="50"/>
        <v>0</v>
      </c>
      <c r="AC68" t="s">
        <v>124</v>
      </c>
      <c r="AD68" t="s">
        <v>128</v>
      </c>
      <c r="AE68" t="s">
        <v>129</v>
      </c>
      <c r="AF68" t="s">
        <v>130</v>
      </c>
      <c r="AG68" t="s">
        <v>129</v>
      </c>
    </row>
    <row r="69" spans="2:33" x14ac:dyDescent="0.2">
      <c r="B69">
        <v>7</v>
      </c>
      <c r="C69" s="6">
        <v>281</v>
      </c>
      <c r="D69" s="6">
        <v>186.5</v>
      </c>
      <c r="E69">
        <f t="shared" si="36"/>
        <v>2.4487063199050798</v>
      </c>
      <c r="F69">
        <f t="shared" si="37"/>
        <v>2.2706788361447066</v>
      </c>
      <c r="G69">
        <f t="shared" si="47"/>
        <v>0.17802748376037325</v>
      </c>
      <c r="H69">
        <f>G69</f>
        <v>0.17802748376037325</v>
      </c>
      <c r="I69" s="6">
        <v>3</v>
      </c>
      <c r="J69" s="6">
        <v>0</v>
      </c>
      <c r="K69">
        <f t="shared" si="45"/>
        <v>0.47712125471966244</v>
      </c>
      <c r="L69" s="2">
        <f t="shared" si="46"/>
        <v>0</v>
      </c>
      <c r="M69">
        <f t="shared" si="48"/>
        <v>0.47712125471966244</v>
      </c>
      <c r="O69">
        <v>7</v>
      </c>
      <c r="P69">
        <v>685.5</v>
      </c>
      <c r="Q69">
        <v>17</v>
      </c>
      <c r="R69">
        <f t="shared" si="40"/>
        <v>2.8360074591255313</v>
      </c>
      <c r="S69">
        <f t="shared" si="41"/>
        <v>1.2304489213782739</v>
      </c>
      <c r="T69">
        <f t="shared" si="49"/>
        <v>1.6055585377472574</v>
      </c>
      <c r="U69">
        <f>T69</f>
        <v>1.6055585377472574</v>
      </c>
      <c r="V69">
        <v>0</v>
      </c>
      <c r="W69">
        <v>0</v>
      </c>
      <c r="X69" s="2">
        <f t="shared" si="51"/>
        <v>0</v>
      </c>
      <c r="Y69" s="2">
        <v>0</v>
      </c>
      <c r="Z69">
        <f t="shared" si="50"/>
        <v>0</v>
      </c>
      <c r="AC69" s="14">
        <v>1</v>
      </c>
      <c r="AD69">
        <v>1.68</v>
      </c>
      <c r="AE69">
        <v>0.2</v>
      </c>
      <c r="AF69">
        <v>0.34</v>
      </c>
      <c r="AG69">
        <v>0.11</v>
      </c>
    </row>
    <row r="70" spans="2:33" x14ac:dyDescent="0.2">
      <c r="C70" s="6">
        <v>930.5</v>
      </c>
      <c r="D70" s="6">
        <v>239</v>
      </c>
      <c r="E70">
        <f t="shared" si="36"/>
        <v>2.968716377466786</v>
      </c>
      <c r="F70">
        <f t="shared" si="37"/>
        <v>2.3783979009481375</v>
      </c>
      <c r="G70">
        <f t="shared" si="47"/>
        <v>0.59031847651864844</v>
      </c>
      <c r="H70">
        <f>G70</f>
        <v>0.59031847651864844</v>
      </c>
      <c r="I70" s="6">
        <v>0</v>
      </c>
      <c r="J70" s="6">
        <v>0</v>
      </c>
      <c r="K70">
        <f>LOG(1)</f>
        <v>0</v>
      </c>
      <c r="L70" s="2">
        <f t="shared" si="46"/>
        <v>0</v>
      </c>
      <c r="M70">
        <f t="shared" si="48"/>
        <v>0</v>
      </c>
      <c r="X70" s="2"/>
      <c r="Y70" s="2"/>
      <c r="AC70" s="14">
        <v>2</v>
      </c>
      <c r="AD70">
        <v>0.94</v>
      </c>
      <c r="AE70">
        <v>0.23</v>
      </c>
      <c r="AF70">
        <v>0.28999999999999998</v>
      </c>
      <c r="AG70">
        <v>0.11</v>
      </c>
    </row>
    <row r="71" spans="2:33" x14ac:dyDescent="0.2">
      <c r="B71">
        <v>8</v>
      </c>
      <c r="C71" s="6">
        <v>1477</v>
      </c>
      <c r="D71" s="6">
        <v>2700</v>
      </c>
      <c r="E71">
        <f t="shared" si="36"/>
        <v>3.1693804953119495</v>
      </c>
      <c r="F71">
        <f t="shared" si="37"/>
        <v>3.4313637641589874</v>
      </c>
      <c r="G71">
        <f t="shared" si="47"/>
        <v>-0.26198326884703782</v>
      </c>
      <c r="H71">
        <f>G71</f>
        <v>-0.26198326884703782</v>
      </c>
      <c r="I71" s="11">
        <v>0</v>
      </c>
      <c r="J71" s="6">
        <v>3</v>
      </c>
      <c r="K71">
        <f>LOG(1)</f>
        <v>0</v>
      </c>
      <c r="L71" s="2">
        <f t="shared" si="38"/>
        <v>0.47712125471966244</v>
      </c>
      <c r="M71">
        <f t="shared" si="48"/>
        <v>-0.47712125471966244</v>
      </c>
      <c r="O71">
        <v>8</v>
      </c>
      <c r="P71">
        <v>551.5</v>
      </c>
      <c r="Q71">
        <v>0</v>
      </c>
      <c r="R71">
        <f t="shared" si="40"/>
        <v>2.7415455167762093</v>
      </c>
      <c r="S71">
        <f>LOG(1)</f>
        <v>0</v>
      </c>
      <c r="T71">
        <f>R71-S71</f>
        <v>2.7415455167762093</v>
      </c>
      <c r="U71" t="s">
        <v>131</v>
      </c>
      <c r="V71">
        <v>0</v>
      </c>
      <c r="W71">
        <v>0</v>
      </c>
      <c r="X71" s="2">
        <f t="shared" si="51"/>
        <v>0</v>
      </c>
      <c r="Y71" s="2">
        <v>0</v>
      </c>
      <c r="Z71">
        <f>X71-Y71</f>
        <v>0</v>
      </c>
      <c r="AC71" s="14">
        <v>3</v>
      </c>
      <c r="AD71" s="16">
        <v>0.95</v>
      </c>
      <c r="AE71" s="16">
        <v>0.24</v>
      </c>
      <c r="AF71" s="16">
        <v>0.11</v>
      </c>
      <c r="AG71" s="16">
        <v>0.05</v>
      </c>
    </row>
    <row r="72" spans="2:33" x14ac:dyDescent="0.2">
      <c r="C72" s="6">
        <v>4300</v>
      </c>
      <c r="D72" s="6">
        <v>579.5</v>
      </c>
      <c r="E72">
        <f t="shared" si="36"/>
        <v>3.6334684555795866</v>
      </c>
      <c r="F72">
        <f t="shared" si="37"/>
        <v>2.7630534402996147</v>
      </c>
      <c r="G72">
        <f t="shared" si="47"/>
        <v>0.87041501527997189</v>
      </c>
      <c r="H72">
        <f>G72</f>
        <v>0.87041501527997189</v>
      </c>
      <c r="I72" s="11">
        <v>0</v>
      </c>
      <c r="J72" s="6">
        <v>0</v>
      </c>
      <c r="K72">
        <f>LOG(1)</f>
        <v>0</v>
      </c>
      <c r="L72" s="2">
        <f t="shared" si="46"/>
        <v>0</v>
      </c>
      <c r="M72">
        <f t="shared" si="48"/>
        <v>0</v>
      </c>
      <c r="X72" s="2"/>
      <c r="Y72" s="2"/>
      <c r="AC72" s="14">
        <v>4</v>
      </c>
      <c r="AD72" s="16">
        <v>1.34</v>
      </c>
      <c r="AE72" s="16">
        <v>0.21</v>
      </c>
      <c r="AF72" s="16">
        <v>0.12</v>
      </c>
      <c r="AG72" s="16">
        <v>0.05</v>
      </c>
    </row>
    <row r="73" spans="2:33" x14ac:dyDescent="0.2">
      <c r="B73">
        <v>9</v>
      </c>
      <c r="C73" s="6">
        <v>151</v>
      </c>
      <c r="D73" s="6">
        <v>0</v>
      </c>
      <c r="E73">
        <f t="shared" si="36"/>
        <v>2.1789769472931693</v>
      </c>
      <c r="F73">
        <f>LOG(1)</f>
        <v>0</v>
      </c>
      <c r="G73">
        <f t="shared" si="47"/>
        <v>2.1789769472931693</v>
      </c>
      <c r="H73" t="s">
        <v>131</v>
      </c>
      <c r="I73" s="6">
        <v>1</v>
      </c>
      <c r="J73" s="6">
        <v>0</v>
      </c>
      <c r="K73">
        <f t="shared" si="45"/>
        <v>0</v>
      </c>
      <c r="L73" s="2">
        <f t="shared" si="46"/>
        <v>0</v>
      </c>
      <c r="M73">
        <f t="shared" si="48"/>
        <v>0</v>
      </c>
      <c r="O73">
        <v>9</v>
      </c>
      <c r="P73">
        <v>109.5</v>
      </c>
      <c r="Q73">
        <v>100</v>
      </c>
      <c r="R73">
        <f t="shared" si="40"/>
        <v>2.0394141191761372</v>
      </c>
      <c r="S73">
        <f t="shared" si="41"/>
        <v>2</v>
      </c>
      <c r="T73">
        <f t="shared" ref="T73:T83" si="52">R73-S73</f>
        <v>3.9414119176137241E-2</v>
      </c>
      <c r="U73" t="s">
        <v>131</v>
      </c>
      <c r="V73">
        <v>1</v>
      </c>
      <c r="W73">
        <v>0</v>
      </c>
      <c r="X73" s="2">
        <f t="shared" si="43"/>
        <v>0</v>
      </c>
      <c r="Y73" s="2">
        <v>0</v>
      </c>
      <c r="Z73">
        <f t="shared" ref="Z73:Z83" si="53">X73-Y73</f>
        <v>0</v>
      </c>
    </row>
    <row r="74" spans="2:33" x14ac:dyDescent="0.2">
      <c r="C74" s="6">
        <v>2395.5</v>
      </c>
      <c r="D74" s="6">
        <v>0</v>
      </c>
      <c r="E74">
        <f t="shared" si="36"/>
        <v>3.3793961751941644</v>
      </c>
      <c r="F74">
        <f>LOG(1)</f>
        <v>0</v>
      </c>
      <c r="G74">
        <f t="shared" si="47"/>
        <v>3.3793961751941644</v>
      </c>
      <c r="H74" t="s">
        <v>131</v>
      </c>
      <c r="I74" s="11">
        <v>0</v>
      </c>
      <c r="J74" s="6">
        <v>0</v>
      </c>
      <c r="K74">
        <f>LOG(1)</f>
        <v>0</v>
      </c>
      <c r="L74" s="2">
        <f t="shared" si="46"/>
        <v>0</v>
      </c>
      <c r="M74">
        <f t="shared" si="48"/>
        <v>0</v>
      </c>
      <c r="P74">
        <v>217</v>
      </c>
      <c r="Q74">
        <v>0</v>
      </c>
      <c r="R74">
        <f t="shared" si="40"/>
        <v>2.3364597338485296</v>
      </c>
      <c r="S74">
        <f>LOG(1)</f>
        <v>0</v>
      </c>
      <c r="T74">
        <f t="shared" si="52"/>
        <v>2.3364597338485296</v>
      </c>
      <c r="U74" t="s">
        <v>131</v>
      </c>
      <c r="V74">
        <v>4</v>
      </c>
      <c r="W74">
        <v>0</v>
      </c>
      <c r="X74" s="2">
        <f t="shared" si="43"/>
        <v>0.6020599913279624</v>
      </c>
      <c r="Y74" s="2">
        <v>0</v>
      </c>
      <c r="Z74">
        <f t="shared" si="53"/>
        <v>0.6020599913279624</v>
      </c>
    </row>
    <row r="75" spans="2:33" x14ac:dyDescent="0.2">
      <c r="B75">
        <v>10</v>
      </c>
      <c r="C75" s="6">
        <v>0</v>
      </c>
      <c r="D75" s="6">
        <v>49</v>
      </c>
      <c r="E75">
        <f>LOG(1)</f>
        <v>0</v>
      </c>
      <c r="F75">
        <f t="shared" si="37"/>
        <v>1.6901960800285136</v>
      </c>
      <c r="G75">
        <f t="shared" si="47"/>
        <v>-1.6901960800285136</v>
      </c>
      <c r="H75">
        <f>G75</f>
        <v>-1.6901960800285136</v>
      </c>
      <c r="I75" s="11">
        <v>0</v>
      </c>
      <c r="J75" s="6">
        <v>0</v>
      </c>
      <c r="K75">
        <f t="shared" ref="K75:K76" si="54">LOG(1)</f>
        <v>0</v>
      </c>
      <c r="L75" s="2">
        <f t="shared" si="46"/>
        <v>0</v>
      </c>
      <c r="M75">
        <f t="shared" si="48"/>
        <v>0</v>
      </c>
      <c r="O75">
        <v>10</v>
      </c>
      <c r="P75">
        <v>2853</v>
      </c>
      <c r="Q75">
        <v>10</v>
      </c>
      <c r="R75">
        <f t="shared" si="40"/>
        <v>3.4553017716570764</v>
      </c>
      <c r="S75">
        <f t="shared" si="41"/>
        <v>1</v>
      </c>
      <c r="T75">
        <f t="shared" si="52"/>
        <v>2.4553017716570764</v>
      </c>
      <c r="U75">
        <f>T75</f>
        <v>2.4553017716570764</v>
      </c>
      <c r="V75">
        <v>0</v>
      </c>
      <c r="W75">
        <v>0</v>
      </c>
      <c r="X75" s="2">
        <f>LOG(1)</f>
        <v>0</v>
      </c>
      <c r="Y75" s="2">
        <v>0</v>
      </c>
      <c r="Z75">
        <f t="shared" si="53"/>
        <v>0</v>
      </c>
    </row>
    <row r="76" spans="2:33" x14ac:dyDescent="0.2">
      <c r="C76" s="6">
        <v>49</v>
      </c>
      <c r="D76" s="6">
        <v>1132.5</v>
      </c>
      <c r="E76">
        <f t="shared" si="36"/>
        <v>1.6901960800285136</v>
      </c>
      <c r="F76">
        <f t="shared" si="37"/>
        <v>3.0540382106848694</v>
      </c>
      <c r="G76">
        <f t="shared" si="47"/>
        <v>-1.3638421306563557</v>
      </c>
      <c r="H76">
        <f>G76</f>
        <v>-1.3638421306563557</v>
      </c>
      <c r="I76" s="6">
        <v>0</v>
      </c>
      <c r="J76" s="6">
        <v>0</v>
      </c>
      <c r="K76">
        <f t="shared" si="54"/>
        <v>0</v>
      </c>
      <c r="L76" s="2">
        <f t="shared" si="46"/>
        <v>0</v>
      </c>
      <c r="M76">
        <f t="shared" si="48"/>
        <v>0</v>
      </c>
      <c r="P76">
        <v>2100</v>
      </c>
      <c r="Q76">
        <v>15</v>
      </c>
      <c r="R76">
        <f t="shared" si="40"/>
        <v>3.3222192947339191</v>
      </c>
      <c r="S76">
        <f t="shared" si="41"/>
        <v>1.1760912590556813</v>
      </c>
      <c r="T76">
        <f t="shared" si="52"/>
        <v>2.1461280356782377</v>
      </c>
      <c r="U76">
        <f>T76</f>
        <v>2.1461280356782377</v>
      </c>
      <c r="V76">
        <v>0</v>
      </c>
      <c r="W76">
        <v>0</v>
      </c>
      <c r="X76" s="2">
        <f t="shared" ref="X76:X86" si="55">LOG(1)</f>
        <v>0</v>
      </c>
      <c r="Y76" s="2">
        <v>0</v>
      </c>
      <c r="Z76">
        <f t="shared" si="53"/>
        <v>0</v>
      </c>
    </row>
    <row r="77" spans="2:33" x14ac:dyDescent="0.2">
      <c r="B77">
        <v>11</v>
      </c>
      <c r="C77" s="6">
        <v>33</v>
      </c>
      <c r="D77" s="6">
        <v>50</v>
      </c>
      <c r="E77">
        <f t="shared" si="36"/>
        <v>1.5185139398778875</v>
      </c>
      <c r="F77">
        <f t="shared" si="37"/>
        <v>1.6989700043360187</v>
      </c>
      <c r="G77">
        <f t="shared" si="47"/>
        <v>-0.18045606445813123</v>
      </c>
      <c r="H77" t="s">
        <v>131</v>
      </c>
      <c r="I77" s="6">
        <v>4</v>
      </c>
      <c r="J77" s="6">
        <v>0</v>
      </c>
      <c r="K77">
        <f t="shared" si="45"/>
        <v>0.6020599913279624</v>
      </c>
      <c r="L77" s="2">
        <f t="shared" si="46"/>
        <v>0</v>
      </c>
      <c r="M77">
        <f t="shared" si="48"/>
        <v>0.6020599913279624</v>
      </c>
      <c r="O77">
        <v>11</v>
      </c>
      <c r="P77">
        <v>756</v>
      </c>
      <c r="Q77">
        <v>57</v>
      </c>
      <c r="R77">
        <f t="shared" si="40"/>
        <v>2.8785217955012063</v>
      </c>
      <c r="S77">
        <f t="shared" si="41"/>
        <v>1.7558748556724915</v>
      </c>
      <c r="T77">
        <f t="shared" si="52"/>
        <v>1.1226469398287149</v>
      </c>
      <c r="U77">
        <f>T77</f>
        <v>1.1226469398287149</v>
      </c>
      <c r="V77">
        <v>0</v>
      </c>
      <c r="W77">
        <v>1</v>
      </c>
      <c r="X77" s="2">
        <f t="shared" si="55"/>
        <v>0</v>
      </c>
      <c r="Y77">
        <f>LOG(W77)</f>
        <v>0</v>
      </c>
      <c r="Z77">
        <f t="shared" si="53"/>
        <v>0</v>
      </c>
    </row>
    <row r="78" spans="2:33" x14ac:dyDescent="0.2">
      <c r="C78" s="6">
        <v>431</v>
      </c>
      <c r="D78" s="6">
        <v>81</v>
      </c>
      <c r="E78">
        <f t="shared" si="36"/>
        <v>2.6344772701607315</v>
      </c>
      <c r="F78">
        <f t="shared" si="37"/>
        <v>1.9084850188786497</v>
      </c>
      <c r="G78">
        <f t="shared" si="47"/>
        <v>0.72599225128208178</v>
      </c>
      <c r="H78">
        <f>G78</f>
        <v>0.72599225128208178</v>
      </c>
      <c r="I78" s="11">
        <v>2</v>
      </c>
      <c r="J78" s="6">
        <v>0</v>
      </c>
      <c r="K78">
        <f t="shared" si="45"/>
        <v>0.3010299956639812</v>
      </c>
      <c r="L78" s="2">
        <f t="shared" si="46"/>
        <v>0</v>
      </c>
      <c r="M78">
        <f t="shared" si="48"/>
        <v>0.3010299956639812</v>
      </c>
      <c r="P78">
        <v>500</v>
      </c>
      <c r="Q78">
        <v>15</v>
      </c>
      <c r="R78">
        <f t="shared" si="40"/>
        <v>2.6989700043360187</v>
      </c>
      <c r="S78">
        <f t="shared" si="41"/>
        <v>1.1760912590556813</v>
      </c>
      <c r="T78">
        <f t="shared" si="52"/>
        <v>1.5228787452803374</v>
      </c>
      <c r="U78">
        <f>T78</f>
        <v>1.5228787452803374</v>
      </c>
      <c r="V78">
        <v>2</v>
      </c>
      <c r="W78">
        <v>0</v>
      </c>
      <c r="X78" s="2">
        <f t="shared" si="43"/>
        <v>0.3010299956639812</v>
      </c>
      <c r="Y78" s="2">
        <v>0</v>
      </c>
      <c r="Z78">
        <f t="shared" si="53"/>
        <v>0.3010299956639812</v>
      </c>
    </row>
    <row r="79" spans="2:33" x14ac:dyDescent="0.2">
      <c r="B79">
        <v>12</v>
      </c>
      <c r="C79" s="6">
        <v>0</v>
      </c>
      <c r="D79" s="6">
        <v>0</v>
      </c>
      <c r="E79">
        <f>LOG(1)</f>
        <v>0</v>
      </c>
      <c r="F79">
        <f>LOG(1)</f>
        <v>0</v>
      </c>
      <c r="G79">
        <f t="shared" si="47"/>
        <v>0</v>
      </c>
      <c r="H79" t="s">
        <v>131</v>
      </c>
      <c r="I79" s="6">
        <v>0</v>
      </c>
      <c r="J79" s="6">
        <v>0</v>
      </c>
      <c r="K79">
        <f t="shared" ref="K79:K82" si="56">LOG(1)</f>
        <v>0</v>
      </c>
      <c r="L79" s="2">
        <f t="shared" si="46"/>
        <v>0</v>
      </c>
      <c r="M79">
        <f t="shared" si="48"/>
        <v>0</v>
      </c>
      <c r="O79">
        <v>12</v>
      </c>
      <c r="P79">
        <v>10</v>
      </c>
      <c r="Q79">
        <v>4000</v>
      </c>
      <c r="R79">
        <f t="shared" si="40"/>
        <v>1</v>
      </c>
      <c r="S79">
        <f t="shared" si="41"/>
        <v>3.6020599913279625</v>
      </c>
      <c r="T79">
        <f t="shared" si="52"/>
        <v>-2.6020599913279625</v>
      </c>
      <c r="U79" t="s">
        <v>131</v>
      </c>
      <c r="V79">
        <v>0</v>
      </c>
      <c r="W79">
        <v>0</v>
      </c>
      <c r="X79" s="2">
        <f t="shared" si="55"/>
        <v>0</v>
      </c>
      <c r="Y79" s="2">
        <v>0</v>
      </c>
      <c r="Z79">
        <f t="shared" si="53"/>
        <v>0</v>
      </c>
    </row>
    <row r="80" spans="2:33" x14ac:dyDescent="0.2">
      <c r="C80" s="6">
        <v>0</v>
      </c>
      <c r="D80" s="6">
        <v>1</v>
      </c>
      <c r="E80">
        <f>LOG(1)</f>
        <v>0</v>
      </c>
      <c r="F80">
        <f t="shared" si="37"/>
        <v>0</v>
      </c>
      <c r="G80">
        <f>E81-F80</f>
        <v>2.5814945422908995</v>
      </c>
      <c r="H80" t="s">
        <v>131</v>
      </c>
      <c r="I80" s="6">
        <v>0</v>
      </c>
      <c r="J80" s="6">
        <v>0</v>
      </c>
      <c r="K80">
        <f t="shared" si="56"/>
        <v>0</v>
      </c>
      <c r="L80" s="2">
        <f t="shared" si="46"/>
        <v>0</v>
      </c>
      <c r="M80">
        <f t="shared" si="48"/>
        <v>0</v>
      </c>
      <c r="P80">
        <v>789.5</v>
      </c>
      <c r="Q80">
        <v>110.5</v>
      </c>
      <c r="R80">
        <f t="shared" si="40"/>
        <v>2.8973521343443132</v>
      </c>
      <c r="S80">
        <f t="shared" si="41"/>
        <v>2.0433622780211294</v>
      </c>
      <c r="T80">
        <f t="shared" si="52"/>
        <v>0.8539898563231838</v>
      </c>
      <c r="U80">
        <f>T80</f>
        <v>0.8539898563231838</v>
      </c>
      <c r="V80">
        <v>0</v>
      </c>
      <c r="W80">
        <v>0</v>
      </c>
      <c r="X80" s="2">
        <f t="shared" si="55"/>
        <v>0</v>
      </c>
      <c r="Y80" s="2">
        <v>0</v>
      </c>
      <c r="Z80">
        <f t="shared" si="53"/>
        <v>0</v>
      </c>
    </row>
    <row r="81" spans="2:26" x14ac:dyDescent="0.2">
      <c r="B81">
        <v>13</v>
      </c>
      <c r="C81" s="6">
        <v>381.5</v>
      </c>
      <c r="D81" s="6">
        <v>150.5</v>
      </c>
      <c r="E81">
        <f t="shared" si="36"/>
        <v>2.5814945422908995</v>
      </c>
      <c r="F81">
        <f t="shared" si="37"/>
        <v>2.1775364999298623</v>
      </c>
      <c r="G81">
        <f t="shared" ref="G81:G96" si="57">E81-F81</f>
        <v>0.40395804236103716</v>
      </c>
      <c r="H81" t="s">
        <v>131</v>
      </c>
      <c r="I81" s="6">
        <v>0</v>
      </c>
      <c r="J81" s="6">
        <v>0</v>
      </c>
      <c r="K81">
        <f t="shared" si="56"/>
        <v>0</v>
      </c>
      <c r="L81" s="2">
        <f t="shared" si="46"/>
        <v>0</v>
      </c>
      <c r="M81">
        <f t="shared" si="48"/>
        <v>0</v>
      </c>
      <c r="O81">
        <v>13</v>
      </c>
      <c r="P81">
        <v>24</v>
      </c>
      <c r="Q81">
        <v>0</v>
      </c>
      <c r="R81">
        <f t="shared" si="40"/>
        <v>1.3802112417116059</v>
      </c>
      <c r="S81">
        <f t="shared" ref="S81:S87" si="58">LOG(1)</f>
        <v>0</v>
      </c>
      <c r="T81">
        <f t="shared" si="52"/>
        <v>1.3802112417116059</v>
      </c>
      <c r="U81" t="s">
        <v>131</v>
      </c>
      <c r="V81">
        <v>0</v>
      </c>
      <c r="W81">
        <v>0</v>
      </c>
      <c r="X81" s="2">
        <f t="shared" si="55"/>
        <v>0</v>
      </c>
      <c r="Y81" s="2">
        <v>0</v>
      </c>
      <c r="Z81">
        <f t="shared" si="53"/>
        <v>0</v>
      </c>
    </row>
    <row r="82" spans="2:26" x14ac:dyDescent="0.2">
      <c r="C82" s="6">
        <v>1</v>
      </c>
      <c r="D82" s="6">
        <v>50</v>
      </c>
      <c r="E82">
        <f t="shared" si="36"/>
        <v>0</v>
      </c>
      <c r="F82">
        <f t="shared" si="37"/>
        <v>1.6989700043360187</v>
      </c>
      <c r="G82">
        <f t="shared" si="57"/>
        <v>-1.6989700043360187</v>
      </c>
      <c r="H82" t="s">
        <v>131</v>
      </c>
      <c r="I82" s="11">
        <v>0</v>
      </c>
      <c r="J82" s="6">
        <v>0</v>
      </c>
      <c r="K82">
        <f t="shared" si="56"/>
        <v>0</v>
      </c>
      <c r="L82" s="2">
        <f t="shared" si="46"/>
        <v>0</v>
      </c>
      <c r="M82">
        <f t="shared" si="48"/>
        <v>0</v>
      </c>
      <c r="P82">
        <v>21</v>
      </c>
      <c r="Q82">
        <v>0</v>
      </c>
      <c r="R82">
        <f t="shared" si="40"/>
        <v>1.3222192947339193</v>
      </c>
      <c r="S82">
        <f t="shared" si="58"/>
        <v>0</v>
      </c>
      <c r="T82">
        <f t="shared" si="52"/>
        <v>1.3222192947339193</v>
      </c>
      <c r="U82" t="s">
        <v>131</v>
      </c>
      <c r="V82">
        <v>0</v>
      </c>
      <c r="W82">
        <v>0</v>
      </c>
      <c r="X82" s="2">
        <f t="shared" si="55"/>
        <v>0</v>
      </c>
      <c r="Y82" s="2">
        <v>0</v>
      </c>
      <c r="Z82">
        <f t="shared" si="53"/>
        <v>0</v>
      </c>
    </row>
    <row r="83" spans="2:26" x14ac:dyDescent="0.2">
      <c r="B83">
        <v>14</v>
      </c>
      <c r="C83" s="6">
        <v>3483</v>
      </c>
      <c r="D83" s="6">
        <v>0</v>
      </c>
      <c r="E83">
        <f t="shared" si="36"/>
        <v>3.5419534744582362</v>
      </c>
      <c r="F83">
        <f>LOG(1)</f>
        <v>0</v>
      </c>
      <c r="G83">
        <f t="shared" si="57"/>
        <v>3.5419534744582362</v>
      </c>
      <c r="H83" t="s">
        <v>131</v>
      </c>
      <c r="I83" s="11">
        <v>285.5</v>
      </c>
      <c r="J83" s="6">
        <v>0</v>
      </c>
      <c r="K83">
        <f t="shared" si="45"/>
        <v>2.4556061125818669</v>
      </c>
      <c r="L83" s="2">
        <f t="shared" si="46"/>
        <v>0</v>
      </c>
      <c r="M83">
        <f t="shared" si="48"/>
        <v>2.4556061125818669</v>
      </c>
      <c r="O83">
        <v>14</v>
      </c>
      <c r="P83">
        <v>30000</v>
      </c>
      <c r="Q83">
        <v>0</v>
      </c>
      <c r="R83">
        <f t="shared" si="40"/>
        <v>4.4771212547196626</v>
      </c>
      <c r="S83">
        <f t="shared" si="58"/>
        <v>0</v>
      </c>
      <c r="T83">
        <f t="shared" si="52"/>
        <v>4.4771212547196626</v>
      </c>
      <c r="U83" t="s">
        <v>131</v>
      </c>
      <c r="V83">
        <v>1</v>
      </c>
      <c r="W83">
        <v>0</v>
      </c>
      <c r="X83" s="2">
        <f t="shared" si="43"/>
        <v>0</v>
      </c>
      <c r="Y83" s="2">
        <v>0</v>
      </c>
      <c r="Z83">
        <f t="shared" si="53"/>
        <v>0</v>
      </c>
    </row>
    <row r="84" spans="2:26" x14ac:dyDescent="0.2">
      <c r="C84" s="6">
        <v>6400</v>
      </c>
      <c r="D84" s="6">
        <v>200</v>
      </c>
      <c r="E84">
        <f t="shared" si="36"/>
        <v>3.8061799739838871</v>
      </c>
      <c r="F84">
        <f t="shared" si="37"/>
        <v>2.3010299956639813</v>
      </c>
      <c r="G84">
        <f t="shared" si="57"/>
        <v>1.5051499783199058</v>
      </c>
      <c r="H84" t="s">
        <v>131</v>
      </c>
      <c r="I84" s="6">
        <v>220.5</v>
      </c>
      <c r="J84" s="6">
        <v>0</v>
      </c>
      <c r="K84">
        <f t="shared" si="45"/>
        <v>2.3434085938038574</v>
      </c>
      <c r="L84" s="2">
        <f t="shared" si="46"/>
        <v>0</v>
      </c>
      <c r="M84">
        <f t="shared" si="48"/>
        <v>2.3434085938038574</v>
      </c>
      <c r="S84">
        <f t="shared" si="58"/>
        <v>0</v>
      </c>
      <c r="X84" s="2">
        <f t="shared" si="55"/>
        <v>0</v>
      </c>
      <c r="Y84" s="2"/>
    </row>
    <row r="85" spans="2:26" x14ac:dyDescent="0.2">
      <c r="B85">
        <v>15</v>
      </c>
      <c r="C85" s="6">
        <v>0</v>
      </c>
      <c r="D85" s="6">
        <v>0</v>
      </c>
      <c r="E85">
        <f>LOG(1)</f>
        <v>0</v>
      </c>
      <c r="F85">
        <f>LOG(1)</f>
        <v>0</v>
      </c>
      <c r="G85">
        <f t="shared" si="57"/>
        <v>0</v>
      </c>
      <c r="H85" t="s">
        <v>131</v>
      </c>
      <c r="I85" s="6">
        <v>0</v>
      </c>
      <c r="J85" s="6">
        <v>0</v>
      </c>
      <c r="K85">
        <f t="shared" ref="K85:K86" si="59">LOG(1)</f>
        <v>0</v>
      </c>
      <c r="L85" s="2">
        <f t="shared" si="46"/>
        <v>0</v>
      </c>
      <c r="M85">
        <f t="shared" si="48"/>
        <v>0</v>
      </c>
      <c r="O85">
        <v>15</v>
      </c>
      <c r="P85">
        <v>1307.5</v>
      </c>
      <c r="Q85">
        <v>0</v>
      </c>
      <c r="R85">
        <f t="shared" si="40"/>
        <v>3.1164416975393117</v>
      </c>
      <c r="S85">
        <f t="shared" si="58"/>
        <v>0</v>
      </c>
      <c r="T85">
        <f t="shared" ref="T85:T96" si="60">R85-S85</f>
        <v>3.1164416975393117</v>
      </c>
      <c r="U85" t="s">
        <v>131</v>
      </c>
      <c r="V85">
        <v>3</v>
      </c>
      <c r="W85">
        <v>0</v>
      </c>
      <c r="X85" s="2">
        <f t="shared" si="43"/>
        <v>0.47712125471966244</v>
      </c>
      <c r="Y85" s="2">
        <v>0</v>
      </c>
      <c r="Z85">
        <f t="shared" ref="Z85:Z96" si="61">X85-Y85</f>
        <v>0.47712125471966244</v>
      </c>
    </row>
    <row r="86" spans="2:26" x14ac:dyDescent="0.2">
      <c r="C86" s="6">
        <v>0</v>
      </c>
      <c r="D86" s="6">
        <v>0</v>
      </c>
      <c r="E86">
        <f>LOG(1)</f>
        <v>0</v>
      </c>
      <c r="F86">
        <f>LOG(1)</f>
        <v>0</v>
      </c>
      <c r="G86">
        <f t="shared" si="57"/>
        <v>0</v>
      </c>
      <c r="H86" t="s">
        <v>131</v>
      </c>
      <c r="I86" s="6">
        <v>0</v>
      </c>
      <c r="J86" s="6">
        <v>0</v>
      </c>
      <c r="K86">
        <f t="shared" si="59"/>
        <v>0</v>
      </c>
      <c r="L86" s="2">
        <f t="shared" si="46"/>
        <v>0</v>
      </c>
      <c r="M86">
        <f t="shared" si="48"/>
        <v>0</v>
      </c>
      <c r="P86">
        <v>14</v>
      </c>
      <c r="Q86">
        <v>0</v>
      </c>
      <c r="R86">
        <f t="shared" si="40"/>
        <v>1.146128035678238</v>
      </c>
      <c r="S86">
        <f t="shared" si="58"/>
        <v>0</v>
      </c>
      <c r="T86">
        <f t="shared" si="60"/>
        <v>1.146128035678238</v>
      </c>
      <c r="U86" t="s">
        <v>131</v>
      </c>
      <c r="V86">
        <v>0</v>
      </c>
      <c r="W86">
        <v>0</v>
      </c>
      <c r="X86" s="2">
        <f t="shared" si="55"/>
        <v>0</v>
      </c>
      <c r="Y86" s="2">
        <v>0</v>
      </c>
      <c r="Z86">
        <f t="shared" si="61"/>
        <v>0</v>
      </c>
    </row>
    <row r="87" spans="2:26" x14ac:dyDescent="0.2">
      <c r="B87">
        <v>16</v>
      </c>
      <c r="C87" s="6">
        <v>1208.5</v>
      </c>
      <c r="D87" s="6">
        <v>3700</v>
      </c>
      <c r="E87">
        <f t="shared" si="36"/>
        <v>3.0822466547436691</v>
      </c>
      <c r="F87">
        <f t="shared" si="37"/>
        <v>3.568201724066995</v>
      </c>
      <c r="G87">
        <f t="shared" si="57"/>
        <v>-0.48595506932332588</v>
      </c>
      <c r="H87">
        <f>G87</f>
        <v>-0.48595506932332588</v>
      </c>
      <c r="I87" s="11">
        <v>3</v>
      </c>
      <c r="J87" s="6">
        <v>0</v>
      </c>
      <c r="K87">
        <f t="shared" si="45"/>
        <v>0.47712125471966244</v>
      </c>
      <c r="L87" s="2">
        <f t="shared" si="46"/>
        <v>0</v>
      </c>
      <c r="M87">
        <f t="shared" si="48"/>
        <v>0.47712125471966244</v>
      </c>
      <c r="O87">
        <v>16</v>
      </c>
      <c r="P87" s="25">
        <v>259</v>
      </c>
      <c r="Q87" s="25">
        <v>0</v>
      </c>
      <c r="R87">
        <f t="shared" si="40"/>
        <v>2.4132997640812519</v>
      </c>
      <c r="S87">
        <f t="shared" si="58"/>
        <v>0</v>
      </c>
      <c r="T87">
        <f t="shared" si="60"/>
        <v>2.4132997640812519</v>
      </c>
      <c r="U87" t="s">
        <v>131</v>
      </c>
      <c r="V87">
        <v>2</v>
      </c>
      <c r="W87">
        <v>0</v>
      </c>
      <c r="X87" s="2">
        <f t="shared" si="43"/>
        <v>0.3010299956639812</v>
      </c>
      <c r="Y87" s="2">
        <v>0</v>
      </c>
      <c r="Z87">
        <f t="shared" si="61"/>
        <v>0.3010299956639812</v>
      </c>
    </row>
    <row r="88" spans="2:26" x14ac:dyDescent="0.2">
      <c r="C88" s="6">
        <v>683</v>
      </c>
      <c r="D88" s="6">
        <v>58</v>
      </c>
      <c r="E88">
        <f t="shared" si="36"/>
        <v>2.8344207036815328</v>
      </c>
      <c r="F88">
        <f t="shared" si="37"/>
        <v>1.7634279935629373</v>
      </c>
      <c r="G88">
        <f t="shared" si="57"/>
        <v>1.0709927101185954</v>
      </c>
      <c r="H88">
        <f>G88</f>
        <v>1.0709927101185954</v>
      </c>
      <c r="I88" s="11">
        <v>3</v>
      </c>
      <c r="J88" s="6">
        <v>0</v>
      </c>
      <c r="K88">
        <f t="shared" si="45"/>
        <v>0.47712125471966244</v>
      </c>
      <c r="L88" s="2">
        <f t="shared" si="46"/>
        <v>0</v>
      </c>
      <c r="M88">
        <f t="shared" si="48"/>
        <v>0.47712125471966244</v>
      </c>
      <c r="P88">
        <v>453.5</v>
      </c>
      <c r="Q88">
        <v>1</v>
      </c>
      <c r="R88">
        <f t="shared" si="40"/>
        <v>2.6565772913961139</v>
      </c>
      <c r="S88">
        <f t="shared" si="41"/>
        <v>0</v>
      </c>
      <c r="T88">
        <f t="shared" si="60"/>
        <v>2.6565772913961139</v>
      </c>
      <c r="U88" t="s">
        <v>131</v>
      </c>
      <c r="V88">
        <v>2</v>
      </c>
      <c r="W88">
        <v>0</v>
      </c>
      <c r="X88" s="2">
        <f t="shared" si="43"/>
        <v>0.3010299956639812</v>
      </c>
      <c r="Y88" s="2">
        <v>0</v>
      </c>
      <c r="Z88">
        <f t="shared" si="61"/>
        <v>0.3010299956639812</v>
      </c>
    </row>
    <row r="89" spans="2:26" x14ac:dyDescent="0.2">
      <c r="B89">
        <v>17</v>
      </c>
      <c r="C89" s="6">
        <v>116</v>
      </c>
      <c r="D89" s="6">
        <v>100</v>
      </c>
      <c r="E89">
        <f t="shared" si="36"/>
        <v>2.0644579892269186</v>
      </c>
      <c r="F89">
        <f t="shared" si="37"/>
        <v>2</v>
      </c>
      <c r="G89">
        <f t="shared" si="57"/>
        <v>6.4457989226918588E-2</v>
      </c>
      <c r="H89" t="s">
        <v>131</v>
      </c>
      <c r="I89" s="6">
        <v>0</v>
      </c>
      <c r="J89" s="6">
        <v>0</v>
      </c>
      <c r="K89">
        <f t="shared" ref="K89:K90" si="62">LOG(1)</f>
        <v>0</v>
      </c>
      <c r="L89" s="2">
        <f t="shared" si="46"/>
        <v>0</v>
      </c>
      <c r="M89">
        <f t="shared" si="48"/>
        <v>0</v>
      </c>
      <c r="O89">
        <v>17</v>
      </c>
      <c r="P89">
        <v>25</v>
      </c>
      <c r="Q89">
        <v>0</v>
      </c>
      <c r="R89">
        <f t="shared" si="40"/>
        <v>1.3979400086720377</v>
      </c>
      <c r="S89">
        <f>LOG(1)</f>
        <v>0</v>
      </c>
      <c r="T89">
        <f t="shared" si="60"/>
        <v>1.3979400086720377</v>
      </c>
      <c r="U89" t="s">
        <v>131</v>
      </c>
      <c r="V89">
        <v>0</v>
      </c>
      <c r="W89">
        <v>0</v>
      </c>
      <c r="X89" s="2">
        <f t="shared" ref="X89:X92" si="63">LOG(1)</f>
        <v>0</v>
      </c>
      <c r="Y89" s="2">
        <v>0</v>
      </c>
      <c r="Z89">
        <f t="shared" si="61"/>
        <v>0</v>
      </c>
    </row>
    <row r="90" spans="2:26" x14ac:dyDescent="0.2">
      <c r="C90" s="6">
        <v>151</v>
      </c>
      <c r="D90" s="6">
        <v>0</v>
      </c>
      <c r="E90">
        <f t="shared" si="36"/>
        <v>2.1789769472931693</v>
      </c>
      <c r="F90">
        <f>LOG(1)</f>
        <v>0</v>
      </c>
      <c r="G90">
        <f t="shared" si="57"/>
        <v>2.1789769472931693</v>
      </c>
      <c r="H90" t="s">
        <v>131</v>
      </c>
      <c r="I90" s="11">
        <v>0</v>
      </c>
      <c r="J90" s="6">
        <v>0</v>
      </c>
      <c r="K90">
        <f t="shared" si="62"/>
        <v>0</v>
      </c>
      <c r="L90" s="2">
        <f t="shared" si="46"/>
        <v>0</v>
      </c>
      <c r="M90">
        <f t="shared" si="48"/>
        <v>0</v>
      </c>
      <c r="P90">
        <v>227.5</v>
      </c>
      <c r="Q90">
        <v>50</v>
      </c>
      <c r="R90">
        <f t="shared" si="40"/>
        <v>2.3569814009931314</v>
      </c>
      <c r="S90">
        <f t="shared" si="41"/>
        <v>1.6989700043360187</v>
      </c>
      <c r="T90">
        <f t="shared" si="60"/>
        <v>0.65801139665711261</v>
      </c>
      <c r="U90" t="s">
        <v>131</v>
      </c>
      <c r="V90">
        <v>0</v>
      </c>
      <c r="W90">
        <v>0</v>
      </c>
      <c r="X90" s="2">
        <f t="shared" si="63"/>
        <v>0</v>
      </c>
      <c r="Y90" s="2">
        <v>0</v>
      </c>
      <c r="Z90">
        <f t="shared" si="61"/>
        <v>0</v>
      </c>
    </row>
    <row r="91" spans="2:26" x14ac:dyDescent="0.2">
      <c r="B91">
        <v>18</v>
      </c>
      <c r="C91" s="6">
        <v>4048</v>
      </c>
      <c r="D91" s="6">
        <v>100</v>
      </c>
      <c r="E91">
        <f t="shared" si="36"/>
        <v>3.6072405038317426</v>
      </c>
      <c r="F91">
        <f t="shared" si="37"/>
        <v>2</v>
      </c>
      <c r="G91">
        <f t="shared" si="57"/>
        <v>1.6072405038317426</v>
      </c>
      <c r="H91" t="s">
        <v>131</v>
      </c>
      <c r="I91" s="6">
        <v>2</v>
      </c>
      <c r="J91" s="6">
        <v>0</v>
      </c>
      <c r="K91">
        <f t="shared" si="45"/>
        <v>0.3010299956639812</v>
      </c>
      <c r="L91" s="2">
        <f t="shared" si="46"/>
        <v>0</v>
      </c>
      <c r="M91">
        <f t="shared" si="48"/>
        <v>0.3010299956639812</v>
      </c>
      <c r="O91">
        <v>18</v>
      </c>
      <c r="P91">
        <v>77.5</v>
      </c>
      <c r="Q91">
        <v>14</v>
      </c>
      <c r="R91">
        <f t="shared" si="40"/>
        <v>1.8893017025063104</v>
      </c>
      <c r="S91">
        <f t="shared" si="41"/>
        <v>1.146128035678238</v>
      </c>
      <c r="T91">
        <f t="shared" si="60"/>
        <v>0.7431736668280724</v>
      </c>
      <c r="U91">
        <f>T91</f>
        <v>0.7431736668280724</v>
      </c>
      <c r="V91">
        <v>0</v>
      </c>
      <c r="W91">
        <v>0</v>
      </c>
      <c r="X91" s="2">
        <f t="shared" si="63"/>
        <v>0</v>
      </c>
      <c r="Y91" s="2">
        <v>0</v>
      </c>
      <c r="Z91">
        <f t="shared" si="61"/>
        <v>0</v>
      </c>
    </row>
    <row r="92" spans="2:26" x14ac:dyDescent="0.2">
      <c r="C92" s="6">
        <v>2500</v>
      </c>
      <c r="D92" s="6">
        <v>0</v>
      </c>
      <c r="E92">
        <f t="shared" si="36"/>
        <v>3.3979400086720375</v>
      </c>
      <c r="F92">
        <f>LOG(1)</f>
        <v>0</v>
      </c>
      <c r="G92">
        <f t="shared" si="57"/>
        <v>3.3979400086720375</v>
      </c>
      <c r="H92" t="s">
        <v>131</v>
      </c>
      <c r="I92" s="11">
        <v>5</v>
      </c>
      <c r="J92" s="6">
        <v>0</v>
      </c>
      <c r="K92">
        <f t="shared" si="45"/>
        <v>0.69897000433601886</v>
      </c>
      <c r="L92" s="2">
        <f t="shared" si="46"/>
        <v>0</v>
      </c>
      <c r="M92">
        <f t="shared" si="48"/>
        <v>0.69897000433601886</v>
      </c>
      <c r="P92">
        <v>103.5</v>
      </c>
      <c r="Q92">
        <v>0</v>
      </c>
      <c r="R92">
        <f t="shared" si="40"/>
        <v>2.0149403497929366</v>
      </c>
      <c r="S92">
        <f>LOG(1)</f>
        <v>0</v>
      </c>
      <c r="T92">
        <f t="shared" si="60"/>
        <v>2.0149403497929366</v>
      </c>
      <c r="U92" t="s">
        <v>131</v>
      </c>
      <c r="V92">
        <v>0</v>
      </c>
      <c r="W92">
        <v>0</v>
      </c>
      <c r="X92" s="2">
        <f t="shared" si="63"/>
        <v>0</v>
      </c>
      <c r="Y92" s="2">
        <v>0</v>
      </c>
      <c r="Z92">
        <f t="shared" si="61"/>
        <v>0</v>
      </c>
    </row>
    <row r="93" spans="2:26" x14ac:dyDescent="0.2">
      <c r="B93">
        <v>19</v>
      </c>
      <c r="C93" s="6">
        <v>9700</v>
      </c>
      <c r="D93" s="6">
        <v>1600</v>
      </c>
      <c r="E93">
        <f t="shared" si="36"/>
        <v>3.9867717342662448</v>
      </c>
      <c r="F93">
        <f t="shared" si="37"/>
        <v>3.2041199826559246</v>
      </c>
      <c r="G93">
        <f t="shared" si="57"/>
        <v>0.78265175161032019</v>
      </c>
      <c r="H93">
        <f>G93</f>
        <v>0.78265175161032019</v>
      </c>
      <c r="I93" s="6">
        <v>19</v>
      </c>
      <c r="J93" s="6">
        <v>0</v>
      </c>
      <c r="K93">
        <f t="shared" si="45"/>
        <v>1.2787536009528289</v>
      </c>
      <c r="L93" s="2">
        <f t="shared" si="46"/>
        <v>0</v>
      </c>
      <c r="M93">
        <f t="shared" si="48"/>
        <v>1.2787536009528289</v>
      </c>
      <c r="O93">
        <v>19</v>
      </c>
      <c r="P93">
        <v>73.5</v>
      </c>
      <c r="Q93">
        <v>0</v>
      </c>
      <c r="R93">
        <f t="shared" si="40"/>
        <v>1.866287339084195</v>
      </c>
      <c r="S93">
        <f>LOG(1)</f>
        <v>0</v>
      </c>
      <c r="T93">
        <f t="shared" si="60"/>
        <v>1.866287339084195</v>
      </c>
      <c r="U93" t="s">
        <v>131</v>
      </c>
      <c r="V93">
        <v>1</v>
      </c>
      <c r="W93">
        <v>0</v>
      </c>
      <c r="X93" s="2">
        <f t="shared" si="43"/>
        <v>0</v>
      </c>
      <c r="Y93" s="2">
        <v>0</v>
      </c>
      <c r="Z93">
        <f t="shared" si="61"/>
        <v>0</v>
      </c>
    </row>
    <row r="94" spans="2:26" x14ac:dyDescent="0.2">
      <c r="C94" s="6">
        <v>1025</v>
      </c>
      <c r="D94" s="6">
        <v>22</v>
      </c>
      <c r="E94">
        <f t="shared" si="36"/>
        <v>3.0107238653917729</v>
      </c>
      <c r="F94">
        <f t="shared" si="37"/>
        <v>1.3424226808222062</v>
      </c>
      <c r="G94">
        <f t="shared" si="57"/>
        <v>1.6683011845695668</v>
      </c>
      <c r="H94">
        <f>G94</f>
        <v>1.6683011845695668</v>
      </c>
      <c r="I94" s="6">
        <v>3</v>
      </c>
      <c r="J94" s="6">
        <v>0</v>
      </c>
      <c r="K94">
        <f t="shared" si="45"/>
        <v>0.47712125471966244</v>
      </c>
      <c r="L94" s="2">
        <f t="shared" si="46"/>
        <v>0</v>
      </c>
      <c r="M94">
        <f t="shared" si="48"/>
        <v>0.47712125471966244</v>
      </c>
      <c r="P94">
        <v>876.5</v>
      </c>
      <c r="Q94">
        <v>0</v>
      </c>
      <c r="R94">
        <f t="shared" si="40"/>
        <v>2.9427519204298136</v>
      </c>
      <c r="S94">
        <f t="shared" ref="S94:S96" si="64">LOG(1)</f>
        <v>0</v>
      </c>
      <c r="T94">
        <f t="shared" si="60"/>
        <v>2.9427519204298136</v>
      </c>
      <c r="U94" t="s">
        <v>131</v>
      </c>
      <c r="V94">
        <v>1</v>
      </c>
      <c r="W94">
        <v>0</v>
      </c>
      <c r="X94" s="2">
        <f t="shared" si="43"/>
        <v>0</v>
      </c>
      <c r="Y94" s="2">
        <v>0</v>
      </c>
      <c r="Z94">
        <f t="shared" si="61"/>
        <v>0</v>
      </c>
    </row>
    <row r="95" spans="2:26" x14ac:dyDescent="0.2">
      <c r="B95">
        <v>20</v>
      </c>
      <c r="C95" s="6">
        <v>160</v>
      </c>
      <c r="D95" s="6">
        <v>0</v>
      </c>
      <c r="E95">
        <f t="shared" si="36"/>
        <v>2.2041199826559246</v>
      </c>
      <c r="F95">
        <f>LOG(1)</f>
        <v>0</v>
      </c>
      <c r="G95">
        <f t="shared" si="57"/>
        <v>2.2041199826559246</v>
      </c>
      <c r="H95" t="s">
        <v>131</v>
      </c>
      <c r="I95" s="11">
        <v>1</v>
      </c>
      <c r="J95" s="6">
        <v>0</v>
      </c>
      <c r="K95">
        <f t="shared" si="45"/>
        <v>0</v>
      </c>
      <c r="L95" s="2">
        <f t="shared" si="46"/>
        <v>0</v>
      </c>
      <c r="M95">
        <f t="shared" si="48"/>
        <v>0</v>
      </c>
      <c r="O95">
        <v>20</v>
      </c>
      <c r="P95">
        <v>568.5</v>
      </c>
      <c r="Q95">
        <v>0</v>
      </c>
      <c r="R95">
        <f t="shared" si="40"/>
        <v>2.7547304690237535</v>
      </c>
      <c r="S95">
        <f t="shared" si="64"/>
        <v>0</v>
      </c>
      <c r="T95">
        <f t="shared" si="60"/>
        <v>2.7547304690237535</v>
      </c>
      <c r="U95" t="s">
        <v>131</v>
      </c>
      <c r="V95">
        <v>1</v>
      </c>
      <c r="W95">
        <v>0</v>
      </c>
      <c r="X95" s="2">
        <f t="shared" si="43"/>
        <v>0</v>
      </c>
      <c r="Y95" s="2">
        <v>0</v>
      </c>
      <c r="Z95">
        <f t="shared" si="61"/>
        <v>0</v>
      </c>
    </row>
    <row r="96" spans="2:26" x14ac:dyDescent="0.2">
      <c r="C96" s="6">
        <v>416.5</v>
      </c>
      <c r="D96" s="6">
        <v>1096</v>
      </c>
      <c r="E96">
        <f t="shared" si="36"/>
        <v>2.6196150057428063</v>
      </c>
      <c r="F96">
        <f t="shared" si="37"/>
        <v>3.0398105541483504</v>
      </c>
      <c r="G96">
        <f t="shared" si="57"/>
        <v>-0.42019554840554418</v>
      </c>
      <c r="H96">
        <f>G96</f>
        <v>-0.42019554840554418</v>
      </c>
      <c r="I96" s="11">
        <v>0</v>
      </c>
      <c r="J96" s="6">
        <v>1</v>
      </c>
      <c r="K96" s="2">
        <v>0</v>
      </c>
      <c r="L96" s="2">
        <f t="shared" si="38"/>
        <v>0</v>
      </c>
      <c r="M96">
        <f t="shared" si="48"/>
        <v>0</v>
      </c>
      <c r="P96">
        <v>588</v>
      </c>
      <c r="Q96">
        <v>0</v>
      </c>
      <c r="R96">
        <f t="shared" si="40"/>
        <v>2.7693773260761385</v>
      </c>
      <c r="S96">
        <f t="shared" si="64"/>
        <v>0</v>
      </c>
      <c r="T96">
        <f t="shared" si="60"/>
        <v>2.7693773260761385</v>
      </c>
      <c r="U96" t="s">
        <v>131</v>
      </c>
      <c r="V96">
        <v>2</v>
      </c>
      <c r="W96">
        <v>0</v>
      </c>
      <c r="X96" s="2">
        <f t="shared" si="43"/>
        <v>0.3010299956639812</v>
      </c>
      <c r="Y96" s="2">
        <v>0</v>
      </c>
      <c r="Z96">
        <f t="shared" si="61"/>
        <v>0.3010299956639812</v>
      </c>
    </row>
    <row r="97" spans="4:26" x14ac:dyDescent="0.2">
      <c r="G97">
        <f>AVERAGE(G57:G96)</f>
        <v>0.87677043652555775</v>
      </c>
      <c r="H97">
        <f>AVERAGE(H57:H96)</f>
        <v>0.21759152990318215</v>
      </c>
      <c r="M97">
        <f>AVERAGE(M57:M96)</f>
        <v>0.37489838877830234</v>
      </c>
      <c r="T97">
        <f>AVERAGE(T57:T96)</f>
        <v>1.5342563631139268</v>
      </c>
      <c r="U97">
        <f>AVERAGE(U57:U96)</f>
        <v>0.74631682709324809</v>
      </c>
      <c r="Z97">
        <f>AVERAGE(Z57:Z96)</f>
        <v>3.9238645710388667E-2</v>
      </c>
    </row>
    <row r="98" spans="4:26" x14ac:dyDescent="0.2">
      <c r="G98">
        <f>(STDEV(G57:G96))/(SQRT(COUNT(G57:G96)))</f>
        <v>0.25700813173705445</v>
      </c>
      <c r="H98">
        <f>(STDEV(H57:H96))/(SQRT(COUNT(H57:H96)))</f>
        <v>0.24219807959595951</v>
      </c>
      <c r="M98">
        <f>(STDEV(M57:M96))/(SQRT(COUNT(M57:M96)))</f>
        <v>0.12531057163790094</v>
      </c>
      <c r="T98">
        <f>(STDEV(T57:T96))/(SQRT(COUNT(T57:T96)))</f>
        <v>0.24744022904968463</v>
      </c>
      <c r="U98">
        <f>(STDEV(U57:U96))/(SQRT(COUNT(U57:U96)))</f>
        <v>0.30440235608058602</v>
      </c>
      <c r="Z98">
        <f>(STDEV(Z57:Z96))/(SQRT(COUNT(Z57:Z96)))</f>
        <v>7.7169487129077494E-2</v>
      </c>
    </row>
    <row r="101" spans="4:26" x14ac:dyDescent="0.2">
      <c r="D101">
        <f>COUNTIFS(D57:D96,"&lt;1")</f>
        <v>12</v>
      </c>
      <c r="Q101">
        <f>COUNTIFS(Q57:Q96,"&lt;1")</f>
        <v>18</v>
      </c>
    </row>
    <row r="102" spans="4:26" x14ac:dyDescent="0.2">
      <c r="D102">
        <f>COUNTIFS(D57:D96,"&gt;=1",D57:D96, "&lt;=10")</f>
        <v>2</v>
      </c>
      <c r="Q102">
        <f>COUNTIFS(Q57:Q96,"&gt;=1",Q57:Q96, "&lt;=10")</f>
        <v>2</v>
      </c>
    </row>
    <row r="103" spans="4:26" x14ac:dyDescent="0.2">
      <c r="D103">
        <f>COUNTIFS(D57:D96,"&gt;=11",D57:D96, "&lt;=101")</f>
        <v>9</v>
      </c>
      <c r="Q103">
        <f>COUNTIFS(Q57:Q96,"&gt;=11",Q57:Q96, "&lt;=101")</f>
        <v>9</v>
      </c>
    </row>
    <row r="104" spans="4:26" x14ac:dyDescent="0.2">
      <c r="D104">
        <f>COUNTIFS(D57:D96,"&gt;=101",D57:D96, "&lt;=1000")</f>
        <v>7</v>
      </c>
      <c r="F104">
        <f>COUNT(D57:D96)</f>
        <v>39</v>
      </c>
      <c r="Q104">
        <f>COUNTIFS(Q57:Q96,"&gt;=101",Q57:Q96, "&lt;=1000")</f>
        <v>3</v>
      </c>
      <c r="S104">
        <f>COUNT(Q57:Q96)</f>
        <v>35</v>
      </c>
    </row>
    <row r="105" spans="4:26" x14ac:dyDescent="0.2">
      <c r="D105">
        <f>COUNTIFS(D57:D96,"&gt;1001")</f>
        <v>9</v>
      </c>
      <c r="Q105">
        <f>COUNTIFS(Q57:Q96,"&gt;1001")</f>
        <v>3</v>
      </c>
    </row>
    <row r="106" spans="4:26" x14ac:dyDescent="0.2">
      <c r="D106">
        <f>SUM(D101:D105)</f>
        <v>39</v>
      </c>
      <c r="Q106">
        <f>SUM(Q101:Q105)</f>
        <v>35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79F84-2172-E74C-AA92-E6C3D43C4227}">
  <dimension ref="A1:F7"/>
  <sheetViews>
    <sheetView tabSelected="1" workbookViewId="0">
      <selection sqref="A1:F7"/>
    </sheetView>
  </sheetViews>
  <sheetFormatPr baseColWidth="10" defaultRowHeight="16" x14ac:dyDescent="0.2"/>
  <sheetData>
    <row r="1" spans="1:6" ht="34" x14ac:dyDescent="0.2">
      <c r="A1" s="33" t="s">
        <v>161</v>
      </c>
      <c r="B1" s="34" t="s">
        <v>162</v>
      </c>
      <c r="C1" s="35" t="s">
        <v>124</v>
      </c>
      <c r="D1" s="35"/>
      <c r="E1" s="35"/>
      <c r="F1" s="35"/>
    </row>
    <row r="2" spans="1:6" x14ac:dyDescent="0.2">
      <c r="A2" s="34"/>
      <c r="B2" s="34" t="s">
        <v>163</v>
      </c>
      <c r="C2" s="34">
        <v>1</v>
      </c>
      <c r="D2" s="34">
        <v>2</v>
      </c>
      <c r="E2" s="34">
        <v>3</v>
      </c>
      <c r="F2" s="34">
        <v>4</v>
      </c>
    </row>
    <row r="3" spans="1:6" x14ac:dyDescent="0.2">
      <c r="A3" s="34" t="s">
        <v>164</v>
      </c>
      <c r="B3" s="36" t="s">
        <v>165</v>
      </c>
      <c r="C3" s="37">
        <f>2400%/40</f>
        <v>0.6</v>
      </c>
      <c r="D3" s="38">
        <f>12/39</f>
        <v>0.30769230769230771</v>
      </c>
      <c r="E3" s="37">
        <f>1600%/38</f>
        <v>0.42105263157894735</v>
      </c>
      <c r="F3" s="37">
        <f>1800%/35</f>
        <v>0.51428571428571423</v>
      </c>
    </row>
    <row r="4" spans="1:6" x14ac:dyDescent="0.2">
      <c r="A4" s="34" t="s">
        <v>166</v>
      </c>
      <c r="B4" s="36" t="s">
        <v>167</v>
      </c>
      <c r="C4" s="37">
        <f>400%/40</f>
        <v>0.1</v>
      </c>
      <c r="D4" s="38">
        <f>2/39</f>
        <v>5.128205128205128E-2</v>
      </c>
      <c r="E4" s="37">
        <f>200%/38</f>
        <v>5.2631578947368418E-2</v>
      </c>
      <c r="F4" s="37">
        <f>200%/35</f>
        <v>5.7142857142857141E-2</v>
      </c>
    </row>
    <row r="5" spans="1:6" x14ac:dyDescent="0.2">
      <c r="A5" s="34" t="s">
        <v>168</v>
      </c>
      <c r="B5" s="36" t="s">
        <v>169</v>
      </c>
      <c r="C5" s="37">
        <f>500%/40</f>
        <v>0.125</v>
      </c>
      <c r="D5" s="38">
        <f>9/39</f>
        <v>0.23076923076923078</v>
      </c>
      <c r="E5" s="37">
        <f>700%/38</f>
        <v>0.18421052631578946</v>
      </c>
      <c r="F5" s="37">
        <f>900%/35</f>
        <v>0.25714285714285712</v>
      </c>
    </row>
    <row r="6" spans="1:6" x14ac:dyDescent="0.2">
      <c r="A6" s="34" t="s">
        <v>170</v>
      </c>
      <c r="B6" s="36" t="s">
        <v>171</v>
      </c>
      <c r="C6" s="37">
        <f>300%/40</f>
        <v>7.4999999999999997E-2</v>
      </c>
      <c r="D6" s="38">
        <f>7/39</f>
        <v>0.17948717948717949</v>
      </c>
      <c r="E6" s="37">
        <f>800%/38</f>
        <v>0.21052631578947367</v>
      </c>
      <c r="F6" s="37">
        <f>300%/35</f>
        <v>8.5714285714285715E-2</v>
      </c>
    </row>
    <row r="7" spans="1:6" x14ac:dyDescent="0.2">
      <c r="A7" s="34" t="s">
        <v>172</v>
      </c>
      <c r="B7" s="36" t="s">
        <v>173</v>
      </c>
      <c r="C7" s="37">
        <f>400%/40</f>
        <v>0.1</v>
      </c>
      <c r="D7" s="38">
        <f>9/39</f>
        <v>0.23076923076923078</v>
      </c>
      <c r="E7" s="37">
        <f>500%/38</f>
        <v>0.13157894736842105</v>
      </c>
      <c r="F7" s="37">
        <f>300%/35</f>
        <v>8.5714285714285715E-2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1ACF6A-76CF-BB40-9416-10FB0A9D4CB9}">
  <dimension ref="B1:G62"/>
  <sheetViews>
    <sheetView topLeftCell="A26" workbookViewId="0">
      <selection activeCell="D39" sqref="D39"/>
    </sheetView>
  </sheetViews>
  <sheetFormatPr baseColWidth="10" defaultRowHeight="16" x14ac:dyDescent="0.2"/>
  <sheetData>
    <row r="1" spans="2:7" x14ac:dyDescent="0.2">
      <c r="C1" t="s">
        <v>124</v>
      </c>
    </row>
    <row r="2" spans="2:7" x14ac:dyDescent="0.2">
      <c r="B2" t="s">
        <v>97</v>
      </c>
      <c r="C2">
        <v>1</v>
      </c>
      <c r="D2">
        <v>2</v>
      </c>
      <c r="E2">
        <v>3</v>
      </c>
      <c r="F2">
        <v>4</v>
      </c>
    </row>
    <row r="3" spans="2:7" x14ac:dyDescent="0.2">
      <c r="B3">
        <v>1</v>
      </c>
      <c r="C3">
        <v>40</v>
      </c>
      <c r="D3">
        <v>50</v>
      </c>
      <c r="E3">
        <v>20</v>
      </c>
    </row>
    <row r="4" spans="2:7" x14ac:dyDescent="0.2">
      <c r="B4">
        <v>2</v>
      </c>
      <c r="C4">
        <v>50</v>
      </c>
      <c r="D4">
        <v>10</v>
      </c>
      <c r="E4">
        <v>40</v>
      </c>
      <c r="F4">
        <v>20</v>
      </c>
    </row>
    <row r="5" spans="2:7" x14ac:dyDescent="0.2">
      <c r="B5">
        <v>3</v>
      </c>
      <c r="C5">
        <v>20</v>
      </c>
      <c r="D5" s="6">
        <v>40</v>
      </c>
      <c r="E5">
        <v>40</v>
      </c>
      <c r="F5">
        <v>20</v>
      </c>
    </row>
    <row r="6" spans="2:7" x14ac:dyDescent="0.2">
      <c r="B6">
        <v>4</v>
      </c>
      <c r="C6">
        <v>40</v>
      </c>
      <c r="D6">
        <v>10</v>
      </c>
      <c r="E6">
        <v>20</v>
      </c>
      <c r="F6">
        <v>20</v>
      </c>
    </row>
    <row r="7" spans="2:7" x14ac:dyDescent="0.2">
      <c r="B7">
        <v>5</v>
      </c>
      <c r="C7">
        <v>40</v>
      </c>
      <c r="D7">
        <v>20</v>
      </c>
      <c r="E7">
        <v>0</v>
      </c>
      <c r="F7">
        <v>10</v>
      </c>
      <c r="G7">
        <v>10</v>
      </c>
    </row>
    <row r="8" spans="2:7" x14ac:dyDescent="0.2">
      <c r="B8">
        <v>6</v>
      </c>
      <c r="C8">
        <v>50</v>
      </c>
      <c r="D8">
        <v>50</v>
      </c>
      <c r="E8">
        <v>50</v>
      </c>
      <c r="F8">
        <v>50</v>
      </c>
    </row>
    <row r="9" spans="2:7" x14ac:dyDescent="0.2">
      <c r="B9">
        <v>7</v>
      </c>
      <c r="C9">
        <v>50</v>
      </c>
      <c r="D9">
        <v>80</v>
      </c>
      <c r="E9">
        <v>10</v>
      </c>
      <c r="F9">
        <v>20</v>
      </c>
    </row>
    <row r="10" spans="2:7" x14ac:dyDescent="0.2">
      <c r="B10">
        <v>8</v>
      </c>
      <c r="C10">
        <v>25</v>
      </c>
      <c r="D10">
        <v>10</v>
      </c>
      <c r="E10">
        <v>20</v>
      </c>
    </row>
    <row r="11" spans="2:7" x14ac:dyDescent="0.2">
      <c r="B11">
        <v>9</v>
      </c>
      <c r="C11">
        <v>25</v>
      </c>
      <c r="D11">
        <v>65</v>
      </c>
      <c r="E11">
        <v>100</v>
      </c>
      <c r="F11">
        <v>100</v>
      </c>
    </row>
    <row r="12" spans="2:7" x14ac:dyDescent="0.2">
      <c r="B12">
        <v>10</v>
      </c>
      <c r="C12">
        <v>50</v>
      </c>
      <c r="D12">
        <v>50</v>
      </c>
      <c r="E12">
        <v>20</v>
      </c>
      <c r="F12">
        <v>20</v>
      </c>
    </row>
    <row r="13" spans="2:7" x14ac:dyDescent="0.2">
      <c r="B13">
        <v>11</v>
      </c>
      <c r="C13">
        <v>80</v>
      </c>
      <c r="D13">
        <v>10</v>
      </c>
      <c r="E13">
        <v>100</v>
      </c>
      <c r="F13">
        <v>40</v>
      </c>
    </row>
    <row r="14" spans="2:7" x14ac:dyDescent="0.2">
      <c r="B14">
        <v>12</v>
      </c>
      <c r="C14">
        <v>50</v>
      </c>
      <c r="D14">
        <v>60</v>
      </c>
      <c r="E14">
        <v>80</v>
      </c>
      <c r="F14">
        <v>20</v>
      </c>
    </row>
    <row r="15" spans="2:7" ht="15" customHeight="1" x14ac:dyDescent="0.2">
      <c r="B15">
        <v>13</v>
      </c>
      <c r="C15">
        <v>100</v>
      </c>
      <c r="D15">
        <v>10</v>
      </c>
      <c r="E15">
        <v>100</v>
      </c>
      <c r="F15">
        <v>20</v>
      </c>
      <c r="G15">
        <v>10</v>
      </c>
    </row>
    <row r="16" spans="2:7" x14ac:dyDescent="0.2">
      <c r="B16">
        <v>14</v>
      </c>
      <c r="C16">
        <v>5</v>
      </c>
      <c r="D16">
        <v>40</v>
      </c>
      <c r="E16">
        <v>70</v>
      </c>
    </row>
    <row r="17" spans="2:7" x14ac:dyDescent="0.2">
      <c r="B17">
        <v>15</v>
      </c>
      <c r="C17" s="8">
        <v>250</v>
      </c>
      <c r="D17">
        <v>50</v>
      </c>
      <c r="E17">
        <v>10</v>
      </c>
      <c r="F17">
        <v>30</v>
      </c>
    </row>
    <row r="18" spans="2:7" x14ac:dyDescent="0.2">
      <c r="B18">
        <v>16</v>
      </c>
      <c r="C18">
        <v>40</v>
      </c>
      <c r="D18">
        <v>10</v>
      </c>
      <c r="E18">
        <v>10</v>
      </c>
      <c r="F18">
        <v>40</v>
      </c>
    </row>
    <row r="19" spans="2:7" x14ac:dyDescent="0.2">
      <c r="B19">
        <v>17</v>
      </c>
      <c r="C19">
        <v>100</v>
      </c>
      <c r="D19">
        <v>70</v>
      </c>
      <c r="E19">
        <v>40</v>
      </c>
      <c r="F19">
        <v>50</v>
      </c>
      <c r="G19">
        <v>50</v>
      </c>
    </row>
    <row r="20" spans="2:7" x14ac:dyDescent="0.2">
      <c r="B20">
        <v>18</v>
      </c>
      <c r="C20">
        <v>60</v>
      </c>
      <c r="D20">
        <v>20</v>
      </c>
      <c r="E20">
        <v>20</v>
      </c>
      <c r="F20">
        <v>10</v>
      </c>
    </row>
    <row r="21" spans="2:7" x14ac:dyDescent="0.2">
      <c r="B21">
        <v>19</v>
      </c>
      <c r="C21">
        <v>100</v>
      </c>
      <c r="D21">
        <v>50</v>
      </c>
      <c r="E21">
        <v>40</v>
      </c>
      <c r="F21">
        <v>20</v>
      </c>
    </row>
    <row r="22" spans="2:7" x14ac:dyDescent="0.2">
      <c r="B22">
        <v>20</v>
      </c>
      <c r="C22">
        <v>40</v>
      </c>
      <c r="D22">
        <v>10</v>
      </c>
      <c r="E22">
        <v>20</v>
      </c>
    </row>
    <row r="24" spans="2:7" x14ac:dyDescent="0.2">
      <c r="B24" t="s">
        <v>125</v>
      </c>
      <c r="C24">
        <f>AVERAGE(C3:C22)</f>
        <v>60.75</v>
      </c>
      <c r="D24">
        <f>AVERAGE(D3:D22)</f>
        <v>35.75</v>
      </c>
      <c r="E24">
        <f>AVERAGE(E3:E22)</f>
        <v>40.5</v>
      </c>
      <c r="F24">
        <f>AVERAGE(F3:F22)</f>
        <v>30.625</v>
      </c>
    </row>
    <row r="25" spans="2:7" x14ac:dyDescent="0.2">
      <c r="B25" t="s">
        <v>126</v>
      </c>
      <c r="C25">
        <f>(STDEV(C3:C22))/(SQRT(COUNT(C3:C22)))</f>
        <v>11.569441373040036</v>
      </c>
      <c r="D25">
        <f>(STDEV(D3:D22))/(SQRT(COUNT(D3:D22)))</f>
        <v>5.322185443474968</v>
      </c>
      <c r="E25">
        <f>(STDEV(E3:E22))/(SQRT(COUNT(E3:E22)))</f>
        <v>7.2719721497932328</v>
      </c>
      <c r="F25">
        <f>(STDEV(F3:F22))/(SQRT(COUNT(F3:F22)))</f>
        <v>5.587840220812808</v>
      </c>
    </row>
    <row r="34" spans="2:3" x14ac:dyDescent="0.2">
      <c r="B34" s="17" t="s">
        <v>133</v>
      </c>
      <c r="C34" s="18" t="s">
        <v>134</v>
      </c>
    </row>
    <row r="35" spans="2:3" x14ac:dyDescent="0.2">
      <c r="B35" s="17" t="s">
        <v>135</v>
      </c>
      <c r="C35" s="18">
        <v>32.364575700000003</v>
      </c>
    </row>
    <row r="36" spans="2:3" x14ac:dyDescent="0.2">
      <c r="B36" s="17" t="s">
        <v>136</v>
      </c>
      <c r="C36" s="18">
        <v>29.116675099999998</v>
      </c>
    </row>
    <row r="37" spans="2:3" x14ac:dyDescent="0.2">
      <c r="B37" s="17" t="s">
        <v>137</v>
      </c>
      <c r="C37" s="18">
        <v>36.214692300000003</v>
      </c>
    </row>
    <row r="38" spans="2:3" x14ac:dyDescent="0.2">
      <c r="B38" s="17" t="s">
        <v>138</v>
      </c>
      <c r="C38" s="18">
        <v>27.010436899999998</v>
      </c>
    </row>
    <row r="39" spans="2:3" x14ac:dyDescent="0.2">
      <c r="B39" s="17" t="s">
        <v>139</v>
      </c>
      <c r="C39" s="18">
        <v>28.9024413</v>
      </c>
    </row>
    <row r="40" spans="2:3" x14ac:dyDescent="0.2">
      <c r="B40" s="17" t="s">
        <v>140</v>
      </c>
      <c r="C40" s="18">
        <v>26.500795199999999</v>
      </c>
    </row>
    <row r="41" spans="2:3" x14ac:dyDescent="0.2">
      <c r="B41" s="17" t="s">
        <v>141</v>
      </c>
      <c r="C41" s="18">
        <v>24.334915500000001</v>
      </c>
    </row>
    <row r="42" spans="2:3" x14ac:dyDescent="0.2">
      <c r="B42" s="17" t="s">
        <v>142</v>
      </c>
      <c r="C42" s="18">
        <v>30.888936999999999</v>
      </c>
    </row>
    <row r="43" spans="2:3" x14ac:dyDescent="0.2">
      <c r="B43" s="17" t="s">
        <v>143</v>
      </c>
      <c r="C43" s="18">
        <v>34.741935499999997</v>
      </c>
    </row>
    <row r="44" spans="2:3" x14ac:dyDescent="0.2">
      <c r="B44" s="17" t="s">
        <v>144</v>
      </c>
      <c r="C44" s="18">
        <v>35.1135272</v>
      </c>
    </row>
    <row r="45" spans="2:3" x14ac:dyDescent="0.2">
      <c r="B45" s="17" t="s">
        <v>145</v>
      </c>
      <c r="C45" s="18">
        <v>34.314341200000001</v>
      </c>
    </row>
    <row r="46" spans="2:3" x14ac:dyDescent="0.2">
      <c r="B46" s="17" t="s">
        <v>146</v>
      </c>
      <c r="C46" s="18">
        <v>38.754476599999997</v>
      </c>
    </row>
    <row r="47" spans="2:3" x14ac:dyDescent="0.2">
      <c r="B47" s="17" t="s">
        <v>147</v>
      </c>
      <c r="C47" s="18">
        <v>32.845468400000001</v>
      </c>
    </row>
    <row r="48" spans="2:3" x14ac:dyDescent="0.2">
      <c r="B48" s="17" t="s">
        <v>148</v>
      </c>
      <c r="C48" s="18">
        <v>27.964099399999998</v>
      </c>
    </row>
    <row r="49" spans="2:3" x14ac:dyDescent="0.2">
      <c r="B49" s="17" t="s">
        <v>149</v>
      </c>
      <c r="C49" s="18">
        <v>31.6883661</v>
      </c>
    </row>
    <row r="50" spans="2:3" x14ac:dyDescent="0.2">
      <c r="B50" s="17" t="s">
        <v>150</v>
      </c>
      <c r="C50" s="18">
        <v>31.133697000000002</v>
      </c>
    </row>
    <row r="51" spans="2:3" x14ac:dyDescent="0.2">
      <c r="B51" s="17" t="s">
        <v>151</v>
      </c>
      <c r="C51" s="18">
        <v>25.4226147</v>
      </c>
    </row>
    <row r="52" spans="2:3" x14ac:dyDescent="0.2">
      <c r="B52" s="17" t="s">
        <v>152</v>
      </c>
      <c r="C52" s="18">
        <v>27.625469599999999</v>
      </c>
    </row>
    <row r="53" spans="2:3" x14ac:dyDescent="0.2">
      <c r="B53" s="17" t="s">
        <v>153</v>
      </c>
      <c r="C53" s="18">
        <v>32.5876625</v>
      </c>
    </row>
    <row r="54" spans="2:3" x14ac:dyDescent="0.2">
      <c r="B54" s="17" t="s">
        <v>154</v>
      </c>
      <c r="C54" s="18">
        <v>30.1064753</v>
      </c>
    </row>
    <row r="55" spans="2:3" x14ac:dyDescent="0.2">
      <c r="B55" s="17" t="s">
        <v>155</v>
      </c>
      <c r="C55" s="18">
        <v>30.264090499999998</v>
      </c>
    </row>
    <row r="56" spans="2:3" x14ac:dyDescent="0.2">
      <c r="B56" s="17" t="s">
        <v>156</v>
      </c>
      <c r="C56" s="18">
        <v>25.267695</v>
      </c>
    </row>
    <row r="57" spans="2:3" x14ac:dyDescent="0.2">
      <c r="B57" s="17" t="s">
        <v>157</v>
      </c>
      <c r="C57" s="18">
        <v>31.611901</v>
      </c>
    </row>
    <row r="58" spans="2:3" x14ac:dyDescent="0.2">
      <c r="B58" s="17" t="s">
        <v>158</v>
      </c>
      <c r="C58" s="18">
        <v>25.4976238</v>
      </c>
    </row>
    <row r="59" spans="2:3" x14ac:dyDescent="0.2">
      <c r="B59" s="17" t="s">
        <v>159</v>
      </c>
      <c r="C59" s="18">
        <v>22.031535000000002</v>
      </c>
    </row>
    <row r="60" spans="2:3" x14ac:dyDescent="0.2">
      <c r="B60" s="17" t="s">
        <v>160</v>
      </c>
      <c r="C60" s="18">
        <v>26.403166299999999</v>
      </c>
    </row>
    <row r="61" spans="2:3" x14ac:dyDescent="0.2">
      <c r="C61">
        <f>AVERAGE(C35:C60)</f>
        <v>29.95029284999999</v>
      </c>
    </row>
    <row r="62" spans="2:3" x14ac:dyDescent="0.2">
      <c r="C62">
        <f>(STDEV(C35:C60))/(SQRT(COUNT(C35:C60)))</f>
        <v>0.79954933039516118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Raw Disinfection Data</vt:lpstr>
      <vt:lpstr>Raw Disinfection Data with dilu</vt:lpstr>
      <vt:lpstr>Simplified</vt:lpstr>
      <vt:lpstr>Simplified with dilution</vt:lpstr>
      <vt:lpstr>WHO Table</vt:lpstr>
      <vt:lpstr>Silver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Courtney Hill</dc:creator>
  <cp:lastModifiedBy>Courtney Hill</cp:lastModifiedBy>
  <dcterms:created xsi:type="dcterms:W3CDTF">2020-04-13T16:55:43Z</dcterms:created>
  <dcterms:modified xsi:type="dcterms:W3CDTF">2020-07-06T18:37:55Z</dcterms:modified>
</cp:coreProperties>
</file>