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3.xml" ContentType="application/vnd.openxmlformats-officedocument.drawing+xml"/>
  <Override PartName="/xl/comments3.xml" ContentType="application/vnd.openxmlformats-officedocument.spreadsheetml.comments+xml"/>
  <Override PartName="/xl/charts/chart18.xml" ContentType="application/vnd.openxmlformats-officedocument.drawingml.chart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cc2/Documents/"/>
    </mc:Choice>
  </mc:AlternateContent>
  <xr:revisionPtr revIDLastSave="0" documentId="13_ncr:1_{B8034699-3F55-0241-80E9-DA74D29D50E1}" xr6:coauthVersionLast="36" xr6:coauthVersionMax="36" xr10:uidLastSave="{00000000-0000-0000-0000-000000000000}"/>
  <bookViews>
    <workbookView xWindow="11700" yWindow="460" windowWidth="16580" windowHeight="17540" activeTab="2" xr2:uid="{53995812-47E5-CE4D-86EB-3AFBB8552B65}"/>
  </bookViews>
  <sheets>
    <sheet name="parallel circ. 4.5V" sheetId="16" r:id="rId1"/>
    <sheet name="parallell circuit 9V" sheetId="15" r:id="rId2"/>
    <sheet name="wire length" sheetId="14" r:id="rId3"/>
    <sheet name="Silver + Copper disinfection" sheetId="13" r:id="rId4"/>
    <sheet name="Wire depth" sheetId="12" r:id="rId5"/>
    <sheet name="silver diameter" sheetId="7" r:id="rId6"/>
    <sheet name="Silver disfinection" sheetId="9" r:id="rId7"/>
    <sheet name="Log reduction table" sheetId="11" r:id="rId8"/>
    <sheet name="Silver longevity" sheetId="10" r:id="rId9"/>
    <sheet name="Copper disinfectoin" sheetId="8" r:id="rId10"/>
    <sheet name="Cu time to ppb" sheetId="6" r:id="rId11"/>
    <sheet name="Silver time to ppb" sheetId="5" r:id="rId12"/>
    <sheet name="Cu ionic strength" sheetId="4" r:id="rId13"/>
    <sheet name="Cu diameter" sheetId="3" r:id="rId14"/>
    <sheet name="Ag Ionic Strength" sheetId="2" r:id="rId15"/>
  </sheets>
  <externalReferences>
    <externalReference r:id="rId16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4" i="6" l="1"/>
  <c r="Q18" i="14"/>
  <c r="Q17" i="14"/>
  <c r="E7" i="15" l="1"/>
  <c r="F15" i="15"/>
  <c r="F13" i="15"/>
  <c r="F14" i="15"/>
  <c r="F12" i="15"/>
  <c r="E13" i="15"/>
  <c r="E14" i="15"/>
  <c r="E15" i="15"/>
  <c r="E12" i="15"/>
  <c r="E5" i="15"/>
  <c r="E6" i="15"/>
  <c r="E4" i="15"/>
  <c r="F15" i="16" l="1"/>
  <c r="E15" i="16"/>
  <c r="F14" i="16"/>
  <c r="E14" i="16"/>
  <c r="F13" i="16"/>
  <c r="E13" i="16"/>
  <c r="F12" i="16"/>
  <c r="E12" i="16"/>
  <c r="F7" i="15"/>
  <c r="F6" i="15"/>
  <c r="F5" i="15"/>
  <c r="F4" i="15"/>
  <c r="D19" i="14"/>
  <c r="D18" i="14"/>
  <c r="D17" i="14"/>
  <c r="D16" i="14"/>
  <c r="D15" i="14"/>
  <c r="D14" i="14"/>
  <c r="D13" i="14"/>
  <c r="D12" i="14"/>
  <c r="D11" i="14"/>
  <c r="D10" i="14"/>
  <c r="D9" i="14"/>
  <c r="L8" i="14"/>
  <c r="K8" i="14"/>
  <c r="D8" i="14"/>
  <c r="L7" i="14"/>
  <c r="K7" i="14"/>
  <c r="D7" i="14"/>
  <c r="L6" i="14"/>
  <c r="K6" i="14"/>
  <c r="D6" i="14"/>
  <c r="L5" i="14"/>
  <c r="D5" i="14"/>
  <c r="L4" i="14"/>
  <c r="K4" i="14"/>
  <c r="D4" i="14"/>
  <c r="L3" i="14"/>
  <c r="K3" i="14"/>
  <c r="D3" i="14"/>
  <c r="D2" i="14"/>
  <c r="G4" i="13" l="1"/>
  <c r="H3" i="13" s="1"/>
  <c r="B59" i="13" s="1"/>
  <c r="G6" i="13"/>
  <c r="H5" i="13" s="1"/>
  <c r="B60" i="13" s="1"/>
  <c r="G8" i="13"/>
  <c r="H7" i="13" s="1"/>
  <c r="B61" i="13" s="1"/>
  <c r="G10" i="13"/>
  <c r="H9" i="13" s="1"/>
  <c r="B62" i="13" s="1"/>
  <c r="G13" i="13"/>
  <c r="H11" i="13" s="1"/>
  <c r="D59" i="13" s="1"/>
  <c r="G15" i="13"/>
  <c r="H14" i="13" s="1"/>
  <c r="D60" i="13" s="1"/>
  <c r="H17" i="13"/>
  <c r="H20" i="13"/>
  <c r="G34" i="13"/>
  <c r="H32" i="13" s="1"/>
  <c r="F59" i="13" s="1"/>
  <c r="G35" i="13"/>
  <c r="H35" i="13"/>
  <c r="F60" i="13" s="1"/>
  <c r="H38" i="13"/>
  <c r="H41" i="13"/>
  <c r="E61" i="13" l="1"/>
  <c r="E59" i="13"/>
  <c r="E62" i="13"/>
  <c r="E60" i="13"/>
  <c r="G59" i="13"/>
  <c r="G60" i="13"/>
  <c r="G61" i="13"/>
  <c r="G62" i="13"/>
  <c r="C62" i="13"/>
  <c r="C59" i="13"/>
  <c r="C60" i="13"/>
  <c r="C61" i="13"/>
  <c r="E5" i="12"/>
  <c r="F5" i="12"/>
  <c r="J5" i="12"/>
  <c r="K5" i="12"/>
  <c r="O5" i="12"/>
  <c r="P5" i="12"/>
  <c r="E6" i="12"/>
  <c r="F6" i="12"/>
  <c r="J6" i="12"/>
  <c r="K6" i="12"/>
  <c r="O6" i="12"/>
  <c r="P6" i="12"/>
  <c r="E7" i="12"/>
  <c r="F7" i="12"/>
  <c r="J7" i="12"/>
  <c r="K7" i="12"/>
  <c r="O7" i="12"/>
  <c r="P7" i="12"/>
  <c r="E8" i="12"/>
  <c r="F8" i="12"/>
  <c r="J8" i="12"/>
  <c r="K8" i="12"/>
  <c r="O8" i="12"/>
  <c r="P8" i="12"/>
  <c r="H60" i="13" l="1"/>
  <c r="I60" i="13"/>
  <c r="I62" i="13"/>
  <c r="H62" i="13"/>
  <c r="H59" i="13"/>
  <c r="I59" i="13"/>
  <c r="H61" i="13"/>
  <c r="I61" i="13"/>
  <c r="O14" i="10"/>
  <c r="G35" i="10"/>
  <c r="F35" i="10"/>
  <c r="H35" i="10"/>
  <c r="I35" i="10"/>
  <c r="G34" i="10"/>
  <c r="F34" i="10"/>
  <c r="H34" i="10"/>
  <c r="I34" i="10"/>
  <c r="G33" i="10"/>
  <c r="F33" i="10"/>
  <c r="H33" i="10"/>
  <c r="I33" i="10"/>
  <c r="G32" i="10"/>
  <c r="F32" i="10"/>
  <c r="H32" i="10"/>
  <c r="I32" i="10"/>
  <c r="G31" i="10"/>
  <c r="F31" i="10"/>
  <c r="H31" i="10"/>
  <c r="I31" i="10"/>
  <c r="G30" i="10"/>
  <c r="F30" i="10"/>
  <c r="H30" i="10"/>
  <c r="I30" i="10"/>
  <c r="G29" i="10"/>
  <c r="F29" i="10"/>
  <c r="H29" i="10"/>
  <c r="I29" i="10"/>
  <c r="G28" i="10"/>
  <c r="F28" i="10"/>
  <c r="H28" i="10"/>
  <c r="I28" i="10"/>
  <c r="G27" i="10"/>
  <c r="F27" i="10"/>
  <c r="H27" i="10"/>
  <c r="I27" i="10"/>
  <c r="G26" i="10"/>
  <c r="F26" i="10"/>
  <c r="H26" i="10"/>
  <c r="I26" i="10"/>
  <c r="G25" i="10"/>
  <c r="F25" i="10"/>
  <c r="H25" i="10"/>
  <c r="I25" i="10"/>
  <c r="G24" i="10"/>
  <c r="F24" i="10"/>
  <c r="H24" i="10"/>
  <c r="I24" i="10"/>
  <c r="G23" i="10"/>
  <c r="F23" i="10"/>
  <c r="H23" i="10"/>
  <c r="I23" i="10"/>
  <c r="G20" i="10"/>
  <c r="F20" i="10"/>
  <c r="H20" i="10"/>
  <c r="I20" i="10"/>
  <c r="G19" i="10"/>
  <c r="F19" i="10"/>
  <c r="H19" i="10"/>
  <c r="I19" i="10"/>
  <c r="G18" i="10"/>
  <c r="F18" i="10"/>
  <c r="H18" i="10"/>
  <c r="I18" i="10"/>
  <c r="G17" i="10"/>
  <c r="F17" i="10"/>
  <c r="H17" i="10"/>
  <c r="I17" i="10"/>
  <c r="M16" i="10"/>
  <c r="O16" i="10"/>
  <c r="G16" i="10"/>
  <c r="F16" i="10"/>
  <c r="H16" i="10"/>
  <c r="I16" i="10"/>
  <c r="M15" i="10"/>
  <c r="N15" i="10"/>
  <c r="P15" i="10"/>
  <c r="O15" i="10"/>
  <c r="G15" i="10"/>
  <c r="F15" i="10"/>
  <c r="H15" i="10"/>
  <c r="I15" i="10"/>
  <c r="M14" i="10"/>
  <c r="N14" i="10"/>
  <c r="P14" i="10"/>
  <c r="G14" i="10"/>
  <c r="F14" i="10"/>
  <c r="H14" i="10"/>
  <c r="I14" i="10"/>
  <c r="M13" i="10"/>
  <c r="N13" i="10"/>
  <c r="P13" i="10"/>
  <c r="O13" i="10"/>
  <c r="G13" i="10"/>
  <c r="F13" i="10"/>
  <c r="H13" i="10"/>
  <c r="I13" i="10"/>
  <c r="M12" i="10"/>
  <c r="N12" i="10"/>
  <c r="P12" i="10"/>
  <c r="O12" i="10"/>
  <c r="G12" i="10"/>
  <c r="F12" i="10"/>
  <c r="H12" i="10"/>
  <c r="I12" i="10"/>
  <c r="M11" i="10"/>
  <c r="N11" i="10"/>
  <c r="P11" i="10"/>
  <c r="O11" i="10"/>
  <c r="G11" i="10"/>
  <c r="F11" i="10"/>
  <c r="H11" i="10"/>
  <c r="I11" i="10"/>
  <c r="M10" i="10"/>
  <c r="N10" i="10"/>
  <c r="P10" i="10"/>
  <c r="O10" i="10"/>
  <c r="G10" i="10"/>
  <c r="F10" i="10"/>
  <c r="H10" i="10"/>
  <c r="I10" i="10"/>
  <c r="M9" i="10"/>
  <c r="N9" i="10"/>
  <c r="P9" i="10"/>
  <c r="O9" i="10"/>
  <c r="G9" i="10"/>
  <c r="F9" i="10"/>
  <c r="H9" i="10"/>
  <c r="I9" i="10"/>
  <c r="M8" i="10"/>
  <c r="N8" i="10"/>
  <c r="P8" i="10"/>
  <c r="O8" i="10"/>
  <c r="G8" i="10"/>
  <c r="F8" i="10"/>
  <c r="H8" i="10"/>
  <c r="I8" i="10"/>
  <c r="M7" i="10"/>
  <c r="N7" i="10"/>
  <c r="P7" i="10"/>
  <c r="O7" i="10"/>
  <c r="G7" i="10"/>
  <c r="F7" i="10"/>
  <c r="H7" i="10"/>
  <c r="I7" i="10"/>
  <c r="M6" i="10"/>
  <c r="N6" i="10"/>
  <c r="P6" i="10"/>
  <c r="O6" i="10"/>
  <c r="G6" i="10"/>
  <c r="F6" i="10"/>
  <c r="H6" i="10"/>
  <c r="I6" i="10"/>
  <c r="M5" i="10"/>
  <c r="N5" i="10"/>
  <c r="P5" i="10"/>
  <c r="O5" i="10"/>
  <c r="G5" i="10"/>
  <c r="F5" i="10"/>
  <c r="H5" i="10"/>
  <c r="I5" i="10"/>
  <c r="M4" i="10"/>
  <c r="N4" i="10"/>
  <c r="P4" i="10"/>
  <c r="O4" i="10"/>
  <c r="G4" i="10"/>
  <c r="F4" i="10"/>
  <c r="H4" i="10"/>
  <c r="I4" i="10"/>
  <c r="G3" i="10"/>
  <c r="F3" i="10"/>
  <c r="H3" i="10"/>
  <c r="I3" i="10"/>
  <c r="M3" i="10"/>
  <c r="N3" i="10"/>
  <c r="P3" i="10"/>
  <c r="O3" i="10"/>
  <c r="G3" i="9"/>
  <c r="G4" i="9"/>
  <c r="H3" i="9"/>
  <c r="T3" i="9"/>
  <c r="U3" i="9"/>
  <c r="T4" i="9"/>
  <c r="U4" i="9"/>
  <c r="G6" i="9"/>
  <c r="H5" i="9"/>
  <c r="T5" i="9"/>
  <c r="U5" i="9"/>
  <c r="T7" i="9"/>
  <c r="U6" i="9"/>
  <c r="G8" i="9"/>
  <c r="H7" i="9"/>
  <c r="T10" i="9"/>
  <c r="U8" i="9"/>
  <c r="G10" i="9"/>
  <c r="H9" i="9"/>
  <c r="G12" i="9"/>
  <c r="G13" i="9"/>
  <c r="H11" i="9"/>
  <c r="T12" i="9"/>
  <c r="U11" i="9"/>
  <c r="G16" i="9"/>
  <c r="H14" i="9"/>
  <c r="U14" i="9"/>
  <c r="G19" i="9"/>
  <c r="H17" i="9"/>
  <c r="T18" i="9"/>
  <c r="U17" i="9"/>
  <c r="G22" i="9"/>
  <c r="H20" i="9"/>
  <c r="T21" i="9"/>
  <c r="T22" i="9"/>
  <c r="U20" i="9"/>
  <c r="G25" i="9"/>
  <c r="H23" i="9"/>
  <c r="T23" i="9"/>
  <c r="U23" i="9"/>
  <c r="G27" i="9"/>
  <c r="G28" i="9"/>
  <c r="H26" i="9"/>
  <c r="U26" i="9"/>
  <c r="G31" i="9"/>
  <c r="H29" i="9"/>
  <c r="H32" i="9"/>
  <c r="O32" i="9"/>
  <c r="P32" i="9"/>
  <c r="Q32" i="9"/>
  <c r="R32" i="9"/>
  <c r="S32" i="9"/>
  <c r="T32" i="9"/>
  <c r="U32" i="9"/>
  <c r="Q33" i="9"/>
  <c r="R33" i="9"/>
  <c r="S33" i="9"/>
  <c r="T33" i="9"/>
  <c r="U33" i="9"/>
  <c r="O34" i="9"/>
  <c r="P34" i="9"/>
  <c r="Q34" i="9"/>
  <c r="R34" i="9"/>
  <c r="S34" i="9"/>
  <c r="T34" i="9"/>
  <c r="U34" i="9"/>
  <c r="G37" i="9"/>
  <c r="H35" i="9"/>
  <c r="O35" i="9"/>
  <c r="P35" i="9"/>
  <c r="R35" i="9"/>
  <c r="T35" i="9"/>
  <c r="U35" i="9"/>
  <c r="G40" i="9"/>
  <c r="H38" i="9"/>
  <c r="G43" i="9"/>
  <c r="H41" i="9"/>
  <c r="N41" i="9"/>
  <c r="N42" i="9"/>
  <c r="N43" i="9"/>
  <c r="G46" i="9"/>
  <c r="H44" i="9"/>
  <c r="N44" i="9"/>
  <c r="G49" i="9"/>
  <c r="H47" i="9"/>
  <c r="G52" i="9"/>
  <c r="H50" i="9"/>
  <c r="B59" i="9"/>
  <c r="C59" i="9"/>
  <c r="D59" i="9"/>
  <c r="E59" i="9"/>
  <c r="F59" i="9"/>
  <c r="D60" i="9"/>
  <c r="E60" i="9"/>
  <c r="F60" i="9"/>
  <c r="G60" i="9"/>
  <c r="B61" i="9"/>
  <c r="C61" i="9"/>
  <c r="D61" i="9"/>
  <c r="E61" i="9"/>
  <c r="F61" i="9"/>
  <c r="G61" i="9"/>
  <c r="D62" i="9"/>
  <c r="E62" i="9"/>
  <c r="F62" i="9"/>
  <c r="G62" i="9"/>
  <c r="B63" i="9"/>
  <c r="C63" i="9"/>
  <c r="D63" i="9"/>
  <c r="E63" i="9"/>
  <c r="F63" i="9"/>
  <c r="G63" i="9"/>
  <c r="D64" i="9"/>
  <c r="E64" i="9"/>
  <c r="F64" i="9"/>
  <c r="G64" i="9"/>
  <c r="B65" i="9"/>
  <c r="C65" i="9"/>
  <c r="D65" i="9"/>
  <c r="E65" i="9"/>
  <c r="F65" i="9"/>
  <c r="G65" i="9"/>
  <c r="D57" i="8"/>
  <c r="D56" i="8"/>
  <c r="D55" i="8"/>
  <c r="D54" i="8"/>
  <c r="E51" i="8"/>
  <c r="E50" i="8"/>
  <c r="E49" i="8"/>
  <c r="E48" i="8"/>
  <c r="G45" i="8"/>
  <c r="E45" i="8"/>
  <c r="C45" i="8"/>
  <c r="G44" i="8"/>
  <c r="E44" i="8"/>
  <c r="C44" i="8"/>
  <c r="G43" i="8"/>
  <c r="E43" i="8"/>
  <c r="C43" i="8"/>
  <c r="G42" i="8"/>
  <c r="E42" i="8"/>
  <c r="C42" i="8"/>
  <c r="H33" i="8"/>
  <c r="H30" i="8"/>
  <c r="H27" i="8"/>
  <c r="H25" i="8"/>
  <c r="H22" i="8"/>
  <c r="H19" i="8"/>
  <c r="H16" i="8"/>
  <c r="H14" i="8"/>
  <c r="H11" i="8"/>
  <c r="H5" i="8"/>
  <c r="H3" i="8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29" i="7"/>
  <c r="D28" i="7"/>
  <c r="D27" i="7"/>
  <c r="D26" i="7"/>
  <c r="D25" i="7"/>
  <c r="D24" i="7"/>
  <c r="D23" i="7"/>
  <c r="D22" i="7"/>
  <c r="D21" i="7"/>
  <c r="I20" i="7"/>
  <c r="H20" i="7"/>
  <c r="G20" i="7"/>
  <c r="D20" i="7"/>
  <c r="I19" i="7"/>
  <c r="H19" i="7"/>
  <c r="G19" i="7"/>
  <c r="D19" i="7"/>
  <c r="I18" i="7"/>
  <c r="H18" i="7"/>
  <c r="G18" i="7"/>
  <c r="D18" i="7"/>
  <c r="I17" i="7"/>
  <c r="H17" i="7"/>
  <c r="G17" i="7"/>
  <c r="D17" i="7"/>
  <c r="I16" i="7"/>
  <c r="H16" i="7"/>
  <c r="G16" i="7"/>
  <c r="D16" i="7"/>
  <c r="I15" i="7"/>
  <c r="H15" i="7"/>
  <c r="G15" i="7"/>
  <c r="D15" i="7"/>
  <c r="I14" i="7"/>
  <c r="H14" i="7"/>
  <c r="G14" i="7"/>
  <c r="D14" i="7"/>
  <c r="D13" i="7"/>
  <c r="D12" i="7"/>
  <c r="D11" i="7"/>
  <c r="D10" i="7"/>
  <c r="T9" i="7"/>
  <c r="O9" i="7"/>
  <c r="J9" i="7"/>
  <c r="D9" i="7"/>
  <c r="T8" i="7"/>
  <c r="O8" i="7"/>
  <c r="J8" i="7"/>
  <c r="D8" i="7"/>
  <c r="T7" i="7"/>
  <c r="O7" i="7"/>
  <c r="J7" i="7"/>
  <c r="D7" i="7"/>
  <c r="T6" i="7"/>
  <c r="O6" i="7"/>
  <c r="J6" i="7"/>
  <c r="D6" i="7"/>
  <c r="T5" i="7"/>
  <c r="O5" i="7"/>
  <c r="J5" i="7"/>
  <c r="D5" i="7"/>
  <c r="T4" i="7"/>
  <c r="O4" i="7"/>
  <c r="J4" i="7"/>
  <c r="D4" i="7"/>
  <c r="T3" i="7"/>
  <c r="O3" i="7"/>
  <c r="J3" i="7"/>
  <c r="D3" i="7"/>
  <c r="D2" i="7"/>
  <c r="T20" i="6"/>
  <c r="S13" i="6"/>
  <c r="R13" i="6"/>
  <c r="Q13" i="6"/>
  <c r="T23" i="6"/>
  <c r="R12" i="6"/>
  <c r="Q12" i="6"/>
  <c r="T22" i="6"/>
  <c r="Q11" i="6"/>
  <c r="R10" i="6"/>
  <c r="Q10" i="6"/>
  <c r="T10" i="6"/>
  <c r="N10" i="6"/>
  <c r="W13" i="6"/>
  <c r="M10" i="6"/>
  <c r="V13" i="6"/>
  <c r="L10" i="6"/>
  <c r="U13" i="6"/>
  <c r="K10" i="6"/>
  <c r="J10" i="6"/>
  <c r="I10" i="6"/>
  <c r="R9" i="6"/>
  <c r="N9" i="6"/>
  <c r="W12" i="6"/>
  <c r="M9" i="6"/>
  <c r="V12" i="6"/>
  <c r="L9" i="6"/>
  <c r="U12" i="6"/>
  <c r="K9" i="6"/>
  <c r="S12" i="6"/>
  <c r="J9" i="6"/>
  <c r="I9" i="6"/>
  <c r="N8" i="6"/>
  <c r="W11" i="6"/>
  <c r="M8" i="6"/>
  <c r="V11" i="6"/>
  <c r="L8" i="6"/>
  <c r="U11" i="6"/>
  <c r="K8" i="6"/>
  <c r="S11" i="6"/>
  <c r="J8" i="6"/>
  <c r="R11" i="6"/>
  <c r="I8" i="6"/>
  <c r="S7" i="6"/>
  <c r="R7" i="6"/>
  <c r="N7" i="6"/>
  <c r="W10" i="6"/>
  <c r="M7" i="6"/>
  <c r="V10" i="6"/>
  <c r="L7" i="6"/>
  <c r="U10" i="6"/>
  <c r="J7" i="6"/>
  <c r="I7" i="6"/>
  <c r="W6" i="6"/>
  <c r="V6" i="6"/>
  <c r="X6" i="6"/>
  <c r="U6" i="6"/>
  <c r="R6" i="6"/>
  <c r="Q6" i="6"/>
  <c r="T6" i="6"/>
  <c r="N6" i="6"/>
  <c r="W9" i="6"/>
  <c r="M6" i="6"/>
  <c r="V9" i="6"/>
  <c r="L6" i="6"/>
  <c r="U9" i="6"/>
  <c r="K6" i="6"/>
  <c r="S9" i="6"/>
  <c r="J6" i="6"/>
  <c r="I6" i="6"/>
  <c r="Q9" i="6"/>
  <c r="N5" i="6"/>
  <c r="W8" i="6"/>
  <c r="M5" i="6"/>
  <c r="V8" i="6"/>
  <c r="L5" i="6"/>
  <c r="U8" i="6"/>
  <c r="K5" i="6"/>
  <c r="S8" i="6"/>
  <c r="J5" i="6"/>
  <c r="R8" i="6"/>
  <c r="I5" i="6"/>
  <c r="Q8" i="6"/>
  <c r="N4" i="6"/>
  <c r="W7" i="6"/>
  <c r="M4" i="6"/>
  <c r="V7" i="6"/>
  <c r="L4" i="6"/>
  <c r="U7" i="6"/>
  <c r="K4" i="6"/>
  <c r="J4" i="6"/>
  <c r="I4" i="6"/>
  <c r="Q7" i="6"/>
  <c r="N3" i="6"/>
  <c r="M3" i="6"/>
  <c r="L3" i="6"/>
  <c r="K3" i="6"/>
  <c r="S6" i="6"/>
  <c r="T16" i="6"/>
  <c r="U18" i="6"/>
  <c r="X8" i="6"/>
  <c r="X11" i="6"/>
  <c r="U21" i="6"/>
  <c r="T19" i="6"/>
  <c r="T9" i="6"/>
  <c r="T18" i="6"/>
  <c r="T8" i="6"/>
  <c r="T7" i="6"/>
  <c r="T17" i="6"/>
  <c r="X10" i="6"/>
  <c r="U20" i="6"/>
  <c r="X7" i="6"/>
  <c r="U17" i="6"/>
  <c r="T11" i="6"/>
  <c r="U23" i="6"/>
  <c r="X13" i="6"/>
  <c r="U19" i="6"/>
  <c r="X9" i="6"/>
  <c r="X12" i="6"/>
  <c r="U22" i="6"/>
  <c r="T21" i="6"/>
  <c r="T12" i="6"/>
  <c r="T13" i="6"/>
  <c r="U16" i="6"/>
  <c r="D2" i="4"/>
  <c r="D3" i="4"/>
  <c r="H4" i="4"/>
  <c r="I4" i="4"/>
  <c r="J4" i="4"/>
  <c r="K4" i="4"/>
  <c r="L4" i="4"/>
  <c r="M13" i="4"/>
  <c r="M4" i="4"/>
  <c r="N13" i="4"/>
  <c r="H5" i="4"/>
  <c r="I5" i="4"/>
  <c r="J5" i="4"/>
  <c r="K5" i="4"/>
  <c r="L14" i="4"/>
  <c r="L5" i="4"/>
  <c r="M14" i="4"/>
  <c r="M5" i="4"/>
  <c r="N14" i="4"/>
  <c r="H6" i="4"/>
  <c r="I6" i="4"/>
  <c r="J6" i="4"/>
  <c r="K6" i="4"/>
  <c r="L6" i="4"/>
  <c r="M6" i="4"/>
  <c r="H12" i="4"/>
  <c r="I12" i="4"/>
  <c r="K12" i="4"/>
  <c r="L12" i="4"/>
  <c r="K21" i="4"/>
  <c r="M12" i="4"/>
  <c r="S12" i="4"/>
  <c r="H13" i="4"/>
  <c r="J22" i="4"/>
  <c r="I13" i="4"/>
  <c r="J13" i="4"/>
  <c r="K13" i="4"/>
  <c r="L13" i="4"/>
  <c r="O13" i="4"/>
  <c r="P13" i="4"/>
  <c r="S13" i="4"/>
  <c r="H14" i="4"/>
  <c r="K14" i="4"/>
  <c r="I14" i="4"/>
  <c r="J23" i="4"/>
  <c r="J14" i="4"/>
  <c r="S14" i="4"/>
  <c r="H15" i="4"/>
  <c r="J24" i="4"/>
  <c r="I15" i="4"/>
  <c r="J15" i="4"/>
  <c r="L15" i="4"/>
  <c r="K24" i="4"/>
  <c r="M15" i="4"/>
  <c r="N15" i="4"/>
  <c r="O15" i="4"/>
  <c r="S15" i="4"/>
  <c r="J21" i="4"/>
  <c r="L21" i="4"/>
  <c r="L22" i="4"/>
  <c r="L23" i="4"/>
  <c r="L24" i="4"/>
  <c r="D27" i="4"/>
  <c r="D28" i="4"/>
  <c r="D29" i="4"/>
  <c r="D30" i="4"/>
  <c r="D31" i="4"/>
  <c r="D32" i="4"/>
  <c r="D33" i="4"/>
  <c r="D35" i="4"/>
  <c r="D36" i="4"/>
  <c r="D37" i="4"/>
  <c r="D38" i="4"/>
  <c r="D39" i="4"/>
  <c r="D40" i="4"/>
  <c r="D41" i="4"/>
  <c r="K23" i="4"/>
  <c r="O14" i="4"/>
  <c r="K22" i="4"/>
  <c r="K15" i="4"/>
  <c r="O12" i="4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5" i="3"/>
  <c r="P8" i="3"/>
  <c r="D24" i="3"/>
  <c r="D23" i="3"/>
  <c r="N8" i="3"/>
  <c r="D22" i="3"/>
  <c r="D21" i="3"/>
  <c r="O7" i="3"/>
  <c r="Q7" i="3"/>
  <c r="D20" i="3"/>
  <c r="D19" i="3"/>
  <c r="P6" i="3"/>
  <c r="D18" i="3"/>
  <c r="O6" i="3"/>
  <c r="Q6" i="3"/>
  <c r="D17" i="3"/>
  <c r="D16" i="3"/>
  <c r="D15" i="3"/>
  <c r="D14" i="3"/>
  <c r="N5" i="3"/>
  <c r="D13" i="3"/>
  <c r="H12" i="3"/>
  <c r="D12" i="3"/>
  <c r="O4" i="3"/>
  <c r="D11" i="3"/>
  <c r="N4" i="3"/>
  <c r="D10" i="3"/>
  <c r="Y9" i="3"/>
  <c r="V9" i="3"/>
  <c r="U9" i="3"/>
  <c r="T9" i="3"/>
  <c r="W9" i="3"/>
  <c r="S9" i="3"/>
  <c r="P9" i="3"/>
  <c r="O9" i="3"/>
  <c r="N9" i="3"/>
  <c r="R9" i="3"/>
  <c r="M9" i="3"/>
  <c r="L9" i="3"/>
  <c r="K9" i="3"/>
  <c r="J9" i="3"/>
  <c r="I9" i="3"/>
  <c r="H9" i="3"/>
  <c r="U25" i="3"/>
  <c r="D9" i="3"/>
  <c r="V8" i="3"/>
  <c r="U8" i="3"/>
  <c r="X8" i="3"/>
  <c r="T8" i="3"/>
  <c r="O8" i="3"/>
  <c r="L8" i="3"/>
  <c r="K8" i="3"/>
  <c r="J8" i="3"/>
  <c r="I8" i="3"/>
  <c r="H8" i="3"/>
  <c r="U24" i="3"/>
  <c r="D8" i="3"/>
  <c r="V7" i="3"/>
  <c r="U7" i="3"/>
  <c r="W23" i="3"/>
  <c r="T7" i="3"/>
  <c r="P7" i="3"/>
  <c r="N7" i="3"/>
  <c r="L7" i="3"/>
  <c r="K7" i="3"/>
  <c r="J7" i="3"/>
  <c r="I7" i="3"/>
  <c r="H7" i="3"/>
  <c r="U23" i="3"/>
  <c r="D7" i="3"/>
  <c r="V6" i="3"/>
  <c r="U6" i="3"/>
  <c r="X6" i="3"/>
  <c r="T6" i="3"/>
  <c r="N6" i="3"/>
  <c r="V22" i="3"/>
  <c r="L6" i="3"/>
  <c r="K6" i="3"/>
  <c r="J6" i="3"/>
  <c r="I6" i="3"/>
  <c r="H6" i="3"/>
  <c r="U22" i="3"/>
  <c r="D6" i="3"/>
  <c r="V5" i="3"/>
  <c r="U5" i="3"/>
  <c r="W21" i="3"/>
  <c r="T5" i="3"/>
  <c r="P5" i="3"/>
  <c r="O5" i="3"/>
  <c r="L5" i="3"/>
  <c r="K5" i="3"/>
  <c r="J5" i="3"/>
  <c r="I5" i="3"/>
  <c r="H5" i="3"/>
  <c r="U21" i="3"/>
  <c r="D5" i="3"/>
  <c r="V4" i="3"/>
  <c r="U4" i="3"/>
  <c r="W20" i="3"/>
  <c r="T4" i="3"/>
  <c r="P4" i="3"/>
  <c r="L4" i="3"/>
  <c r="K4" i="3"/>
  <c r="J4" i="3"/>
  <c r="I4" i="3"/>
  <c r="H4" i="3"/>
  <c r="U20" i="3"/>
  <c r="D4" i="3"/>
  <c r="Y3" i="3"/>
  <c r="V3" i="3"/>
  <c r="W19" i="3"/>
  <c r="U3" i="3"/>
  <c r="T3" i="3"/>
  <c r="S3" i="3"/>
  <c r="P3" i="3"/>
  <c r="O3" i="3"/>
  <c r="N3" i="3"/>
  <c r="R3" i="3"/>
  <c r="M3" i="3"/>
  <c r="J3" i="3"/>
  <c r="I3" i="3"/>
  <c r="H3" i="3"/>
  <c r="L3" i="3"/>
  <c r="D3" i="3"/>
  <c r="D2" i="3"/>
  <c r="R5" i="3"/>
  <c r="Q5" i="3"/>
  <c r="V21" i="3"/>
  <c r="V24" i="3"/>
  <c r="R8" i="3"/>
  <c r="Q8" i="3"/>
  <c r="V20" i="3"/>
  <c r="R4" i="3"/>
  <c r="Q4" i="3"/>
  <c r="R7" i="3"/>
  <c r="W22" i="3"/>
  <c r="W3" i="3"/>
  <c r="X3" i="3"/>
  <c r="W4" i="3"/>
  <c r="W5" i="3"/>
  <c r="W6" i="3"/>
  <c r="W7" i="3"/>
  <c r="W8" i="3"/>
  <c r="U19" i="3"/>
  <c r="W24" i="3"/>
  <c r="Q3" i="3"/>
  <c r="X4" i="3"/>
  <c r="X5" i="3"/>
  <c r="X7" i="3"/>
  <c r="V19" i="3"/>
  <c r="V23" i="3"/>
  <c r="V25" i="3"/>
  <c r="W25" i="3"/>
  <c r="X9" i="3"/>
  <c r="K3" i="3"/>
  <c r="R6" i="3"/>
  <c r="Q9" i="3"/>
  <c r="M4" i="2"/>
  <c r="N4" i="2"/>
  <c r="I19" i="2"/>
  <c r="O4" i="2"/>
  <c r="M5" i="2"/>
  <c r="N5" i="2"/>
  <c r="O5" i="2"/>
  <c r="M6" i="2"/>
  <c r="N6" i="2"/>
  <c r="I21" i="2"/>
  <c r="O6" i="2"/>
  <c r="G11" i="2"/>
  <c r="G19" i="2"/>
  <c r="H11" i="2"/>
  <c r="I11" i="2"/>
  <c r="J11" i="2"/>
  <c r="K11" i="2"/>
  <c r="K19" i="2"/>
  <c r="L11" i="2"/>
  <c r="G12" i="2"/>
  <c r="G20" i="2"/>
  <c r="H12" i="2"/>
  <c r="I12" i="2"/>
  <c r="J12" i="2"/>
  <c r="K12" i="2"/>
  <c r="L12" i="2"/>
  <c r="G13" i="2"/>
  <c r="H13" i="2"/>
  <c r="G21" i="2"/>
  <c r="I13" i="2"/>
  <c r="J21" i="2"/>
  <c r="J13" i="2"/>
  <c r="K13" i="2"/>
  <c r="H21" i="2"/>
  <c r="L13" i="2"/>
  <c r="J18" i="2"/>
  <c r="K18" i="2"/>
  <c r="L18" i="2"/>
  <c r="H19" i="2"/>
  <c r="J19" i="2"/>
  <c r="L19" i="2"/>
  <c r="H20" i="2"/>
  <c r="I20" i="2"/>
  <c r="J20" i="2"/>
  <c r="K20" i="2"/>
  <c r="L20" i="2"/>
  <c r="K21" i="2"/>
  <c r="L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4" authorId="0" shapeId="0" xr:uid="{9BFD9F19-39AB-154C-AD33-D748FC4C346D}">
      <text>
        <r>
          <rPr>
            <sz val="10"/>
            <color rgb="FF000000"/>
            <rFont val="Tahoma"/>
            <family val="2"/>
          </rPr>
          <t>Microsoft Office User:
Unusually High
Likely machine error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I6" authorId="0" shapeId="0" xr:uid="{59D5ECF1-C6D1-D341-8813-746D5EF2A897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this seems odd...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C3" authorId="0" shapeId="0" xr:uid="{A78CA068-41E3-E141-BE9C-1E2582C97824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must be a machine error given following are near zero</t>
        </r>
      </text>
    </comment>
    <comment ref="A7" authorId="0" shapeId="0" xr:uid="{9867351E-ADE8-2346-A1BC-4F0FBFA030DD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this was really taken 1 day after. Need to redo this data point</t>
        </r>
      </text>
    </comment>
  </commentList>
</comments>
</file>

<file path=xl/sharedStrings.xml><?xml version="1.0" encoding="utf-8"?>
<sst xmlns="http://schemas.openxmlformats.org/spreadsheetml/2006/main" count="1153" uniqueCount="498">
  <si>
    <t>10 PPB</t>
  </si>
  <si>
    <t>1 SE</t>
  </si>
  <si>
    <t>1/2 SE</t>
  </si>
  <si>
    <t>1/4 SE</t>
  </si>
  <si>
    <t>EIS1/2C10</t>
  </si>
  <si>
    <t>EIS1/2C5</t>
  </si>
  <si>
    <t>EIS1/2C1</t>
  </si>
  <si>
    <t>EIS1/2B10</t>
  </si>
  <si>
    <t>EIS1/2B5</t>
  </si>
  <si>
    <t>EIS1/2B1</t>
  </si>
  <si>
    <t>time (min)</t>
  </si>
  <si>
    <t>EIS1/2A10</t>
  </si>
  <si>
    <t>Averages</t>
  </si>
  <si>
    <t>EIS1/2A5</t>
  </si>
  <si>
    <t>EIS1/2A1</t>
  </si>
  <si>
    <t xml:space="preserve">10 PBB </t>
  </si>
  <si>
    <t>EIS1/4C10</t>
  </si>
  <si>
    <t>EIS1/4C5</t>
  </si>
  <si>
    <t>EIS1/4C1</t>
  </si>
  <si>
    <t>EIS1/4B10</t>
  </si>
  <si>
    <t>C</t>
  </si>
  <si>
    <t>B</t>
  </si>
  <si>
    <t>A</t>
  </si>
  <si>
    <t>EIS1/4B5</t>
  </si>
  <si>
    <t>W/ Dilution - 11/28/2016</t>
  </si>
  <si>
    <t>EIS1/4B1</t>
  </si>
  <si>
    <t>EIS1/4A10</t>
  </si>
  <si>
    <t>EIS1/4A5</t>
  </si>
  <si>
    <t>EIS1/4A1</t>
  </si>
  <si>
    <t xml:space="preserve"> </t>
  </si>
  <si>
    <t>Standard 010ppb</t>
  </si>
  <si>
    <t>Standard 005ppb</t>
  </si>
  <si>
    <t>Standard 002ppb</t>
  </si>
  <si>
    <t>5V (1X)</t>
  </si>
  <si>
    <t>1 (5V1X: A-C 1-10min)</t>
  </si>
  <si>
    <t>Raw - 11/28/2016</t>
  </si>
  <si>
    <t>Conc (Samp)</t>
  </si>
  <si>
    <t>RSD (Corr Abs)</t>
  </si>
  <si>
    <t>Sample ID</t>
  </si>
  <si>
    <t>W/dilution</t>
  </si>
  <si>
    <t>ecdrCT0</t>
  </si>
  <si>
    <t>Minutes</t>
  </si>
  <si>
    <t>Average</t>
  </si>
  <si>
    <t>Std Dev</t>
  </si>
  <si>
    <t>CT</t>
  </si>
  <si>
    <t>ecdrCT20</t>
  </si>
  <si>
    <t>ecdrCT40</t>
  </si>
  <si>
    <t>ecdrCT60</t>
  </si>
  <si>
    <t>ecdrCT80</t>
  </si>
  <si>
    <t>ecdr.25CT120</t>
  </si>
  <si>
    <t>ecdr.5A0</t>
  </si>
  <si>
    <t>ecdr.5B0</t>
  </si>
  <si>
    <t>ecdr.5C0</t>
  </si>
  <si>
    <t>ecdr.5A20</t>
  </si>
  <si>
    <t>ecdr.5B20</t>
  </si>
  <si>
    <t>Copper @ t = 0</t>
  </si>
  <si>
    <t>ecdr.5C20</t>
  </si>
  <si>
    <t>ecdr.5A40</t>
  </si>
  <si>
    <t>ecdr.5B40</t>
  </si>
  <si>
    <t>ecdr.5C40</t>
  </si>
  <si>
    <t>ecdr.5A60</t>
  </si>
  <si>
    <t>Std. Error</t>
  </si>
  <si>
    <t>ecdr.5B60</t>
  </si>
  <si>
    <t>ecdr.5C60</t>
  </si>
  <si>
    <t>ecdr.5A80</t>
  </si>
  <si>
    <t>ecdr.5B80</t>
  </si>
  <si>
    <t>ecdr.5C80</t>
  </si>
  <si>
    <t>ecdr.5A100</t>
  </si>
  <si>
    <t>ecdr.5B100</t>
  </si>
  <si>
    <t>ecdr.5C100</t>
  </si>
  <si>
    <t>ecdr0.5A120</t>
  </si>
  <si>
    <t>ecdr0.5B120</t>
  </si>
  <si>
    <t>ecdr0.5C120</t>
  </si>
  <si>
    <t>ecdr1A0</t>
  </si>
  <si>
    <t>ecdr1A20</t>
  </si>
  <si>
    <t>ecdr1A40</t>
  </si>
  <si>
    <t>ecdr1A60</t>
  </si>
  <si>
    <t>ecdr1A80</t>
  </si>
  <si>
    <t>ecdr1A100</t>
  </si>
  <si>
    <t>ecdr1A120</t>
  </si>
  <si>
    <t>ecdr0.25A0</t>
  </si>
  <si>
    <t>ecdr0.25B0</t>
  </si>
  <si>
    <t>ecdr0.25A20</t>
  </si>
  <si>
    <t>ecdr0.25B20</t>
  </si>
  <si>
    <t>ecdr0.25A40</t>
  </si>
  <si>
    <t>ecdr0.25B40</t>
  </si>
  <si>
    <t>ecdr0.25A60</t>
  </si>
  <si>
    <t>ecdr0.25B60</t>
  </si>
  <si>
    <t>ecdr0.25A80</t>
  </si>
  <si>
    <t>ecdr0.25B80</t>
  </si>
  <si>
    <t>ecdr0.25A100</t>
  </si>
  <si>
    <t>ecdr0.25B100</t>
  </si>
  <si>
    <t>ecdr0.25A120</t>
  </si>
  <si>
    <t>ecdr0.25B120</t>
  </si>
  <si>
    <t>ED1C0</t>
  </si>
  <si>
    <t>ED1C20</t>
  </si>
  <si>
    <t>ED1C40</t>
  </si>
  <si>
    <t>ED1C60</t>
  </si>
  <si>
    <t>ED1C80</t>
  </si>
  <si>
    <t>ED1C100</t>
  </si>
  <si>
    <t>ED1C120</t>
  </si>
  <si>
    <t>ED1B0</t>
  </si>
  <si>
    <t>ED1B20</t>
  </si>
  <si>
    <t>ED1B40</t>
  </si>
  <si>
    <t>ED1B60</t>
  </si>
  <si>
    <t>ED1B80</t>
  </si>
  <si>
    <t>ED1B100</t>
  </si>
  <si>
    <t>ED1B120</t>
  </si>
  <si>
    <t>ED0.25C0</t>
  </si>
  <si>
    <t>ED0.25C20</t>
  </si>
  <si>
    <t>ED0.25C40</t>
  </si>
  <si>
    <t>ED0.25C60</t>
  </si>
  <si>
    <t>ED0.25C80</t>
  </si>
  <si>
    <t>ED0.25C100</t>
  </si>
  <si>
    <t>ED0.25C120</t>
  </si>
  <si>
    <t>ED0.25Ct0</t>
  </si>
  <si>
    <t>ED0.25Ct120</t>
  </si>
  <si>
    <t>ED0.5Ct0</t>
  </si>
  <si>
    <t>ED0.5Ct120</t>
  </si>
  <si>
    <t>ED1Ct0</t>
  </si>
  <si>
    <t>ED1Ct120</t>
  </si>
  <si>
    <t>From voltage experiment raw data</t>
  </si>
  <si>
    <t>not taken</t>
  </si>
  <si>
    <t>E4.5VB50</t>
  </si>
  <si>
    <t>E4.5VB40</t>
  </si>
  <si>
    <t>E4.5VB30</t>
  </si>
  <si>
    <t>E4.5VB20</t>
  </si>
  <si>
    <t>E4.5VB10</t>
  </si>
  <si>
    <t>E4.5VB5</t>
  </si>
  <si>
    <t>E4.5VB1</t>
  </si>
  <si>
    <t>E4.5VB0</t>
  </si>
  <si>
    <t>E4.5VA50</t>
  </si>
  <si>
    <t>E4.5VA40</t>
  </si>
  <si>
    <t>E4.5VA30</t>
  </si>
  <si>
    <t>E4.5VA20</t>
  </si>
  <si>
    <t>E4.5VA10</t>
  </si>
  <si>
    <t>E4.5VA5</t>
  </si>
  <si>
    <t>E4.5VA1</t>
  </si>
  <si>
    <t>E4.5VA0</t>
  </si>
  <si>
    <t>EISC50%10</t>
  </si>
  <si>
    <t>EISC50%5</t>
  </si>
  <si>
    <t>EISC50%1</t>
  </si>
  <si>
    <t>EISB50%10</t>
  </si>
  <si>
    <t>EISB50%5</t>
  </si>
  <si>
    <t>EISB50%1</t>
  </si>
  <si>
    <t>EISB50%0</t>
  </si>
  <si>
    <t>EISA50%10</t>
  </si>
  <si>
    <t>EISA50%5</t>
  </si>
  <si>
    <t>EISA50%1</t>
  </si>
  <si>
    <t>EISA50%0</t>
  </si>
  <si>
    <t>EISC25%10</t>
  </si>
  <si>
    <t>EISC25%5</t>
  </si>
  <si>
    <t>EISC25%1</t>
  </si>
  <si>
    <t>average</t>
  </si>
  <si>
    <t>EISB25%10</t>
  </si>
  <si>
    <t>EISB25%5</t>
  </si>
  <si>
    <t>Adjusted for initial copper/silver concentrations</t>
  </si>
  <si>
    <t>EISB25%1</t>
  </si>
  <si>
    <t>EISB25%0</t>
  </si>
  <si>
    <t>EISA25%10</t>
  </si>
  <si>
    <t>EISA25%5</t>
  </si>
  <si>
    <t>EISA25%1</t>
  </si>
  <si>
    <t>EISA25%0</t>
  </si>
  <si>
    <t>EV9VB10</t>
  </si>
  <si>
    <t>EV5VA1</t>
  </si>
  <si>
    <t>w/ dilution</t>
  </si>
  <si>
    <t>E9VC30</t>
  </si>
  <si>
    <t>E9VB30</t>
  </si>
  <si>
    <t>E9VA30</t>
  </si>
  <si>
    <t>E9VC20</t>
  </si>
  <si>
    <t>E9VB20</t>
  </si>
  <si>
    <t>E4.510BD10</t>
  </si>
  <si>
    <t>E4.510BD0</t>
  </si>
  <si>
    <t>E4.510BC10</t>
  </si>
  <si>
    <t>E4.510BC5</t>
  </si>
  <si>
    <t>E4.510BC1</t>
  </si>
  <si>
    <t>E4.510BB10</t>
  </si>
  <si>
    <t>E4.510BB5</t>
  </si>
  <si>
    <t>E4.510BB1</t>
  </si>
  <si>
    <t>E4.510BA10</t>
  </si>
  <si>
    <t>E4.510BA5</t>
  </si>
  <si>
    <t>E4.510BA1</t>
  </si>
  <si>
    <t>W/Dilution</t>
  </si>
  <si>
    <t>Ag 328.07</t>
  </si>
  <si>
    <t>EB4.5VD30</t>
  </si>
  <si>
    <t>EB4.5VD0</t>
  </si>
  <si>
    <t>EB4.5VC30</t>
  </si>
  <si>
    <t>EB4.5VC20</t>
  </si>
  <si>
    <t>EB4.5VC10</t>
  </si>
  <si>
    <t>EB4.5VB20</t>
  </si>
  <si>
    <t>x</t>
  </si>
  <si>
    <t>EB4.5VB10</t>
  </si>
  <si>
    <t>EB4.5VA20</t>
  </si>
  <si>
    <t>EB4.5VA10</t>
  </si>
  <si>
    <t>EB9VD30</t>
  </si>
  <si>
    <t>X</t>
  </si>
  <si>
    <t>EB9VD0</t>
  </si>
  <si>
    <t>EB9VC10</t>
  </si>
  <si>
    <t>EB9VB10</t>
  </si>
  <si>
    <t>50 ppb</t>
  </si>
  <si>
    <t>Std Err</t>
  </si>
  <si>
    <t>Time (min)</t>
  </si>
  <si>
    <t>EB9VA20</t>
  </si>
  <si>
    <t>Voltage</t>
  </si>
  <si>
    <t>EB9VA10</t>
  </si>
  <si>
    <t>EB1D30</t>
  </si>
  <si>
    <t>Chart Data</t>
  </si>
  <si>
    <t>EB1D0</t>
  </si>
  <si>
    <t>EB1C30</t>
  </si>
  <si>
    <t>EB1C20</t>
  </si>
  <si>
    <t>EB1C10</t>
  </si>
  <si>
    <t>EB1B30</t>
  </si>
  <si>
    <t>EB1B20</t>
  </si>
  <si>
    <t>EB1B10</t>
  </si>
  <si>
    <t>EB1A30</t>
  </si>
  <si>
    <t>F</t>
  </si>
  <si>
    <t>E</t>
  </si>
  <si>
    <t>D</t>
  </si>
  <si>
    <t>EB1A20</t>
  </si>
  <si>
    <t>EB1A10</t>
  </si>
  <si>
    <t>Voltage (V)</t>
  </si>
  <si>
    <t>Abs (Corr)</t>
  </si>
  <si>
    <t>Analyte Name</t>
  </si>
  <si>
    <t>A/S Loc</t>
  </si>
  <si>
    <t>With silver @ time=0 applied</t>
  </si>
  <si>
    <t>500 ppb</t>
  </si>
  <si>
    <t>4.5V SE</t>
  </si>
  <si>
    <t>9V SE</t>
  </si>
  <si>
    <t>E4.5CV0</t>
  </si>
  <si>
    <t>E4.5CV1</t>
  </si>
  <si>
    <t>E4.5CV5</t>
  </si>
  <si>
    <t>E4.5CV10</t>
  </si>
  <si>
    <t>E4.5CV30</t>
  </si>
  <si>
    <t>E4.5CV40</t>
  </si>
  <si>
    <t>E4.5CV50</t>
  </si>
  <si>
    <t>E9AV0</t>
  </si>
  <si>
    <t>E9AV1</t>
  </si>
  <si>
    <t>E9AV5</t>
  </si>
  <si>
    <t>E9AV10</t>
  </si>
  <si>
    <t>E9AV20</t>
  </si>
  <si>
    <t>E9AV30</t>
  </si>
  <si>
    <t>E9AV40</t>
  </si>
  <si>
    <t>E9AV50</t>
  </si>
  <si>
    <t>E9BV0</t>
  </si>
  <si>
    <t>E9BV1</t>
  </si>
  <si>
    <t>E9BV5</t>
  </si>
  <si>
    <t xml:space="preserve">20PPB </t>
  </si>
  <si>
    <t>E9BV10</t>
  </si>
  <si>
    <t>E9BV20</t>
  </si>
  <si>
    <t>E9BV30</t>
  </si>
  <si>
    <t>E9BV40</t>
  </si>
  <si>
    <t>E9BV50</t>
  </si>
  <si>
    <t>E9CV0</t>
  </si>
  <si>
    <t>E9CV1</t>
  </si>
  <si>
    <t>E9CV5</t>
  </si>
  <si>
    <t>E9CV10</t>
  </si>
  <si>
    <t>E9CV20</t>
  </si>
  <si>
    <t>E9CV30</t>
  </si>
  <si>
    <t>E9CV40</t>
  </si>
  <si>
    <t>E9CV50</t>
  </si>
  <si>
    <t>0.25mm diameter</t>
  </si>
  <si>
    <t>0.5mm diameter</t>
  </si>
  <si>
    <t>1mm diameter</t>
  </si>
  <si>
    <t>ESDR.25A0</t>
  </si>
  <si>
    <t>Avg</t>
  </si>
  <si>
    <t>ct</t>
  </si>
  <si>
    <t>ESDR.25A20</t>
  </si>
  <si>
    <t>ESDR.25A40</t>
  </si>
  <si>
    <t>ESDR.25A60</t>
  </si>
  <si>
    <t>ESDR.25A80</t>
  </si>
  <si>
    <t>ESDR.25A100</t>
  </si>
  <si>
    <t>ESDR.25A120</t>
  </si>
  <si>
    <t>ESDR.25B0</t>
  </si>
  <si>
    <t>ESDR.25B20</t>
  </si>
  <si>
    <t>ESDR.25B40</t>
  </si>
  <si>
    <t>ESDR.25B60</t>
  </si>
  <si>
    <t>Standard Error</t>
  </si>
  <si>
    <t>0.25 mm</t>
  </si>
  <si>
    <t>0.5 mm</t>
  </si>
  <si>
    <t>1 mm</t>
  </si>
  <si>
    <t>ESDR.25B80</t>
  </si>
  <si>
    <t>ESDR.25B100</t>
  </si>
  <si>
    <t>ESDR.25B120</t>
  </si>
  <si>
    <t>ESDR.25C0</t>
  </si>
  <si>
    <t>ESDR.25C20</t>
  </si>
  <si>
    <t>ESDR.25C40</t>
  </si>
  <si>
    <t>ESDR.25C60</t>
  </si>
  <si>
    <t>ESDR.25C80</t>
  </si>
  <si>
    <t>ESDR.25C100</t>
  </si>
  <si>
    <t>ESDR.25C120</t>
  </si>
  <si>
    <t>ESDR.25ct0</t>
  </si>
  <si>
    <t>ESDR.25ct20</t>
  </si>
  <si>
    <t>ESDR.25ct40</t>
  </si>
  <si>
    <t>ESDR.25ct60</t>
  </si>
  <si>
    <t>ESDR.25ct80</t>
  </si>
  <si>
    <t>ESDR.25ct100</t>
  </si>
  <si>
    <t>ESDR.25ct120</t>
  </si>
  <si>
    <t>ESDR.5A0</t>
  </si>
  <si>
    <t>ESDR.5A20</t>
  </si>
  <si>
    <t>ESDR.5A40</t>
  </si>
  <si>
    <t>ESDR.5A60</t>
  </si>
  <si>
    <t>ESDR.5A80</t>
  </si>
  <si>
    <t>ESDR.5A100</t>
  </si>
  <si>
    <t>ESDR.5A120</t>
  </si>
  <si>
    <t>ESDR.5B0</t>
  </si>
  <si>
    <t>ESDR.5B20</t>
  </si>
  <si>
    <t>ESDR.5B40</t>
  </si>
  <si>
    <t>ESDR.5B60</t>
  </si>
  <si>
    <t>ESDR.5B80</t>
  </si>
  <si>
    <t>ESDR.5B100</t>
  </si>
  <si>
    <t>ESDR.5B120</t>
  </si>
  <si>
    <t>ESDR.5C0</t>
  </si>
  <si>
    <t>ESDR.5C20</t>
  </si>
  <si>
    <t>ESDR.5C40</t>
  </si>
  <si>
    <t>ESDR.5C60</t>
  </si>
  <si>
    <t>ESDR.5C80</t>
  </si>
  <si>
    <t>ESDR.5C100</t>
  </si>
  <si>
    <t>ESDR.5C120</t>
  </si>
  <si>
    <t>ESDR.5ct0</t>
  </si>
  <si>
    <t>ESDR.5ct20</t>
  </si>
  <si>
    <t>ESDR.5ct40</t>
  </si>
  <si>
    <t>ESDR.5ct60</t>
  </si>
  <si>
    <t>ESDR.5ct80</t>
  </si>
  <si>
    <t>ESDR.5ct100</t>
  </si>
  <si>
    <t>ESDR.5ct120</t>
  </si>
  <si>
    <t>ESDR1A0</t>
  </si>
  <si>
    <t>ESDR1A20</t>
  </si>
  <si>
    <t>ESDR1A40</t>
  </si>
  <si>
    <t>ESDR1A60</t>
  </si>
  <si>
    <t>ESDR1A80</t>
  </si>
  <si>
    <t>ESDR1A100</t>
  </si>
  <si>
    <t>ESDR1A120</t>
  </si>
  <si>
    <t>ESDR1B0</t>
  </si>
  <si>
    <t>ESDR1B20</t>
  </si>
  <si>
    <t>ESDR1B40</t>
  </si>
  <si>
    <t>ESDR1B60</t>
  </si>
  <si>
    <t>ESDR1B80</t>
  </si>
  <si>
    <t>ESDR1B100</t>
  </si>
  <si>
    <t>ESDR1B120</t>
  </si>
  <si>
    <t>ESDR1C0</t>
  </si>
  <si>
    <t>ESDR1C20</t>
  </si>
  <si>
    <t>ESDR1C40</t>
  </si>
  <si>
    <t>ESDR1C60</t>
  </si>
  <si>
    <t>ESDR1C80</t>
  </si>
  <si>
    <t>ESDR1C100</t>
  </si>
  <si>
    <t>ESDR1C120</t>
  </si>
  <si>
    <t>ESDR1ct0</t>
  </si>
  <si>
    <t>ESDR1ct20</t>
  </si>
  <si>
    <t>ESDR1ct40</t>
  </si>
  <si>
    <t>ESDR1ct60</t>
  </si>
  <si>
    <t>ESDR1ct80</t>
  </si>
  <si>
    <t>ESDR1ct100</t>
  </si>
  <si>
    <t>ESDR1ct120</t>
  </si>
  <si>
    <t>Sample Dilution</t>
  </si>
  <si>
    <t>time (hr)</t>
  </si>
  <si>
    <t>Big</t>
  </si>
  <si>
    <t>Small</t>
  </si>
  <si>
    <t>CFU/100mL</t>
  </si>
  <si>
    <t>Corrected for Dilution</t>
  </si>
  <si>
    <t>Control</t>
  </si>
  <si>
    <t>10^1</t>
  </si>
  <si>
    <t>&gt;2419.6</t>
  </si>
  <si>
    <t>&gt;24196</t>
  </si>
  <si>
    <t>10^5</t>
  </si>
  <si>
    <t>10^0</t>
  </si>
  <si>
    <t>10^4</t>
  </si>
  <si>
    <t>&gt;24196000</t>
  </si>
  <si>
    <t>9v A</t>
  </si>
  <si>
    <t>9v B</t>
  </si>
  <si>
    <t>Log Reduction Graph</t>
  </si>
  <si>
    <t>Log Reduction</t>
  </si>
  <si>
    <t>Control LR</t>
  </si>
  <si>
    <t>9v A LR</t>
  </si>
  <si>
    <t>9v B LR</t>
  </si>
  <si>
    <t>9v Avg LR</t>
  </si>
  <si>
    <t>9v SE</t>
  </si>
  <si>
    <t>not possible</t>
  </si>
  <si>
    <t>4.5B</t>
  </si>
  <si>
    <t>4.5A</t>
  </si>
  <si>
    <t>&gt;24,196</t>
  </si>
  <si>
    <t>ND</t>
  </si>
  <si>
    <t>-</t>
  </si>
  <si>
    <t>4.5B LR</t>
  </si>
  <si>
    <t>4.5A LR</t>
  </si>
  <si>
    <t>** 1 is really no detect</t>
  </si>
  <si>
    <t>&gt;2419.6*10^4</t>
  </si>
  <si>
    <t>&lt;10000</t>
  </si>
  <si>
    <t>&lt;1</t>
  </si>
  <si>
    <t>&lt;10</t>
  </si>
  <si>
    <t>time (hour)</t>
  </si>
  <si>
    <t>Conc (Calib)</t>
  </si>
  <si>
    <t>Dilution</t>
  </si>
  <si>
    <t>New Calculated Calibration</t>
  </si>
  <si>
    <t>w/applied dilution</t>
  </si>
  <si>
    <t>w/manual dilution</t>
  </si>
  <si>
    <t>Run</t>
  </si>
  <si>
    <t>9A</t>
  </si>
  <si>
    <t>9B</t>
  </si>
  <si>
    <t>STD Error</t>
  </si>
  <si>
    <t>9VA10X</t>
  </si>
  <si>
    <t>9VB10X</t>
  </si>
  <si>
    <t>9VA20X</t>
  </si>
  <si>
    <t>9VB20X</t>
  </si>
  <si>
    <t>9VA30X</t>
  </si>
  <si>
    <t>9VB30X</t>
  </si>
  <si>
    <t>9VA60X</t>
  </si>
  <si>
    <t>9VB60X</t>
  </si>
  <si>
    <t>9VA90X</t>
  </si>
  <si>
    <t>9VB90X</t>
  </si>
  <si>
    <t>9VA120X</t>
  </si>
  <si>
    <t>9VB120X</t>
  </si>
  <si>
    <t>9VA150X</t>
  </si>
  <si>
    <t>9VB150X</t>
  </si>
  <si>
    <t>9VA180X</t>
  </si>
  <si>
    <t>9VB180X</t>
  </si>
  <si>
    <t>9V60Xcontrol</t>
  </si>
  <si>
    <t>9V180XCHECK</t>
  </si>
  <si>
    <t>9VA210X</t>
  </si>
  <si>
    <t>9VB210X</t>
  </si>
  <si>
    <t>9VA240X</t>
  </si>
  <si>
    <t>9VB240X</t>
  </si>
  <si>
    <t>9VA270X</t>
  </si>
  <si>
    <t>9VB270X</t>
  </si>
  <si>
    <t>9VA300X</t>
  </si>
  <si>
    <t>9VB300X</t>
  </si>
  <si>
    <t>9VA330X</t>
  </si>
  <si>
    <t>9VB330X</t>
  </si>
  <si>
    <t>9VA365X</t>
  </si>
  <si>
    <t>9VB365X</t>
  </si>
  <si>
    <t>9V330Xcontrol</t>
  </si>
  <si>
    <t>Time (hr)</t>
  </si>
  <si>
    <t>Disinfectant</t>
  </si>
  <si>
    <t>500 µg/L copper</t>
  </si>
  <si>
    <t>50µg/L silver</t>
  </si>
  <si>
    <r>
      <t xml:space="preserve">Log Reduction of </t>
    </r>
    <r>
      <rPr>
        <i/>
        <sz val="12"/>
        <color rgb="FF000000"/>
        <rFont val="Times New Roman"/>
        <family val="1"/>
      </rPr>
      <t>E.coli</t>
    </r>
  </si>
  <si>
    <t>ELAG1.0C30MIN</t>
  </si>
  <si>
    <t>ELAG1.0A30MIN</t>
  </si>
  <si>
    <t>ELAG1.5C30MIN</t>
  </si>
  <si>
    <t>ELAG1.5B30MIN</t>
  </si>
  <si>
    <t>ELAG1.5B20MIN</t>
  </si>
  <si>
    <t>ELAG1.5A20MIN</t>
  </si>
  <si>
    <t>ELAG0.5C30MIN</t>
  </si>
  <si>
    <t>ELAG0.5B30MIN</t>
  </si>
  <si>
    <t>ELAG0.5A30MIN</t>
  </si>
  <si>
    <t>ELAG0.5C20MIN</t>
  </si>
  <si>
    <t>ELAG0.5B20MIN</t>
  </si>
  <si>
    <t>ELAG0.5A20MIN</t>
  </si>
  <si>
    <t>ELAG0.5C10MIN</t>
  </si>
  <si>
    <t>ELAG0.5B10MIN</t>
  </si>
  <si>
    <t>ELAG0.5A10MIN</t>
  </si>
  <si>
    <t>ELAG0.5C5MIN</t>
  </si>
  <si>
    <t>ELAG0.5B5MIN</t>
  </si>
  <si>
    <t>ELAG0.5A5MIN</t>
  </si>
  <si>
    <t>concentration with dilution</t>
  </si>
  <si>
    <t>Silver release rate/ 0.5 in rate</t>
  </si>
  <si>
    <t>Factor Increase from 0.5 in</t>
  </si>
  <si>
    <t>Length Submerded (in)</t>
  </si>
  <si>
    <t>Wire Length Submerged (inches)</t>
  </si>
  <si>
    <t>Wire</t>
  </si>
  <si>
    <t xml:space="preserve">log reduction is standard method for disinfection </t>
  </si>
  <si>
    <t>&gt;24,197</t>
  </si>
  <si>
    <t>16,1</t>
  </si>
  <si>
    <t>if I need a ND for all of them</t>
  </si>
  <si>
    <t>Question: what to put for 24196?</t>
  </si>
  <si>
    <t>Concentration</t>
  </si>
  <si>
    <t>Distance</t>
  </si>
  <si>
    <t>time</t>
  </si>
  <si>
    <t>a</t>
  </si>
  <si>
    <t>b</t>
  </si>
  <si>
    <t>c</t>
  </si>
  <si>
    <t>avg</t>
  </si>
  <si>
    <t>std error</t>
  </si>
  <si>
    <t>WL2.5A5MIN</t>
  </si>
  <si>
    <t>WL2.5B5MIN</t>
  </si>
  <si>
    <t>WL2.5C5MIN</t>
  </si>
  <si>
    <t>WL2.5A10MIN</t>
  </si>
  <si>
    <t>WL2.5B10MIN</t>
  </si>
  <si>
    <t>WL2.5C10MIN</t>
  </si>
  <si>
    <t>WL5A5MIN</t>
  </si>
  <si>
    <t>WL5B5MIN</t>
  </si>
  <si>
    <t>WL5C5MIN</t>
  </si>
  <si>
    <t>WL5A10MIN</t>
  </si>
  <si>
    <t>WL5B10MIN</t>
  </si>
  <si>
    <t>WL5C10MIN</t>
  </si>
  <si>
    <t>WL10A5MIN</t>
  </si>
  <si>
    <t>WL10B5MIN</t>
  </si>
  <si>
    <t>WL10C5MIN</t>
  </si>
  <si>
    <t>WL10A10MIN</t>
  </si>
  <si>
    <t>WL10B10MIN</t>
  </si>
  <si>
    <t>WL10C10MIN</t>
  </si>
  <si>
    <t>4.5V Silver</t>
  </si>
  <si>
    <t>Time</t>
  </si>
  <si>
    <t>4.5V Copper</t>
  </si>
  <si>
    <t>9V Silver</t>
  </si>
  <si>
    <t>9V Copper</t>
  </si>
  <si>
    <t>d</t>
  </si>
  <si>
    <t>10/2.5</t>
  </si>
  <si>
    <t>5/.25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</si>
</sst>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"/>
    <numFmt numFmtId="165" formatCode="m/d/yyyy"/>
  </numFmts>
  <fonts count="1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222222"/>
      <name val="Arial"/>
      <family val="2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color indexed="10"/>
      <name val="Calibri"/>
      <family val="2"/>
    </font>
    <font>
      <sz val="10"/>
      <color rgb="FF000000"/>
      <name val="Tahoma"/>
      <family val="2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222222"/>
      <name val="Times New Roman"/>
      <family val="1"/>
    </font>
    <font>
      <b/>
      <sz val="11"/>
      <color theme="1"/>
      <name val="Calibri"/>
      <family val="2"/>
      <scheme val="minor"/>
    </font>
    <font>
      <sz val="9"/>
      <name val="Helvetica Neue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/>
    <xf numFmtId="0" fontId="1" fillId="0" borderId="1" xfId="1" applyBorder="1"/>
    <xf numFmtId="0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2" fontId="1" fillId="0" borderId="0" xfId="1" applyNumberFormat="1" applyAlignment="1">
      <alignment horizontal="center"/>
    </xf>
    <xf numFmtId="2" fontId="1" fillId="0" borderId="0" xfId="1" applyNumberFormat="1" applyAlignment="1">
      <alignment horizontal="center"/>
    </xf>
    <xf numFmtId="16" fontId="1" fillId="0" borderId="0" xfId="1" applyNumberFormat="1"/>
    <xf numFmtId="0" fontId="0" fillId="0" borderId="2" xfId="0" applyBorder="1"/>
    <xf numFmtId="0" fontId="0" fillId="2" borderId="0" xfId="0" applyFill="1"/>
    <xf numFmtId="0" fontId="3" fillId="0" borderId="0" xfId="0" applyFont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NumberFormat="1" applyAlignment="1">
      <alignment horizontal="center"/>
    </xf>
    <xf numFmtId="1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9" fontId="0" fillId="0" borderId="0" xfId="0" applyNumberFormat="1"/>
    <xf numFmtId="0" fontId="0" fillId="0" borderId="0" xfId="0" applyFont="1"/>
    <xf numFmtId="16" fontId="0" fillId="0" borderId="0" xfId="0" applyNumberFormat="1"/>
    <xf numFmtId="0" fontId="8" fillId="0" borderId="0" xfId="0" applyFont="1"/>
    <xf numFmtId="0" fontId="6" fillId="0" borderId="0" xfId="0" applyFont="1"/>
    <xf numFmtId="0" fontId="8" fillId="0" borderId="0" xfId="0" applyFont="1" applyFill="1" applyBorder="1"/>
    <xf numFmtId="14" fontId="9" fillId="0" borderId="0" xfId="0" applyNumberFormat="1" applyFont="1"/>
    <xf numFmtId="0" fontId="9" fillId="0" borderId="0" xfId="0" applyFont="1"/>
    <xf numFmtId="0" fontId="9" fillId="0" borderId="0" xfId="0" applyFont="1" applyFill="1"/>
    <xf numFmtId="0" fontId="0" fillId="0" borderId="0" xfId="0" applyFill="1"/>
    <xf numFmtId="0" fontId="0" fillId="0" borderId="0" xfId="0" applyFont="1" applyAlignment="1"/>
    <xf numFmtId="0" fontId="10" fillId="0" borderId="0" xfId="2" applyFont="1" applyAlignment="1"/>
    <xf numFmtId="0" fontId="11" fillId="0" borderId="4" xfId="2" applyFont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1" fillId="0" borderId="6" xfId="2" applyFont="1" applyBorder="1" applyAlignment="1">
      <alignment horizontal="center"/>
    </xf>
    <xf numFmtId="0" fontId="11" fillId="0" borderId="7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  <xf numFmtId="0" fontId="10" fillId="0" borderId="0" xfId="2"/>
    <xf numFmtId="0" fontId="10" fillId="0" borderId="1" xfId="2" applyBorder="1"/>
    <xf numFmtId="0" fontId="11" fillId="0" borderId="9" xfId="2" applyFont="1" applyBorder="1" applyAlignment="1">
      <alignment horizontal="center"/>
    </xf>
    <xf numFmtId="0" fontId="11" fillId="0" borderId="10" xfId="2" applyFont="1" applyBorder="1" applyAlignment="1">
      <alignment horizontal="center"/>
    </xf>
    <xf numFmtId="0" fontId="11" fillId="0" borderId="4" xfId="2" applyFont="1" applyBorder="1" applyAlignment="1"/>
    <xf numFmtId="0" fontId="11" fillId="0" borderId="5" xfId="2" applyFont="1" applyBorder="1" applyAlignment="1"/>
    <xf numFmtId="0" fontId="11" fillId="0" borderId="6" xfId="2" applyFont="1" applyBorder="1"/>
    <xf numFmtId="0" fontId="11" fillId="0" borderId="7" xfId="2" applyFont="1" applyBorder="1" applyAlignment="1"/>
    <xf numFmtId="0" fontId="11" fillId="0" borderId="0" xfId="2" applyFont="1" applyAlignment="1"/>
    <xf numFmtId="0" fontId="11" fillId="0" borderId="8" xfId="2" applyFont="1" applyBorder="1"/>
    <xf numFmtId="0" fontId="11" fillId="0" borderId="7" xfId="2" applyFont="1" applyBorder="1"/>
    <xf numFmtId="0" fontId="11" fillId="0" borderId="11" xfId="2" applyFont="1" applyBorder="1" applyAlignment="1"/>
    <xf numFmtId="0" fontId="11" fillId="0" borderId="9" xfId="2" applyFont="1" applyBorder="1" applyAlignment="1"/>
    <xf numFmtId="0" fontId="11" fillId="0" borderId="10" xfId="2" applyFont="1" applyBorder="1" applyAlignment="1"/>
    <xf numFmtId="0" fontId="11" fillId="0" borderId="11" xfId="2" applyFont="1" applyBorder="1" applyAlignment="1">
      <alignment horizontal="center"/>
    </xf>
    <xf numFmtId="0" fontId="11" fillId="0" borderId="4" xfId="2" applyFont="1" applyBorder="1"/>
    <xf numFmtId="0" fontId="11" fillId="0" borderId="11" xfId="2" applyFont="1" applyBorder="1"/>
    <xf numFmtId="164" fontId="11" fillId="0" borderId="0" xfId="2" applyNumberFormat="1" applyFont="1" applyAlignment="1"/>
    <xf numFmtId="165" fontId="11" fillId="0" borderId="0" xfId="2" applyNumberFormat="1" applyFont="1" applyAlignment="1"/>
    <xf numFmtId="0" fontId="12" fillId="0" borderId="0" xfId="0" applyFont="1"/>
    <xf numFmtId="0" fontId="14" fillId="0" borderId="0" xfId="0" applyFont="1"/>
    <xf numFmtId="0" fontId="14" fillId="0" borderId="2" xfId="0" applyFont="1" applyBorder="1"/>
    <xf numFmtId="0" fontId="0" fillId="0" borderId="2" xfId="0" applyFont="1" applyBorder="1"/>
    <xf numFmtId="0" fontId="16" fillId="3" borderId="0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 wrapText="1"/>
    </xf>
    <xf numFmtId="0" fontId="0" fillId="0" borderId="17" xfId="0" applyFill="1" applyBorder="1"/>
    <xf numFmtId="14" fontId="11" fillId="0" borderId="0" xfId="2" applyNumberFormat="1" applyFont="1" applyAlignment="1"/>
    <xf numFmtId="0" fontId="1" fillId="4" borderId="0" xfId="1" applyFill="1"/>
    <xf numFmtId="0" fontId="17" fillId="0" borderId="0" xfId="1" applyFont="1"/>
    <xf numFmtId="0" fontId="1" fillId="0" borderId="0" xfId="1" applyFill="1"/>
    <xf numFmtId="0" fontId="18" fillId="0" borderId="18" xfId="0" applyFont="1" applyFill="1" applyBorder="1" applyAlignment="1">
      <alignment horizontal="right" vertical="top"/>
    </xf>
    <xf numFmtId="0" fontId="18" fillId="2" borderId="18" xfId="0" applyFont="1" applyFill="1" applyBorder="1" applyAlignment="1">
      <alignment horizontal="right" vertical="top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1" applyAlignment="1">
      <alignment horizontal="center"/>
    </xf>
    <xf numFmtId="12" fontId="1" fillId="0" borderId="0" xfId="1" applyNumberFormat="1" applyAlignment="1">
      <alignment horizontal="center"/>
    </xf>
  </cellXfs>
  <cellStyles count="3">
    <cellStyle name="Normal" xfId="0" builtinId="0"/>
    <cellStyle name="Normal 2" xfId="1" xr:uid="{96792A1F-37CE-0640-B082-B0DE38216C3F}"/>
    <cellStyle name="Normal 3" xfId="2" xr:uid="{2BD9EA5A-CF4B-D749-91F2-10DC607AE7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687234806105"/>
          <c:y val="4.8691017301767045E-2"/>
          <c:w val="0.74410926218704809"/>
          <c:h val="0.85926526742685594"/>
        </c:manualLayout>
      </c:layout>
      <c:scatterChart>
        <c:scatterStyle val="lineMarker"/>
        <c:varyColors val="0"/>
        <c:ser>
          <c:idx val="0"/>
          <c:order val="0"/>
          <c:tx>
            <c:v>Silver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lgDash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'parallel circ. 4.5V'!$F$3:$F$7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3.6790845060000001</c:v>
                  </c:pt>
                  <c:pt idx="2">
                    <c:v>6.7678130359999997</c:v>
                  </c:pt>
                  <c:pt idx="3">
                    <c:v>17.509343900000001</c:v>
                  </c:pt>
                  <c:pt idx="4">
                    <c:v>23.980601180000001</c:v>
                  </c:pt>
                </c:numCache>
              </c:numRef>
            </c:plus>
            <c:minus>
              <c:numRef>
                <c:f>'parallel circ. 4.5V'!$F$3:$F$7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3.6790845060000001</c:v>
                  </c:pt>
                  <c:pt idx="2">
                    <c:v>6.7678130359999997</c:v>
                  </c:pt>
                  <c:pt idx="3">
                    <c:v>17.509343900000001</c:v>
                  </c:pt>
                  <c:pt idx="4">
                    <c:v>23.980601180000001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'parallel circ. 4.5V'!$A$3:$A$7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'parallel circ. 4.5V'!$E$3:$E$7</c:f>
              <c:numCache>
                <c:formatCode>General</c:formatCode>
                <c:ptCount val="5"/>
                <c:pt idx="0">
                  <c:v>0</c:v>
                </c:pt>
                <c:pt idx="1">
                  <c:v>34.413306890000001</c:v>
                </c:pt>
                <c:pt idx="2">
                  <c:v>66.009752230000004</c:v>
                </c:pt>
                <c:pt idx="3">
                  <c:v>134.68575999999999</c:v>
                </c:pt>
                <c:pt idx="4">
                  <c:v>208.65861430000001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85-CD44-ACD7-5ECD9821D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680800"/>
        <c:axId val="1339204432"/>
      </c:scatterChart>
      <c:scatterChart>
        <c:scatterStyle val="lineMarker"/>
        <c:varyColors val="0"/>
        <c:ser>
          <c:idx val="1"/>
          <c:order val="1"/>
          <c:tx>
            <c:v>Copper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'parallel circ. 4.5V'!$F$11:$F$15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0.86241605066490012</c:v>
                  </c:pt>
                  <c:pt idx="2">
                    <c:v>2.0504817591103914</c:v>
                  </c:pt>
                  <c:pt idx="3">
                    <c:v>4.8138172079038464</c:v>
                  </c:pt>
                  <c:pt idx="4">
                    <c:v>2.3934630651932896</c:v>
                  </c:pt>
                </c:numCache>
              </c:numRef>
            </c:plus>
            <c:minus>
              <c:numRef>
                <c:f>'parallel circ. 4.5V'!$F$11:$F$15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0.86241605066490012</c:v>
                  </c:pt>
                  <c:pt idx="2">
                    <c:v>2.0504817591103914</c:v>
                  </c:pt>
                  <c:pt idx="3">
                    <c:v>4.8138172079038464</c:v>
                  </c:pt>
                  <c:pt idx="4">
                    <c:v>2.3934630651932896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'parallel circ. 4.5V'!$A$11:$A$15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'parallel circ. 4.5V'!$E$11:$E$15</c:f>
              <c:numCache>
                <c:formatCode>General</c:formatCode>
                <c:ptCount val="5"/>
                <c:pt idx="0">
                  <c:v>0</c:v>
                </c:pt>
                <c:pt idx="1">
                  <c:v>18.928333333333331</c:v>
                </c:pt>
                <c:pt idx="2">
                  <c:v>30.799666666666667</c:v>
                </c:pt>
                <c:pt idx="3">
                  <c:v>58.556333333333328</c:v>
                </c:pt>
                <c:pt idx="4">
                  <c:v>78.544333333333341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85-CD44-ACD7-5ECD9821D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848479"/>
        <c:axId val="1445868959"/>
      </c:scatterChart>
      <c:valAx>
        <c:axId val="1639680800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9204432"/>
        <c:crosses val="autoZero"/>
        <c:crossBetween val="midCat"/>
      </c:valAx>
      <c:valAx>
        <c:axId val="13392044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Concentration (</a:t>
                </a:r>
                <a:r>
                  <a:rPr lang="el-GR" sz="14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μ</a:t>
                </a:r>
                <a:r>
                  <a:rPr lang="en-US" sz="14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g/L</a:t>
                </a:r>
                <a:r>
                  <a:rPr lang="en-US" sz="14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4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680800"/>
        <c:crosses val="autoZero"/>
        <c:crossBetween val="midCat"/>
      </c:valAx>
      <c:valAx>
        <c:axId val="1445868959"/>
        <c:scaling>
          <c:orientation val="minMax"/>
          <c:max val="25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3848479"/>
        <c:crosses val="max"/>
        <c:crossBetween val="midCat"/>
      </c:valAx>
      <c:valAx>
        <c:axId val="1513848479"/>
        <c:scaling>
          <c:orientation val="minMax"/>
          <c:max val="30"/>
        </c:scaling>
        <c:delete val="0"/>
        <c:axPos val="t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868959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25371828521399E-2"/>
          <c:y val="6.9444444444444406E-2"/>
          <c:w val="0.90225240594925604"/>
          <c:h val="0.7056787693205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'Silver disfinection'!$B$58</c:f>
              <c:strCache>
                <c:ptCount val="1"/>
                <c:pt idx="0">
                  <c:v>Control</c:v>
                </c:pt>
              </c:strCache>
            </c:strRef>
          </c:tx>
          <c:spPr>
            <a:ln w="19050">
              <a:noFill/>
            </a:ln>
          </c:spPr>
          <c:marker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</a:ln>
            </c:spPr>
          </c:marker>
          <c:xVal>
            <c:numRef>
              <c:f>'Silver disfinection'!$N$32:$N$35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disfinection'!$P$32:$P$35</c:f>
              <c:numCache>
                <c:formatCode>General</c:formatCode>
                <c:ptCount val="4"/>
                <c:pt idx="0">
                  <c:v>0</c:v>
                </c:pt>
                <c:pt idx="2">
                  <c:v>0.22145554498840703</c:v>
                </c:pt>
                <c:pt idx="3">
                  <c:v>5.530280846690605E-2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7F-B64E-BD7E-5992FA3551DB}"/>
            </c:ext>
          </c:extLst>
        </c:ser>
        <c:ser>
          <c:idx val="5"/>
          <c:order val="1"/>
          <c:tx>
            <c:v>4.5V</c:v>
          </c:tx>
          <c:spPr>
            <a:ln w="19050">
              <a:noFill/>
            </a:ln>
          </c:spPr>
          <c:marker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'Silver disfinection'!$N$47:$N$50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0.18346452007256248</c:v>
                  </c:pt>
                  <c:pt idx="2">
                    <c:v>0.16409112085379826</c:v>
                  </c:pt>
                  <c:pt idx="3">
                    <c:v>0.16409112085379807</c:v>
                  </c:pt>
                </c:numCache>
              </c:numRef>
            </c:plus>
            <c:minus>
              <c:numRef>
                <c:f>'Silver disfinection'!$N$47:$N$50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0.18346452007256248</c:v>
                  </c:pt>
                  <c:pt idx="2">
                    <c:v>0.16409112085379826</c:v>
                  </c:pt>
                  <c:pt idx="3">
                    <c:v>0.16409112085379807</c:v>
                  </c:pt>
                </c:numCache>
              </c:numRef>
            </c:minus>
          </c:errBars>
          <c:xVal>
            <c:numRef>
              <c:f>'Silver disfinection'!$N$32:$N$35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disfinection'!$U$32:$U$35</c:f>
              <c:numCache>
                <c:formatCode>General</c:formatCode>
                <c:ptCount val="4"/>
                <c:pt idx="0">
                  <c:v>0</c:v>
                </c:pt>
                <c:pt idx="1">
                  <c:v>1.0162848666264241</c:v>
                </c:pt>
                <c:pt idx="2">
                  <c:v>4.1183336302931233</c:v>
                </c:pt>
                <c:pt idx="3">
                  <c:v>5.6096953241273955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7F-B64E-BD7E-5992FA355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459528"/>
        <c:axId val="2065465336"/>
      </c:scatterChart>
      <c:valAx>
        <c:axId val="206545952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 (Hours)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2065465336"/>
        <c:crosses val="autoZero"/>
        <c:crossBetween val="midCat"/>
      </c:valAx>
      <c:valAx>
        <c:axId val="20654653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2065459528"/>
        <c:crosses val="autoZero"/>
        <c:crossBetween val="midCat"/>
      </c:valAx>
    </c:plotArea>
    <c:legend>
      <c:legendPos val="b"/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504353051759E-2"/>
          <c:y val="4.72222222222222E-2"/>
          <c:w val="0.78885811148606422"/>
          <c:h val="0.82790091863517057"/>
        </c:manualLayout>
      </c:layout>
      <c:scatterChart>
        <c:scatterStyle val="lineMarker"/>
        <c:varyColors val="0"/>
        <c:ser>
          <c:idx val="0"/>
          <c:order val="1"/>
          <c:tx>
            <c:strRef>
              <c:f>'Silver disfinection'!$B$58</c:f>
              <c:strCache>
                <c:ptCount val="1"/>
                <c:pt idx="0">
                  <c:v>Control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'Silver disfinection'!$N$32:$N$35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disfinection'!$P$32:$P$35</c:f>
              <c:numCache>
                <c:formatCode>General</c:formatCode>
                <c:ptCount val="4"/>
                <c:pt idx="0">
                  <c:v>0</c:v>
                </c:pt>
                <c:pt idx="2">
                  <c:v>0.22145554498840703</c:v>
                </c:pt>
                <c:pt idx="3">
                  <c:v>5.530280846690605E-2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13-EF4B-8174-5459FD6D4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448152"/>
        <c:axId val="2065438984"/>
      </c:scatterChart>
      <c:scatterChart>
        <c:scatterStyle val="lineMarker"/>
        <c:varyColors val="0"/>
        <c:ser>
          <c:idx val="5"/>
          <c:order val="0"/>
          <c:tx>
            <c:v>4.5V</c:v>
          </c:tx>
          <c:spPr>
            <a:ln w="19050">
              <a:noFill/>
            </a:ln>
          </c:spPr>
          <c:marker>
            <c:symbol val="circle"/>
            <c:size val="1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'Silver disfinection'!$N$47:$N$50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0.18346452007256248</c:v>
                  </c:pt>
                  <c:pt idx="2">
                    <c:v>0.16409112085379826</c:v>
                  </c:pt>
                  <c:pt idx="3">
                    <c:v>0.16409112085379807</c:v>
                  </c:pt>
                </c:numCache>
              </c:numRef>
            </c:plus>
            <c:minus>
              <c:numRef>
                <c:f>'Silver disfinection'!$N$47:$N$50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0.18346452007256248</c:v>
                  </c:pt>
                  <c:pt idx="2">
                    <c:v>0.16409112085379826</c:v>
                  </c:pt>
                  <c:pt idx="3">
                    <c:v>0.16409112085379807</c:v>
                  </c:pt>
                </c:numCache>
              </c:numRef>
            </c:minus>
          </c:errBars>
          <c:xVal>
            <c:numRef>
              <c:f>'Silver disfinection'!$N$32:$N$35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disfinection'!$U$32:$U$35</c:f>
              <c:numCache>
                <c:formatCode>General</c:formatCode>
                <c:ptCount val="4"/>
                <c:pt idx="0">
                  <c:v>0</c:v>
                </c:pt>
                <c:pt idx="1">
                  <c:v>1.0162848666264241</c:v>
                </c:pt>
                <c:pt idx="2">
                  <c:v>4.1183336302931233</c:v>
                </c:pt>
                <c:pt idx="3">
                  <c:v>5.6096953241273955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13-EF4B-8174-5459FD6D4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95295"/>
        <c:axId val="241424943"/>
      </c:scatterChart>
      <c:valAx>
        <c:axId val="206544815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400" baseline="0"/>
                </a:pPr>
                <a:r>
                  <a:rPr lang="en-US" sz="1400" baseline="0"/>
                  <a:t>Time (Hours)</a:t>
                </a:r>
              </a:p>
            </c:rich>
          </c:tx>
          <c:layout>
            <c:manualLayout>
              <c:xMode val="edge"/>
              <c:yMode val="edge"/>
              <c:x val="0.42440679290088701"/>
              <c:y val="0.9261596675415569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65438984"/>
        <c:crosses val="autoZero"/>
        <c:crossBetween val="midCat"/>
      </c:valAx>
      <c:valAx>
        <c:axId val="2065438984"/>
        <c:scaling>
          <c:orientation val="minMax"/>
          <c:max val="7"/>
        </c:scaling>
        <c:delete val="0"/>
        <c:axPos val="l"/>
        <c:title>
          <c:tx>
            <c:rich>
              <a:bodyPr rot="-5400000" vert="horz" anchor="ctr" anchorCtr="1"/>
              <a:lstStyle/>
              <a:p>
                <a:pPr algn="ctr">
                  <a:defRPr sz="1400" baseline="0"/>
                </a:pPr>
                <a:r>
                  <a:rPr lang="en-US" sz="1400" baseline="0"/>
                  <a:t>Log Reduction of </a:t>
                </a:r>
                <a:r>
                  <a:rPr lang="en-US" sz="1400" i="1" baseline="0"/>
                  <a:t>E. coli </a:t>
                </a:r>
                <a:r>
                  <a:rPr lang="en-US" sz="1400" i="0" baseline="0"/>
                  <a:t>by Silver</a:t>
                </a:r>
                <a:endParaRPr lang="en-US" sz="1400" i="1" baseline="0"/>
              </a:p>
            </c:rich>
          </c:tx>
          <c:layout>
            <c:manualLayout>
              <c:xMode val="edge"/>
              <c:yMode val="edge"/>
              <c:x val="1.6367837913541398E-2"/>
              <c:y val="0.23493768987538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65448152"/>
        <c:crosses val="autoZero"/>
        <c:crossBetween val="midCat"/>
      </c:valAx>
      <c:valAx>
        <c:axId val="241424943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83795295"/>
        <c:crosses val="max"/>
        <c:crossBetween val="midCat"/>
      </c:valAx>
      <c:valAx>
        <c:axId val="83795295"/>
        <c:scaling>
          <c:orientation val="minMax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241424943"/>
        <c:crosses val="max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7110517435320589"/>
          <c:y val="0.38900196850393698"/>
          <c:w val="0.11699006374203225"/>
          <c:h val="8.0329396325459324E-2"/>
        </c:manualLayout>
      </c:layout>
      <c:overlay val="0"/>
      <c:txPr>
        <a:bodyPr rot="0" vert="horz"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2334535769236"/>
          <c:y val="7.1242319839635207E-2"/>
          <c:w val="0.85566082256959275"/>
          <c:h val="0.80978862822559561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plus>
            <c:min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'Silver longevity'!$L$3:$L$16</c:f>
              <c:numCache>
                <c:formatCode>General</c:formatCode>
                <c:ptCount val="1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365</c:v>
                </c:pt>
              </c:numCache>
            </c:numRef>
          </c:xVal>
          <c:yVal>
            <c:numRef>
              <c:f>'Silver longevity'!$O$3:$O$16</c:f>
              <c:numCache>
                <c:formatCode>General</c:formatCode>
                <c:ptCount val="14"/>
                <c:pt idx="0">
                  <c:v>35.528596734829037</c:v>
                </c:pt>
                <c:pt idx="1">
                  <c:v>27.357069058734936</c:v>
                </c:pt>
                <c:pt idx="2">
                  <c:v>31.705227609331409</c:v>
                </c:pt>
                <c:pt idx="3">
                  <c:v>33.752846899198012</c:v>
                </c:pt>
                <c:pt idx="4">
                  <c:v>32.04535468741696</c:v>
                </c:pt>
                <c:pt idx="5">
                  <c:v>59.62324331161841</c:v>
                </c:pt>
                <c:pt idx="6">
                  <c:v>53.838801049864728</c:v>
                </c:pt>
                <c:pt idx="7">
                  <c:v>43.946169296723724</c:v>
                </c:pt>
                <c:pt idx="8">
                  <c:v>55.774672725293073</c:v>
                </c:pt>
                <c:pt idx="9">
                  <c:v>36.91382730873493</c:v>
                </c:pt>
                <c:pt idx="10">
                  <c:v>21.525214051204816</c:v>
                </c:pt>
                <c:pt idx="11">
                  <c:v>7.1637018674698805</c:v>
                </c:pt>
                <c:pt idx="12">
                  <c:v>56.273789413407755</c:v>
                </c:pt>
                <c:pt idx="13">
                  <c:v>57.003636294415294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CE4-394F-9443-F89564436F34}"/>
            </c:ext>
          </c:extLst>
        </c:ser>
        <c:ser>
          <c:idx val="3"/>
          <c:order val="1"/>
          <c:spPr>
            <a:ln w="190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plus>
            <c:min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'Silver longevity'!$L$3:$L$16</c:f>
              <c:numCache>
                <c:formatCode>General</c:formatCode>
                <c:ptCount val="1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365</c:v>
                </c:pt>
              </c:numCache>
            </c:numRef>
          </c:xVal>
          <c:yVal>
            <c:numRef>
              <c:f>'Silver longevity'!$O$3:$O$16</c:f>
              <c:numCache>
                <c:formatCode>General</c:formatCode>
                <c:ptCount val="14"/>
                <c:pt idx="0">
                  <c:v>35.528596734829037</c:v>
                </c:pt>
                <c:pt idx="1">
                  <c:v>27.357069058734936</c:v>
                </c:pt>
                <c:pt idx="2">
                  <c:v>31.705227609331409</c:v>
                </c:pt>
                <c:pt idx="3">
                  <c:v>33.752846899198012</c:v>
                </c:pt>
                <c:pt idx="4">
                  <c:v>32.04535468741696</c:v>
                </c:pt>
                <c:pt idx="5">
                  <c:v>59.62324331161841</c:v>
                </c:pt>
                <c:pt idx="6">
                  <c:v>53.838801049864728</c:v>
                </c:pt>
                <c:pt idx="7">
                  <c:v>43.946169296723724</c:v>
                </c:pt>
                <c:pt idx="8">
                  <c:v>55.774672725293073</c:v>
                </c:pt>
                <c:pt idx="9">
                  <c:v>36.91382730873493</c:v>
                </c:pt>
                <c:pt idx="10">
                  <c:v>21.525214051204816</c:v>
                </c:pt>
                <c:pt idx="11">
                  <c:v>7.1637018674698805</c:v>
                </c:pt>
                <c:pt idx="12">
                  <c:v>56.273789413407755</c:v>
                </c:pt>
                <c:pt idx="13">
                  <c:v>57.003636294415294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CE4-394F-9443-F89564436F34}"/>
            </c:ext>
          </c:extLst>
        </c:ser>
        <c:ser>
          <c:idx val="0"/>
          <c:order val="2"/>
          <c:spPr>
            <a:ln w="190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plus>
            <c:min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'Silver longevity'!$L$3:$L$16</c:f>
              <c:numCache>
                <c:formatCode>General</c:formatCode>
                <c:ptCount val="1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365</c:v>
                </c:pt>
              </c:numCache>
            </c:numRef>
          </c:xVal>
          <c:yVal>
            <c:numRef>
              <c:f>'Silver longevity'!$O$3:$O$16</c:f>
              <c:numCache>
                <c:formatCode>General</c:formatCode>
                <c:ptCount val="14"/>
                <c:pt idx="0">
                  <c:v>35.528596734829037</c:v>
                </c:pt>
                <c:pt idx="1">
                  <c:v>27.357069058734936</c:v>
                </c:pt>
                <c:pt idx="2">
                  <c:v>31.705227609331409</c:v>
                </c:pt>
                <c:pt idx="3">
                  <c:v>33.752846899198012</c:v>
                </c:pt>
                <c:pt idx="4">
                  <c:v>32.04535468741696</c:v>
                </c:pt>
                <c:pt idx="5">
                  <c:v>59.62324331161841</c:v>
                </c:pt>
                <c:pt idx="6">
                  <c:v>53.838801049864728</c:v>
                </c:pt>
                <c:pt idx="7">
                  <c:v>43.946169296723724</c:v>
                </c:pt>
                <c:pt idx="8">
                  <c:v>55.774672725293073</c:v>
                </c:pt>
                <c:pt idx="9">
                  <c:v>36.91382730873493</c:v>
                </c:pt>
                <c:pt idx="10">
                  <c:v>21.525214051204816</c:v>
                </c:pt>
                <c:pt idx="11">
                  <c:v>7.1637018674698805</c:v>
                </c:pt>
                <c:pt idx="12">
                  <c:v>56.273789413407755</c:v>
                </c:pt>
                <c:pt idx="13">
                  <c:v>57.003636294415294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CE4-394F-9443-F89564436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99903"/>
        <c:axId val="1"/>
      </c:scatterChart>
      <c:scatterChart>
        <c:scatterStyle val="lineMarker"/>
        <c:varyColors val="0"/>
        <c:ser>
          <c:idx val="2"/>
          <c:order val="3"/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4.9363226148455584E-2"/>
                  <c:y val="0.10879513127869325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plus>
            <c:minus>
              <c:numRef>
                <c:f>'Silver longevity'!$P$3:$P$15</c:f>
                <c:numCache>
                  <c:formatCode>General</c:formatCode>
                  <c:ptCount val="13"/>
                  <c:pt idx="0">
                    <c:v>3.4199196764673085</c:v>
                  </c:pt>
                  <c:pt idx="1">
                    <c:v>3.5198810015060267</c:v>
                  </c:pt>
                  <c:pt idx="2">
                    <c:v>2.7245767298133354</c:v>
                  </c:pt>
                  <c:pt idx="3">
                    <c:v>3.5523008409136394</c:v>
                  </c:pt>
                  <c:pt idx="4">
                    <c:v>6.384991353079621</c:v>
                  </c:pt>
                  <c:pt idx="5">
                    <c:v>2.4398734353695417</c:v>
                  </c:pt>
                  <c:pt idx="6">
                    <c:v>0.68472741665163628</c:v>
                  </c:pt>
                  <c:pt idx="7">
                    <c:v>4.032490096296498</c:v>
                  </c:pt>
                  <c:pt idx="8">
                    <c:v>13.369447093984032</c:v>
                  </c:pt>
                  <c:pt idx="9">
                    <c:v>11.543840606927706</c:v>
                  </c:pt>
                  <c:pt idx="10">
                    <c:v>5.5261384999999983</c:v>
                  </c:pt>
                  <c:pt idx="11">
                    <c:v>0.84972464156626215</c:v>
                  </c:pt>
                  <c:pt idx="12">
                    <c:v>4.0954986656966836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'Silver longevity'!$L$3:$L$16</c:f>
              <c:numCache>
                <c:formatCode>General</c:formatCode>
                <c:ptCount val="1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365</c:v>
                </c:pt>
              </c:numCache>
            </c:numRef>
          </c:xVal>
          <c:yVal>
            <c:numRef>
              <c:f>'Silver longevity'!$O$3:$O$16</c:f>
              <c:numCache>
                <c:formatCode>General</c:formatCode>
                <c:ptCount val="14"/>
                <c:pt idx="0">
                  <c:v>35.528596734829037</c:v>
                </c:pt>
                <c:pt idx="1">
                  <c:v>27.357069058734936</c:v>
                </c:pt>
                <c:pt idx="2">
                  <c:v>31.705227609331409</c:v>
                </c:pt>
                <c:pt idx="3">
                  <c:v>33.752846899198012</c:v>
                </c:pt>
                <c:pt idx="4">
                  <c:v>32.04535468741696</c:v>
                </c:pt>
                <c:pt idx="5">
                  <c:v>59.62324331161841</c:v>
                </c:pt>
                <c:pt idx="6">
                  <c:v>53.838801049864728</c:v>
                </c:pt>
                <c:pt idx="7">
                  <c:v>43.946169296723724</c:v>
                </c:pt>
                <c:pt idx="8">
                  <c:v>55.774672725293073</c:v>
                </c:pt>
                <c:pt idx="9">
                  <c:v>36.91382730873493</c:v>
                </c:pt>
                <c:pt idx="10">
                  <c:v>21.525214051204816</c:v>
                </c:pt>
                <c:pt idx="11">
                  <c:v>7.1637018674698805</c:v>
                </c:pt>
                <c:pt idx="12">
                  <c:v>56.273789413407755</c:v>
                </c:pt>
                <c:pt idx="13">
                  <c:v>57.003636294415294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CE4-394F-9443-F89564436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062160"/>
        <c:axId val="279367135"/>
      </c:scatterChart>
      <c:valAx>
        <c:axId val="2802999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baseline="0"/>
                </a:pPr>
                <a:r>
                  <a:rPr lang="en-US" sz="1400" b="1" i="0" baseline="0"/>
                  <a:t>Number of Tests</a:t>
                </a:r>
              </a:p>
            </c:rich>
          </c:tx>
          <c:layout>
            <c:manualLayout>
              <c:xMode val="edge"/>
              <c:yMode val="edge"/>
              <c:x val="0.41095154054019112"/>
              <c:y val="0.9397795636370197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1400" b="1" i="0" baseline="0"/>
                  <a:t>Silver Concentration (ppb)</a:t>
                </a:r>
              </a:p>
            </c:rich>
          </c:tx>
          <c:layout>
            <c:manualLayout>
              <c:xMode val="edge"/>
              <c:yMode val="edge"/>
              <c:x val="2.0826222153265326E-2"/>
              <c:y val="0.19822225830018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80299903"/>
        <c:crosses val="autoZero"/>
        <c:crossBetween val="midCat"/>
      </c:valAx>
      <c:valAx>
        <c:axId val="279367135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1961062160"/>
        <c:crosses val="max"/>
        <c:crossBetween val="midCat"/>
      </c:valAx>
      <c:valAx>
        <c:axId val="1961062160"/>
        <c:scaling>
          <c:orientation val="minMax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279367135"/>
        <c:crosses val="max"/>
        <c:crossBetween val="midCat"/>
      </c:valAx>
      <c:spPr>
        <a:noFill/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26665416822901E-2"/>
          <c:y val="3.6111111111111101E-2"/>
          <c:w val="0.77998906386701661"/>
          <c:h val="0.8392361794619424"/>
        </c:manualLayout>
      </c:layout>
      <c:scatterChart>
        <c:scatterStyle val="lineMarker"/>
        <c:varyColors val="0"/>
        <c:ser>
          <c:idx val="1"/>
          <c:order val="0"/>
          <c:tx>
            <c:v>9V</c:v>
          </c:tx>
          <c:spPr>
            <a:ln w="47625">
              <a:noFill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'Copper disinfectoin'!$C$60:$C$63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0.54099289250000016</c:v>
                  </c:pt>
                  <c:pt idx="2">
                    <c:v>0.63309375400000001</c:v>
                  </c:pt>
                  <c:pt idx="3">
                    <c:v>0.49547012749999986</c:v>
                  </c:pt>
                </c:numCache>
              </c:numRef>
            </c:plus>
            <c:minus>
              <c:numRef>
                <c:f>'Copper disinfectoin'!$C$60:$C$63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0.54099289250000016</c:v>
                  </c:pt>
                  <c:pt idx="2">
                    <c:v>0.63309375400000001</c:v>
                  </c:pt>
                  <c:pt idx="3">
                    <c:v>0.49547012749999986</c:v>
                  </c:pt>
                </c:numCache>
              </c:numRef>
            </c:minus>
          </c:errBars>
          <c:xVal>
            <c:numRef>
              <c:f>'Copper disinfectoin'!$A$54:$A$57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'Copper disinfectoin'!$C$54:$C$57</c:f>
              <c:numCache>
                <c:formatCode>General</c:formatCode>
                <c:ptCount val="4"/>
                <c:pt idx="0">
                  <c:v>0</c:v>
                </c:pt>
                <c:pt idx="1">
                  <c:v>0.62470598643106445</c:v>
                </c:pt>
                <c:pt idx="2">
                  <c:v>0.71680684826281116</c:v>
                </c:pt>
                <c:pt idx="3">
                  <c:v>1.1807422774957539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E0-B645-B180-F7E749800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944632"/>
        <c:axId val="2070950168"/>
      </c:scatterChart>
      <c:scatterChart>
        <c:scatterStyle val="lineMarker"/>
        <c:varyColors val="0"/>
        <c:ser>
          <c:idx val="0"/>
          <c:order val="1"/>
          <c:tx>
            <c:v>Control</c:v>
          </c:tx>
          <c:spPr>
            <a:ln w="47625">
              <a:noFill/>
            </a:ln>
            <a:effectLst/>
          </c:spPr>
          <c:marker>
            <c:symbol val="squar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'Copper disinfectoin'!$A$54:$A$57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'Copper disinfectoin'!$B$54:$B$57</c:f>
              <c:numCache>
                <c:formatCode>General</c:formatCode>
                <c:ptCount val="4"/>
                <c:pt idx="0">
                  <c:v>0</c:v>
                </c:pt>
                <c:pt idx="1">
                  <c:v>-3.8669043509216294E-2</c:v>
                </c:pt>
                <c:pt idx="2">
                  <c:v>-0.18371430928154275</c:v>
                </c:pt>
                <c:pt idx="3">
                  <c:v>-0.18371430928154275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E0-B645-B180-F7E749800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814575"/>
        <c:axId val="237958799"/>
      </c:scatterChart>
      <c:valAx>
        <c:axId val="2070944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Time (hours)</a:t>
                </a:r>
              </a:p>
            </c:rich>
          </c:tx>
          <c:layout>
            <c:manualLayout>
              <c:xMode val="edge"/>
              <c:yMode val="edge"/>
              <c:x val="0.38703880764904403"/>
              <c:y val="0.919444444444443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crossAx val="2070950168"/>
        <c:crossesAt val="-1"/>
        <c:crossBetween val="midCat"/>
      </c:valAx>
      <c:valAx>
        <c:axId val="2070950168"/>
        <c:scaling>
          <c:orientation val="minMax"/>
          <c:max val="7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aseline="0"/>
                </a:pPr>
                <a:r>
                  <a:rPr lang="en-US" sz="1400" baseline="0"/>
                  <a:t>Log Reduction of </a:t>
                </a:r>
                <a:r>
                  <a:rPr lang="en-US" sz="1400" i="1" baseline="0"/>
                  <a:t>E. coli </a:t>
                </a:r>
                <a:r>
                  <a:rPr lang="en-US" sz="1400" i="0" baseline="0"/>
                  <a:t>by Copper</a:t>
                </a:r>
                <a:endParaRPr lang="en-US" sz="1400" i="1" baseline="0"/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70944632"/>
        <c:crosses val="autoZero"/>
        <c:crossBetween val="midCat"/>
      </c:valAx>
      <c:valAx>
        <c:axId val="237958799"/>
        <c:scaling>
          <c:orientation val="minMax"/>
          <c:max val="7"/>
          <c:min val="-1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242814575"/>
        <c:crosses val="max"/>
        <c:crossBetween val="midCat"/>
      </c:valAx>
      <c:valAx>
        <c:axId val="242814575"/>
        <c:scaling>
          <c:orientation val="minMax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237958799"/>
        <c:crosses val="max"/>
        <c:crossBetween val="midCat"/>
      </c:valAx>
      <c:spPr>
        <a:ln>
          <a:solidFill>
            <a:schemeClr val="tx1">
              <a:tint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904168228971369"/>
          <c:y val="0.4127866633858267"/>
          <c:w val="0.10706942882139732"/>
          <c:h val="7.1475147637795278E-2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  <a:effectLst/>
  </c:spPr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tx>
            <c:v>9V</c:v>
          </c:tx>
          <c:spPr>
            <a:ln w="19050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trendline>
            <c:name>9V trendline</c:name>
            <c:spPr>
              <a:ln w="3175">
                <a:solidFill>
                  <a:srgbClr val="000000"/>
                </a:solidFill>
                <a:prstDash val="lgDash"/>
              </a:ln>
            </c:spPr>
            <c:trendlineType val="linear"/>
            <c:intercept val="0"/>
            <c:dispRSqr val="0"/>
            <c:dispEq val="1"/>
            <c:trendlineLbl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'Cu time to ppb'!$Y$16:$Y$23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4.4060257514103789</c:v>
                  </c:pt>
                  <c:pt idx="2">
                    <c:v>4.2814395620802346</c:v>
                  </c:pt>
                  <c:pt idx="3">
                    <c:v>14.250625841405641</c:v>
                  </c:pt>
                  <c:pt idx="4">
                    <c:v>17.66575742412099</c:v>
                  </c:pt>
                  <c:pt idx="5">
                    <c:v>99.08351248260854</c:v>
                  </c:pt>
                  <c:pt idx="6">
                    <c:v>36.959507955593892</c:v>
                  </c:pt>
                  <c:pt idx="7">
                    <c:v>16.406905580453397</c:v>
                  </c:pt>
                </c:numCache>
              </c:numRef>
            </c:plus>
            <c:minus>
              <c:numRef>
                <c:f>'Cu time to ppb'!$Y$16:$Y$23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4.4060257514103789</c:v>
                  </c:pt>
                  <c:pt idx="2">
                    <c:v>4.2814395620802346</c:v>
                  </c:pt>
                  <c:pt idx="3">
                    <c:v>14.250625841405641</c:v>
                  </c:pt>
                  <c:pt idx="4">
                    <c:v>17.66575742412099</c:v>
                  </c:pt>
                  <c:pt idx="5">
                    <c:v>99.08351248260854</c:v>
                  </c:pt>
                  <c:pt idx="6">
                    <c:v>36.959507955593892</c:v>
                  </c:pt>
                  <c:pt idx="7">
                    <c:v>16.406905580453397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time to ppb'!$P$6:$P$13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'Cu time to ppb'!$X$6:$X$13</c:f>
              <c:numCache>
                <c:formatCode>General</c:formatCode>
                <c:ptCount val="8"/>
                <c:pt idx="0">
                  <c:v>0</c:v>
                </c:pt>
                <c:pt idx="1">
                  <c:v>8.9507704307666671</c:v>
                </c:pt>
                <c:pt idx="2">
                  <c:v>35.119868394433333</c:v>
                </c:pt>
                <c:pt idx="3">
                  <c:v>65.013673587766675</c:v>
                </c:pt>
                <c:pt idx="4">
                  <c:v>129.37678730776668</c:v>
                </c:pt>
                <c:pt idx="5">
                  <c:v>259.06162832443334</c:v>
                </c:pt>
                <c:pt idx="6">
                  <c:v>247.33291909110002</c:v>
                </c:pt>
                <c:pt idx="7">
                  <c:v>390.97981059109998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18-DC4A-9E83-5E03B9BC9F06}"/>
            </c:ext>
          </c:extLst>
        </c:ser>
        <c:ser>
          <c:idx val="2"/>
          <c:order val="2"/>
          <c:tx>
            <c:v>50ppb</c:v>
          </c:tx>
          <c:spPr>
            <a:ln w="19050">
              <a:noFill/>
            </a:ln>
          </c:spPr>
          <c:marker>
            <c:spPr>
              <a:noFill/>
              <a:ln>
                <a:noFill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500ppb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forward val="10"/>
            <c:dispRSqr val="0"/>
            <c:dispEq val="0"/>
          </c:trendline>
          <c:xVal>
            <c:numRef>
              <c:f>'Cu time to ppb'!$P$6:$P$14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</c:numCache>
            </c:numRef>
          </c:xVal>
          <c:yVal>
            <c:numRef>
              <c:f>'Cu time to ppb'!$Y$6:$Y$13</c:f>
              <c:numCache>
                <c:formatCode>General</c:formatCode>
                <c:ptCount val="8"/>
                <c:pt idx="0">
                  <c:v>500</c:v>
                </c:pt>
                <c:pt idx="7">
                  <c:v>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18-DC4A-9E83-5E03B9BC9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25631"/>
        <c:axId val="1"/>
      </c:scatterChart>
      <c:scatterChart>
        <c:scatterStyle val="lineMarker"/>
        <c:varyColors val="0"/>
        <c:ser>
          <c:idx val="1"/>
          <c:order val="0"/>
          <c:tx>
            <c:v>4.5V</c:v>
          </c:tx>
          <c:spPr>
            <a:ln w="19050">
              <a:noFill/>
            </a:ln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 w="15875">
                <a:solidFill>
                  <a:schemeClr val="tx1"/>
                </a:solidFill>
              </a:ln>
            </c:spPr>
          </c:marker>
          <c:trendline>
            <c:name>4.5V trendline</c:name>
            <c:spPr>
              <a:ln w="3175">
                <a:solidFill>
                  <a:srgbClr val="000000"/>
                </a:solidFill>
                <a:prstDash val="sysDash"/>
              </a:ln>
            </c:spPr>
            <c:trendlineType val="linear"/>
            <c:intercept val="0"/>
            <c:dispRSqr val="0"/>
            <c:dispEq val="1"/>
            <c:trendlineLbl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'Cu time to ppb'!$X$16:$X$23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0.25356295776365495</c:v>
                  </c:pt>
                  <c:pt idx="2">
                    <c:v>5.3019245908670474</c:v>
                  </c:pt>
                  <c:pt idx="3">
                    <c:v>12.167558575469373</c:v>
                  </c:pt>
                  <c:pt idx="4">
                    <c:v>3.9998447784999831</c:v>
                  </c:pt>
                  <c:pt idx="5">
                    <c:v>15.796239488795129</c:v>
                  </c:pt>
                  <c:pt idx="6">
                    <c:v>16.387831520495709</c:v>
                  </c:pt>
                  <c:pt idx="7">
                    <c:v>14.387497989435825</c:v>
                  </c:pt>
                </c:numCache>
              </c:numRef>
            </c:plus>
            <c:minus>
              <c:numRef>
                <c:f>'Cu time to ppb'!$X$16:$X$23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0.25356295776365495</c:v>
                  </c:pt>
                  <c:pt idx="2">
                    <c:v>5.3019245908670474</c:v>
                  </c:pt>
                  <c:pt idx="3">
                    <c:v>12.167558575469373</c:v>
                  </c:pt>
                  <c:pt idx="4">
                    <c:v>3.9998447784999831</c:v>
                  </c:pt>
                  <c:pt idx="5">
                    <c:v>15.796239488795129</c:v>
                  </c:pt>
                  <c:pt idx="6">
                    <c:v>16.387831520495709</c:v>
                  </c:pt>
                  <c:pt idx="7">
                    <c:v>14.387497989435825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time to ppb'!$P$6:$P$13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'Cu time to ppb'!$T$6:$T$13</c:f>
              <c:numCache>
                <c:formatCode>General</c:formatCode>
                <c:ptCount val="8"/>
                <c:pt idx="0">
                  <c:v>0</c:v>
                </c:pt>
                <c:pt idx="1">
                  <c:v>0.30308178699999982</c:v>
                </c:pt>
                <c:pt idx="2">
                  <c:v>8.1606615089999988</c:v>
                </c:pt>
                <c:pt idx="3">
                  <c:v>39.320619662333335</c:v>
                </c:pt>
                <c:pt idx="4">
                  <c:v>26.024735742499999</c:v>
                </c:pt>
                <c:pt idx="5">
                  <c:v>73.129194462333331</c:v>
                </c:pt>
                <c:pt idx="6">
                  <c:v>103.43093992233332</c:v>
                </c:pt>
                <c:pt idx="7">
                  <c:v>120.25997572566666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818-DC4A-9E83-5E03B9BC9F06}"/>
            </c:ext>
          </c:extLst>
        </c:ser>
        <c:ser>
          <c:idx val="3"/>
          <c:order val="3"/>
          <c:tx>
            <c:v>500 ug/L</c:v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2-5818-DC4A-9E83-5E03B9BC9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120879"/>
        <c:axId val="969111583"/>
      </c:scatterChart>
      <c:valAx>
        <c:axId val="968125631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Times New Roman" charset="0"/>
                    <a:cs typeface="Times New Roman" charset="0"/>
                  </a:rPr>
                  <a:t>Time (min)</a:t>
                </a:r>
                <a:r>
                  <a:rPr lang="en-US" sz="1400" b="0" i="0" u="none" strike="noStrike" baseline="0">
                    <a:solidFill>
                      <a:srgbClr val="000000"/>
                    </a:solidFill>
                    <a:latin typeface="Times New Roman" charset="0"/>
                    <a:cs typeface="Times New Roman" charset="0"/>
                  </a:rPr>
                  <a:t>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1400" baseline="0"/>
                  <a:t>Copper Concentration </a:t>
                </a:r>
                <a:r>
                  <a:rPr lang="en-US" sz="1400" b="1" baseline="0"/>
                  <a:t>(</a:t>
                </a:r>
                <a:r>
                  <a:rPr lang="en-US" sz="1400" b="1" i="0" u="none" strike="noStrike" baseline="0">
                    <a:effectLst/>
                  </a:rPr>
                  <a:t>µg/L</a:t>
                </a:r>
                <a:r>
                  <a:rPr lang="en-US" sz="1400" baseline="0"/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968125631"/>
        <c:crosses val="autoZero"/>
        <c:crossBetween val="midCat"/>
      </c:valAx>
      <c:valAx>
        <c:axId val="969111583"/>
        <c:scaling>
          <c:orientation val="minMax"/>
          <c:max val="600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927120879"/>
        <c:crosses val="max"/>
        <c:crossBetween val="midCat"/>
      </c:valAx>
      <c:valAx>
        <c:axId val="927120879"/>
        <c:scaling>
          <c:orientation val="minMax"/>
          <c:max val="50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969111583"/>
        <c:crosses val="max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342068110666726"/>
          <c:y val="0.37469396529005733"/>
          <c:w val="0.14597688451494681"/>
          <c:h val="0.15086206451092837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3" footer="0.3"/>
    <c:pageSetup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17138840954023"/>
          <c:y val="1.917429756295012E-2"/>
          <c:w val="0.71698784613098976"/>
          <c:h val="0.87319168760548971"/>
        </c:manualLayout>
      </c:layout>
      <c:scatterChart>
        <c:scatterStyle val="lineMarker"/>
        <c:varyColors val="0"/>
        <c:ser>
          <c:idx val="2"/>
          <c:order val="2"/>
          <c:tx>
            <c:v>50 ug/L</c:v>
          </c:tx>
          <c:spPr>
            <a:ln w="19050">
              <a:noFill/>
            </a:ln>
          </c:spPr>
          <c:marker>
            <c:symbol val="none"/>
          </c:marker>
          <c:trendline>
            <c:name>50ppb</c:name>
            <c:spPr>
              <a:ln w="15875"/>
            </c:spPr>
            <c:trendlineType val="linear"/>
            <c:forward val="10"/>
            <c:dispRSqr val="0"/>
            <c:dispEq val="0"/>
          </c:trendline>
          <c:xVal>
            <c:numRef>
              <c:f>'Silver time to ppb'!$I$15:$I$20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</c:numCache>
            </c:numRef>
          </c:xVal>
          <c:yVal>
            <c:numRef>
              <c:f>'Silver time to ppb'!$P$15:$P$20</c:f>
              <c:numCache>
                <c:formatCode>General</c:formatCode>
                <c:ptCount val="6"/>
                <c:pt idx="0">
                  <c:v>50</c:v>
                </c:pt>
                <c:pt idx="5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99-A243-98EF-8DB2EFF56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3447992"/>
        <c:axId val="2082670760"/>
      </c:scatterChart>
      <c:scatterChart>
        <c:scatterStyle val="lineMarker"/>
        <c:varyColors val="0"/>
        <c:ser>
          <c:idx val="1"/>
          <c:order val="0"/>
          <c:tx>
            <c:v>9V</c:v>
          </c:tx>
          <c:spPr>
            <a:ln w="19050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name>9V trendline </c:name>
            <c:spPr>
              <a:ln>
                <a:prstDash val="lg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'Silver time to ppb'!$O$15:$O$20</c:f>
                <c:numCache>
                  <c:formatCode>General</c:formatCode>
                  <c:ptCount val="6"/>
                  <c:pt idx="0">
                    <c:v>0</c:v>
                  </c:pt>
                  <c:pt idx="3">
                    <c:v>56.38174927</c:v>
                  </c:pt>
                  <c:pt idx="4">
                    <c:v>55.056717169999999</c:v>
                  </c:pt>
                  <c:pt idx="5">
                    <c:v>76.081732299999999</c:v>
                  </c:pt>
                </c:numCache>
              </c:numRef>
            </c:plus>
            <c:minus>
              <c:numRef>
                <c:f>'Silver time to ppb'!$O$15:$O$20</c:f>
                <c:numCache>
                  <c:formatCode>General</c:formatCode>
                  <c:ptCount val="6"/>
                  <c:pt idx="0">
                    <c:v>0</c:v>
                  </c:pt>
                  <c:pt idx="3">
                    <c:v>56.38174927</c:v>
                  </c:pt>
                  <c:pt idx="4">
                    <c:v>55.056717169999999</c:v>
                  </c:pt>
                  <c:pt idx="5">
                    <c:v>76.081732299999999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'Silver time to ppb'!$I$15:$I$20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</c:numCache>
            </c:numRef>
          </c:xVal>
          <c:yVal>
            <c:numRef>
              <c:f>'Silver time to ppb'!$N$15:$N$20</c:f>
              <c:numCache>
                <c:formatCode>General</c:formatCode>
                <c:ptCount val="6"/>
                <c:pt idx="0">
                  <c:v>0</c:v>
                </c:pt>
                <c:pt idx="3">
                  <c:v>305.48290359999999</c:v>
                </c:pt>
                <c:pt idx="4">
                  <c:v>545.03592270000001</c:v>
                </c:pt>
                <c:pt idx="5">
                  <c:v>825.18450770000004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99-A243-98EF-8DB2EFF564A1}"/>
            </c:ext>
          </c:extLst>
        </c:ser>
        <c:ser>
          <c:idx val="0"/>
          <c:order val="1"/>
          <c:tx>
            <c:v>4.5V</c:v>
          </c:tx>
          <c:spPr>
            <a:ln w="19050">
              <a:noFill/>
            </a:ln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name>4.5V trendline</c:name>
            <c:spPr>
              <a:ln>
                <a:prstDash val="sysDash"/>
              </a:ln>
            </c:spPr>
            <c:trendlineType val="linear"/>
            <c:intercept val="0"/>
            <c:dispRSqr val="0"/>
            <c:dispEq val="1"/>
            <c:trendlineLbl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'Silver time to ppb'!$K$15:$K$20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4.6808730540000001</c:v>
                  </c:pt>
                  <c:pt idx="2">
                    <c:v>2.4041316080000001</c:v>
                  </c:pt>
                  <c:pt idx="3">
                    <c:v>4.5427540979999996</c:v>
                  </c:pt>
                  <c:pt idx="4">
                    <c:v>3.5078952540000001</c:v>
                  </c:pt>
                  <c:pt idx="5">
                    <c:v>3.8095432360000001</c:v>
                  </c:pt>
                </c:numCache>
              </c:numRef>
            </c:plus>
            <c:minus>
              <c:numRef>
                <c:f>'Silver time to ppb'!$K$15:$K$20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4.6808730540000001</c:v>
                  </c:pt>
                  <c:pt idx="2">
                    <c:v>2.4041316080000001</c:v>
                  </c:pt>
                  <c:pt idx="3">
                    <c:v>4.5427540979999996</c:v>
                  </c:pt>
                  <c:pt idx="4">
                    <c:v>3.5078952540000001</c:v>
                  </c:pt>
                  <c:pt idx="5">
                    <c:v>3.8095432360000001</c:v>
                  </c:pt>
                </c:numCache>
              </c:numRef>
            </c:minus>
          </c:errBars>
          <c:xVal>
            <c:numRef>
              <c:f>'Silver time to ppb'!$I$15:$I$20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</c:numCache>
            </c:numRef>
          </c:xVal>
          <c:yVal>
            <c:numRef>
              <c:f>'Silver time to ppb'!$J$15:$J$20</c:f>
              <c:numCache>
                <c:formatCode>General</c:formatCode>
                <c:ptCount val="6"/>
                <c:pt idx="0">
                  <c:v>0</c:v>
                </c:pt>
                <c:pt idx="1">
                  <c:v>10.29408997</c:v>
                </c:pt>
                <c:pt idx="2">
                  <c:v>60.81398291</c:v>
                </c:pt>
                <c:pt idx="3">
                  <c:v>107.38977079999999</c:v>
                </c:pt>
                <c:pt idx="4">
                  <c:v>209.8093168</c:v>
                </c:pt>
                <c:pt idx="5">
                  <c:v>309.08974860000001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B99-A243-98EF-8DB2EFF564A1}"/>
            </c:ext>
          </c:extLst>
        </c:ser>
        <c:ser>
          <c:idx val="3"/>
          <c:order val="3"/>
          <c:tx>
            <c:v>50 ug/L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AB99-A243-98EF-8DB2EFF56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775071"/>
        <c:axId val="928635375"/>
      </c:scatterChart>
      <c:valAx>
        <c:axId val="-2143447992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400" baseline="0"/>
                </a:pPr>
                <a:r>
                  <a:rPr lang="en-US" sz="1400" baseline="0"/>
                  <a:t>Time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60000000" vert="horz"/>
          <a:lstStyle/>
          <a:p>
            <a:pPr>
              <a:defRPr sz="1200"/>
            </a:pPr>
            <a:endParaRPr lang="en-US"/>
          </a:p>
        </c:txPr>
        <c:crossAx val="2082670760"/>
        <c:crosses val="autoZero"/>
        <c:crossBetween val="midCat"/>
      </c:valAx>
      <c:valAx>
        <c:axId val="2082670760"/>
        <c:scaling>
          <c:orientation val="minMax"/>
          <c:max val="9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aseline="0"/>
                </a:pPr>
                <a:r>
                  <a:rPr lang="en-US" sz="1400" baseline="0"/>
                  <a:t>Silver  Concentration (</a:t>
                </a:r>
                <a:r>
                  <a:rPr lang="en-US" sz="1400" b="1" i="0" u="none" strike="noStrike" baseline="0">
                    <a:effectLst/>
                  </a:rPr>
                  <a:t>µg/L</a:t>
                </a:r>
                <a:r>
                  <a:rPr lang="en-US" sz="1400" baseline="0"/>
                  <a:t>)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/>
        </c:spPr>
        <c:txPr>
          <a:bodyPr rot="-60000000" vert="horz"/>
          <a:lstStyle/>
          <a:p>
            <a:pPr>
              <a:defRPr sz="1200" baseline="0"/>
            </a:pPr>
            <a:endParaRPr lang="en-US"/>
          </a:p>
        </c:txPr>
        <c:crossAx val="-2143447992"/>
        <c:crosses val="autoZero"/>
        <c:crossBetween val="midCat"/>
      </c:valAx>
      <c:valAx>
        <c:axId val="928635375"/>
        <c:scaling>
          <c:orientation val="minMax"/>
          <c:max val="900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1006775071"/>
        <c:crosses val="max"/>
        <c:crossBetween val="midCat"/>
      </c:valAx>
      <c:valAx>
        <c:axId val="1006775071"/>
        <c:scaling>
          <c:orientation val="minMax"/>
          <c:max val="30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928635375"/>
        <c:crosses val="max"/>
        <c:crossBetween val="midCat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Ionic Strength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25%</c:v>
          </c:tx>
          <c:spPr>
            <a:ln w="19050">
              <a:noFill/>
            </a:ln>
          </c:spPr>
          <c:marker>
            <c:spPr>
              <a:solidFill>
                <a:srgbClr val="616161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sys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ionic strength'!$J$27:$J$30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11.848549173278903</c:v>
                  </c:pt>
                  <c:pt idx="2">
                    <c:v>23.82848174943349</c:v>
                  </c:pt>
                  <c:pt idx="3">
                    <c:v>38.512114958299655</c:v>
                  </c:pt>
                </c:numCache>
              </c:numRef>
            </c:plus>
            <c:minus>
              <c:numRef>
                <c:f>'Cu ionic strength'!$J$27:$J$30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11.848549173278903</c:v>
                  </c:pt>
                  <c:pt idx="2">
                    <c:v>23.82848174943349</c:v>
                  </c:pt>
                  <c:pt idx="3">
                    <c:v>38.512114958299655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ionic strength'!$G$12:$G$15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'Cu ionic strength'!$K$12:$K$15</c:f>
              <c:numCache>
                <c:formatCode>General</c:formatCode>
                <c:ptCount val="4"/>
                <c:pt idx="0">
                  <c:v>0</c:v>
                </c:pt>
                <c:pt idx="1">
                  <c:v>37.990546101666673</c:v>
                </c:pt>
                <c:pt idx="2">
                  <c:v>78.800131684999997</c:v>
                </c:pt>
                <c:pt idx="3">
                  <c:v>167.06124769833335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B1-8445-B7E4-D19AF61B3509}"/>
            </c:ext>
          </c:extLst>
        </c:ser>
        <c:ser>
          <c:idx val="1"/>
          <c:order val="1"/>
          <c:tx>
            <c:v>50%</c:v>
          </c:tx>
          <c:spPr>
            <a:ln w="19050">
              <a:noFill/>
            </a:ln>
          </c:spPr>
          <c:marker>
            <c:spPr>
              <a:solidFill>
                <a:srgbClr val="B3B3B3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ionic strength'!$K$27:$K$30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17.373387846510106</c:v>
                  </c:pt>
                  <c:pt idx="2">
                    <c:v>3.3099145838637054</c:v>
                  </c:pt>
                  <c:pt idx="3">
                    <c:v>18.084672462049681</c:v>
                  </c:pt>
                </c:numCache>
              </c:numRef>
            </c:plus>
            <c:minus>
              <c:numRef>
                <c:f>'Cu ionic strength'!$K$27:$K$30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17.373387846510106</c:v>
                  </c:pt>
                  <c:pt idx="2">
                    <c:v>3.3099145838637054</c:v>
                  </c:pt>
                  <c:pt idx="3">
                    <c:v>18.084672462049681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ionic strength'!$G$12:$G$15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'Cu ionic strength'!$O$12:$O$15</c:f>
              <c:numCache>
                <c:formatCode>General</c:formatCode>
                <c:ptCount val="4"/>
                <c:pt idx="0">
                  <c:v>0</c:v>
                </c:pt>
                <c:pt idx="1">
                  <c:v>54.263780426666663</c:v>
                </c:pt>
                <c:pt idx="2">
                  <c:v>187.66182502000001</c:v>
                </c:pt>
                <c:pt idx="3">
                  <c:v>366.64687005333332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B1-8445-B7E4-D19AF61B3509}"/>
            </c:ext>
          </c:extLst>
        </c:ser>
        <c:ser>
          <c:idx val="2"/>
          <c:order val="2"/>
          <c:tx>
            <c:v>100%</c:v>
          </c:tx>
          <c:spPr>
            <a:ln w="19050">
              <a:noFill/>
            </a:ln>
          </c:spPr>
          <c:marker>
            <c:spPr>
              <a:solidFill>
                <a:srgbClr val="818181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lg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ionic strength'!$L$27:$L$30</c:f>
                <c:numCache>
                  <c:formatCode>General</c:formatCode>
                  <c:ptCount val="4"/>
                  <c:pt idx="0">
                    <c:v>7.5197436626078556E-2</c:v>
                  </c:pt>
                  <c:pt idx="1">
                    <c:v>53.724462909843083</c:v>
                  </c:pt>
                  <c:pt idx="2">
                    <c:v>66.444326624504882</c:v>
                  </c:pt>
                  <c:pt idx="3">
                    <c:v>122.25833658101126</c:v>
                  </c:pt>
                </c:numCache>
              </c:numRef>
            </c:plus>
            <c:minus>
              <c:numRef>
                <c:f>'Cu ionic strength'!$L$27:$L$30</c:f>
                <c:numCache>
                  <c:formatCode>General</c:formatCode>
                  <c:ptCount val="4"/>
                  <c:pt idx="0">
                    <c:v>7.5197436626078556E-2</c:v>
                  </c:pt>
                  <c:pt idx="1">
                    <c:v>53.724462909843083</c:v>
                  </c:pt>
                  <c:pt idx="2">
                    <c:v>66.444326624504882</c:v>
                  </c:pt>
                  <c:pt idx="3">
                    <c:v>122.25833658101126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ionic strength'!$G$12:$G$15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'Cu ionic strength'!$S$12:$S$15</c:f>
              <c:numCache>
                <c:formatCode>General</c:formatCode>
                <c:ptCount val="4"/>
                <c:pt idx="0">
                  <c:v>0.97741431579999993</c:v>
                </c:pt>
                <c:pt idx="1">
                  <c:v>105.80521416666666</c:v>
                </c:pt>
                <c:pt idx="2">
                  <c:v>365.63066543333326</c:v>
                </c:pt>
                <c:pt idx="3">
                  <c:v>572.13810730000012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7B1-8445-B7E4-D19AF61B3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823343"/>
        <c:axId val="1"/>
      </c:scatterChart>
      <c:valAx>
        <c:axId val="170823343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0823343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35428997559148"/>
          <c:y val="3.3209686679790025E-2"/>
          <c:w val="0.71559277583338299"/>
          <c:h val="0.85892121883202088"/>
        </c:manualLayout>
      </c:layout>
      <c:scatterChart>
        <c:scatterStyle val="lineMarker"/>
        <c:varyColors val="0"/>
        <c:ser>
          <c:idx val="2"/>
          <c:order val="0"/>
          <c:tx>
            <c:v>4.58·10-3 M</c:v>
          </c:tx>
          <c:spPr>
            <a:ln w="19050">
              <a:noFill/>
            </a:ln>
          </c:spPr>
          <c:marker>
            <c:symbol val="triangl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  <a:prstDash val="solid"/>
              </a:ln>
            </c:spPr>
          </c:marker>
          <c:trendline>
            <c:name>No Dilution trendline</c:name>
            <c:spPr>
              <a:ln w="3175">
                <a:solidFill>
                  <a:srgbClr val="000000"/>
                </a:solidFill>
                <a:prstDash val="lg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ionic strength'!$L$27:$L$30</c:f>
                <c:numCache>
                  <c:formatCode>General</c:formatCode>
                  <c:ptCount val="4"/>
                  <c:pt idx="0">
                    <c:v>7.5197436626078556E-2</c:v>
                  </c:pt>
                  <c:pt idx="1">
                    <c:v>53.724462909843083</c:v>
                  </c:pt>
                  <c:pt idx="2">
                    <c:v>66.444326624504882</c:v>
                  </c:pt>
                  <c:pt idx="3">
                    <c:v>122.25833658101126</c:v>
                  </c:pt>
                </c:numCache>
              </c:numRef>
            </c:plus>
            <c:minus>
              <c:numRef>
                <c:f>'Cu ionic strength'!$L$27:$L$30</c:f>
                <c:numCache>
                  <c:formatCode>General</c:formatCode>
                  <c:ptCount val="4"/>
                  <c:pt idx="0">
                    <c:v>7.5197436626078556E-2</c:v>
                  </c:pt>
                  <c:pt idx="1">
                    <c:v>53.724462909843083</c:v>
                  </c:pt>
                  <c:pt idx="2">
                    <c:v>66.444326624504882</c:v>
                  </c:pt>
                  <c:pt idx="3">
                    <c:v>122.25833658101126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ionic strength'!$G$12:$G$15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'Cu ionic strength'!$S$12:$S$15</c:f>
              <c:numCache>
                <c:formatCode>General</c:formatCode>
                <c:ptCount val="4"/>
                <c:pt idx="0">
                  <c:v>0.97741431579999993</c:v>
                </c:pt>
                <c:pt idx="1">
                  <c:v>105.80521416666666</c:v>
                </c:pt>
                <c:pt idx="2">
                  <c:v>365.63066543333326</c:v>
                </c:pt>
                <c:pt idx="3">
                  <c:v>572.13810730000012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FD-C24B-93FA-373D9E316BCF}"/>
            </c:ext>
          </c:extLst>
        </c:ser>
        <c:ser>
          <c:idx val="1"/>
          <c:order val="2"/>
          <c:tx>
            <c:v>2.29·10-3 M</c:v>
          </c:tx>
          <c:spPr>
            <a:ln w="19050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  <a:prstDash val="solid"/>
              </a:ln>
            </c:spPr>
          </c:marker>
          <c:trendline>
            <c:name>1/2 Dilution trendline</c:nam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ionic strength'!$K$27:$K$30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17.373387846510106</c:v>
                  </c:pt>
                  <c:pt idx="2">
                    <c:v>3.3099145838637054</c:v>
                  </c:pt>
                  <c:pt idx="3">
                    <c:v>18.084672462049681</c:v>
                  </c:pt>
                </c:numCache>
              </c:numRef>
            </c:plus>
            <c:minus>
              <c:numRef>
                <c:f>'Cu ionic strength'!$K$27:$K$30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17.373387846510106</c:v>
                  </c:pt>
                  <c:pt idx="2">
                    <c:v>3.3099145838637054</c:v>
                  </c:pt>
                  <c:pt idx="3">
                    <c:v>18.084672462049681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ionic strength'!$G$12:$G$15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'Cu ionic strength'!$O$12:$O$15</c:f>
              <c:numCache>
                <c:formatCode>General</c:formatCode>
                <c:ptCount val="4"/>
                <c:pt idx="0">
                  <c:v>0</c:v>
                </c:pt>
                <c:pt idx="1">
                  <c:v>54.263780426666663</c:v>
                </c:pt>
                <c:pt idx="2">
                  <c:v>187.66182502000001</c:v>
                </c:pt>
                <c:pt idx="3">
                  <c:v>366.64687005333332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FD-C24B-93FA-373D9E316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95263"/>
        <c:axId val="1"/>
      </c:scatterChart>
      <c:scatterChart>
        <c:scatterStyle val="lineMarker"/>
        <c:varyColors val="0"/>
        <c:ser>
          <c:idx val="0"/>
          <c:order val="1"/>
          <c:tx>
            <c:v>1.15·10-3 M</c:v>
          </c:tx>
          <c:spPr>
            <a:ln w="19050">
              <a:noFill/>
            </a:ln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trendline>
            <c:name>1/4 Dilution trendline</c:name>
            <c:spPr>
              <a:ln w="3175">
                <a:solidFill>
                  <a:srgbClr val="000000"/>
                </a:solidFill>
                <a:prstDash val="sys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ionic strength'!$J$27:$J$30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11.848549173278903</c:v>
                  </c:pt>
                  <c:pt idx="2">
                    <c:v>23.82848174943349</c:v>
                  </c:pt>
                  <c:pt idx="3">
                    <c:v>38.512114958299655</c:v>
                  </c:pt>
                </c:numCache>
              </c:numRef>
            </c:plus>
            <c:minus>
              <c:numRef>
                <c:f>'Cu ionic strength'!$J$27:$J$30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11.848549173278903</c:v>
                  </c:pt>
                  <c:pt idx="2">
                    <c:v>23.82848174943349</c:v>
                  </c:pt>
                  <c:pt idx="3">
                    <c:v>38.512114958299655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'Cu ionic strength'!$G$12:$G$15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'Cu ionic strength'!$K$12:$K$15</c:f>
              <c:numCache>
                <c:formatCode>General</c:formatCode>
                <c:ptCount val="4"/>
                <c:pt idx="0">
                  <c:v>0</c:v>
                </c:pt>
                <c:pt idx="1">
                  <c:v>37.990546101666673</c:v>
                </c:pt>
                <c:pt idx="2">
                  <c:v>78.800131684999997</c:v>
                </c:pt>
                <c:pt idx="3">
                  <c:v>167.06124769833335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FD-C24B-93FA-373D9E316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198795263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4151233100579409"/>
              <c:y val="0.937239595050618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70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sz="1400"/>
                  <a:t>Copper Concentration (</a:t>
                </a:r>
                <a:r>
                  <a:rPr lang="en-US" sz="1400" b="1" i="0" u="none" strike="noStrike" baseline="0">
                    <a:effectLst/>
                  </a:rPr>
                  <a:t>µg/L</a:t>
                </a:r>
                <a:r>
                  <a:rPr lang="en-US" sz="1400"/>
                  <a:t>)</a:t>
                </a:r>
              </a:p>
            </c:rich>
          </c:tx>
          <c:layout>
            <c:manualLayout>
              <c:xMode val="edge"/>
              <c:yMode val="edge"/>
              <c:x val="2.3052443916208584E-2"/>
              <c:y val="0.225964566929133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8795263"/>
        <c:crosses val="autoZero"/>
        <c:crossBetween val="midCat"/>
      </c:valAx>
      <c:valAx>
        <c:axId val="3"/>
        <c:scaling>
          <c:orientation val="minMax"/>
          <c:max val="10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4"/>
        <c:crosses val="max"/>
        <c:crossBetween val="midCat"/>
      </c:valAx>
      <c:valAx>
        <c:axId val="4"/>
        <c:scaling>
          <c:orientation val="minMax"/>
          <c:max val="700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3"/>
        <c:crosses val="max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4719447333234288"/>
          <c:y val="0.32673197668473258"/>
          <c:w val="0.14491338582677171"/>
          <c:h val="0.1710150322118825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11" r="0.75000000000000011" t="1" header="0.30000000000000004" footer="0.30000000000000004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569265499954"/>
          <c:y val="3.8540476137119098E-2"/>
          <c:w val="0.73221091700342711"/>
          <c:h val="0.86158227046265456"/>
        </c:manualLayout>
      </c:layout>
      <c:scatterChart>
        <c:scatterStyle val="lineMarker"/>
        <c:varyColors val="0"/>
        <c:ser>
          <c:idx val="2"/>
          <c:order val="0"/>
          <c:tx>
            <c:v>1 mm</c:v>
          </c:tx>
          <c:spPr>
            <a:ln w="19050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name>1 mm trendline</c:name>
            <c:spPr>
              <a:ln>
                <a:prstDash val="lg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diameter'!$W$30:$W$36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22.138875061379572</c:v>
                  </c:pt>
                  <c:pt idx="2">
                    <c:v>10.989434931614408</c:v>
                  </c:pt>
                  <c:pt idx="3">
                    <c:v>58.468423081259019</c:v>
                  </c:pt>
                  <c:pt idx="4">
                    <c:v>29.628501064773893</c:v>
                  </c:pt>
                  <c:pt idx="5">
                    <c:v>47.474537248549254</c:v>
                  </c:pt>
                  <c:pt idx="6">
                    <c:v>51.095977218839984</c:v>
                  </c:pt>
                </c:numCache>
              </c:numRef>
            </c:plus>
            <c:minus>
              <c:numRef>
                <c:f>'Cu diameter'!$W$30:$W$36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22.138875061379572</c:v>
                  </c:pt>
                  <c:pt idx="2">
                    <c:v>10.989434931614408</c:v>
                  </c:pt>
                  <c:pt idx="3">
                    <c:v>58.468423081259019</c:v>
                  </c:pt>
                  <c:pt idx="4">
                    <c:v>29.628501064773893</c:v>
                  </c:pt>
                  <c:pt idx="5">
                    <c:v>47.474537248549254</c:v>
                  </c:pt>
                  <c:pt idx="6">
                    <c:v>51.095977218839984</c:v>
                  </c:pt>
                </c:numCache>
              </c:numRef>
            </c:minus>
          </c:errBars>
          <c:xVal>
            <c:numRef>
              <c:f>'Cu diameter'!$G$3:$G$9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'Cu diameter'!$W$3:$W$9</c:f>
              <c:numCache>
                <c:formatCode>General</c:formatCode>
                <c:ptCount val="7"/>
                <c:pt idx="0">
                  <c:v>0</c:v>
                </c:pt>
                <c:pt idx="1">
                  <c:v>65.450123456666674</c:v>
                </c:pt>
                <c:pt idx="2">
                  <c:v>149.11873507666667</c:v>
                </c:pt>
                <c:pt idx="3">
                  <c:v>281.31193970999999</c:v>
                </c:pt>
                <c:pt idx="4">
                  <c:v>436.24356344333336</c:v>
                </c:pt>
                <c:pt idx="5">
                  <c:v>493.84534224333339</c:v>
                </c:pt>
                <c:pt idx="6">
                  <c:v>588.65191317666665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2B-5645-BBE8-0116D5432857}"/>
            </c:ext>
          </c:extLst>
        </c:ser>
        <c:ser>
          <c:idx val="1"/>
          <c:order val="1"/>
          <c:tx>
            <c:v>0.5 mm</c:v>
          </c:tx>
          <c:spPr>
            <a:ln w="19050">
              <a:noFill/>
            </a:ln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trendline>
            <c:name>0.5 mm trendline</c:name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diameter'!$V$30:$V$36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10.555824850984175</c:v>
                  </c:pt>
                  <c:pt idx="2">
                    <c:v>52.888304477808482</c:v>
                  </c:pt>
                  <c:pt idx="3">
                    <c:v>17.999509924405388</c:v>
                  </c:pt>
                  <c:pt idx="4">
                    <c:v>31.168055287493264</c:v>
                  </c:pt>
                  <c:pt idx="5">
                    <c:v>36.121268872352566</c:v>
                  </c:pt>
                  <c:pt idx="6">
                    <c:v>19.754864758116781</c:v>
                  </c:pt>
                </c:numCache>
              </c:numRef>
            </c:plus>
            <c:minus>
              <c:numRef>
                <c:f>'Cu diameter'!$V$30:$V$36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10.555824850984175</c:v>
                  </c:pt>
                  <c:pt idx="2">
                    <c:v>52.888304477808482</c:v>
                  </c:pt>
                  <c:pt idx="3">
                    <c:v>17.999509924405388</c:v>
                  </c:pt>
                  <c:pt idx="4">
                    <c:v>31.168055287493264</c:v>
                  </c:pt>
                  <c:pt idx="5">
                    <c:v>36.121268872352566</c:v>
                  </c:pt>
                  <c:pt idx="6">
                    <c:v>19.754864758116781</c:v>
                  </c:pt>
                </c:numCache>
              </c:numRef>
            </c:minus>
          </c:errBars>
          <c:xVal>
            <c:numRef>
              <c:f>'Cu diameter'!$G$3:$G$9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'Cu diameter'!$Q$3:$Q$9</c:f>
              <c:numCache>
                <c:formatCode>General</c:formatCode>
                <c:ptCount val="7"/>
                <c:pt idx="0">
                  <c:v>0</c:v>
                </c:pt>
                <c:pt idx="1">
                  <c:v>90.196302732666666</c:v>
                </c:pt>
                <c:pt idx="2">
                  <c:v>220.99848374600001</c:v>
                </c:pt>
                <c:pt idx="3">
                  <c:v>352.59208181266666</c:v>
                </c:pt>
                <c:pt idx="4">
                  <c:v>435.48761697933332</c:v>
                </c:pt>
                <c:pt idx="5">
                  <c:v>531.28843427933327</c:v>
                </c:pt>
                <c:pt idx="6">
                  <c:v>415.85873437933333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2B-5645-BBE8-0116D543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508232"/>
        <c:axId val="2093513704"/>
      </c:scatterChart>
      <c:scatterChart>
        <c:scatterStyle val="lineMarker"/>
        <c:varyColors val="0"/>
        <c:ser>
          <c:idx val="0"/>
          <c:order val="2"/>
          <c:tx>
            <c:v>0.25 mm</c:v>
          </c:tx>
          <c:spPr>
            <a:ln w="19050">
              <a:noFill/>
            </a:ln>
          </c:spPr>
          <c:marker>
            <c:symbol val="triangl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trendline>
            <c:name>0.25 mm trendline</c:name>
            <c:spPr>
              <a:ln>
                <a:prstDash val="sys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'Cu diameter'!$U$30:$U$36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25.935492569190558</c:v>
                  </c:pt>
                  <c:pt idx="2">
                    <c:v>46.196752532921678</c:v>
                  </c:pt>
                  <c:pt idx="3">
                    <c:v>64.478202154662895</c:v>
                  </c:pt>
                  <c:pt idx="4">
                    <c:v>111.33763783215754</c:v>
                  </c:pt>
                  <c:pt idx="5">
                    <c:v>41.227467776431062</c:v>
                  </c:pt>
                  <c:pt idx="6">
                    <c:v>52.073080234068307</c:v>
                  </c:pt>
                </c:numCache>
              </c:numRef>
            </c:plus>
            <c:minus>
              <c:numRef>
                <c:f>'Cu diameter'!$U$30:$U$36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25.935492569190558</c:v>
                  </c:pt>
                  <c:pt idx="2">
                    <c:v>46.196752532921678</c:v>
                  </c:pt>
                  <c:pt idx="3">
                    <c:v>64.478202154662895</c:v>
                  </c:pt>
                  <c:pt idx="4">
                    <c:v>111.33763783215754</c:v>
                  </c:pt>
                  <c:pt idx="5">
                    <c:v>41.227467776431062</c:v>
                  </c:pt>
                  <c:pt idx="6">
                    <c:v>52.073080234068307</c:v>
                  </c:pt>
                </c:numCache>
              </c:numRef>
            </c:minus>
          </c:errBars>
          <c:xVal>
            <c:numRef>
              <c:f>'Cu diameter'!$G$3:$G$9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'Cu diameter'!$K$3:$K$9</c:f>
              <c:numCache>
                <c:formatCode>General</c:formatCode>
                <c:ptCount val="7"/>
                <c:pt idx="0">
                  <c:v>0</c:v>
                </c:pt>
                <c:pt idx="1">
                  <c:v>58.339796886666655</c:v>
                </c:pt>
                <c:pt idx="2">
                  <c:v>136.05850114</c:v>
                </c:pt>
                <c:pt idx="3">
                  <c:v>258.86700404000004</c:v>
                </c:pt>
                <c:pt idx="4">
                  <c:v>311.76316467333334</c:v>
                </c:pt>
                <c:pt idx="5">
                  <c:v>382.77574714000002</c:v>
                </c:pt>
                <c:pt idx="6">
                  <c:v>427.50222200666667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82B-5645-BBE8-0116D543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317887"/>
        <c:axId val="929954671"/>
      </c:scatterChart>
      <c:valAx>
        <c:axId val="2093508232"/>
        <c:scaling>
          <c:orientation val="minMax"/>
          <c:max val="12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3837104198288524"/>
              <c:y val="0.9485226709772310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/>
        </c:spPr>
        <c:txPr>
          <a:bodyPr rot="-60000000" vert="horz" anchor="ctr" anchorCtr="1"/>
          <a:lstStyle/>
          <a:p>
            <a:pPr>
              <a:defRPr sz="1200"/>
            </a:pPr>
            <a:endParaRPr lang="en-US"/>
          </a:p>
        </c:txPr>
        <c:crossAx val="2093513704"/>
        <c:crossesAt val="-10000"/>
        <c:crossBetween val="midCat"/>
      </c:valAx>
      <c:valAx>
        <c:axId val="2093513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Copper Concentration</a:t>
                </a:r>
                <a:r>
                  <a:rPr lang="en-US" sz="1400" b="1"/>
                  <a:t> (</a:t>
                </a:r>
                <a:r>
                  <a:rPr lang="en-US" sz="1400" b="1" i="0" u="none" strike="noStrike" baseline="0">
                    <a:effectLst/>
                  </a:rPr>
                  <a:t>µg/L</a:t>
                </a:r>
                <a:r>
                  <a:rPr lang="en-US" sz="1400" b="1"/>
                  <a:t>)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/>
        </c:spPr>
        <c:txPr>
          <a:bodyPr rot="-60000000" vert="horz"/>
          <a:lstStyle/>
          <a:p>
            <a:pPr>
              <a:defRPr sz="1200"/>
            </a:pPr>
            <a:endParaRPr lang="en-US"/>
          </a:p>
        </c:txPr>
        <c:crossAx val="2093508232"/>
        <c:crossesAt val="-10000"/>
        <c:crossBetween val="midCat"/>
      </c:valAx>
      <c:valAx>
        <c:axId val="929954671"/>
        <c:scaling>
          <c:orientation val="minMax"/>
          <c:max val="700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929317887"/>
        <c:crosses val="max"/>
        <c:crossBetween val="midCat"/>
      </c:valAx>
      <c:valAx>
        <c:axId val="929317887"/>
        <c:scaling>
          <c:orientation val="minMax"/>
          <c:max val="120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929954671"/>
        <c:crosses val="max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6356050741270241"/>
          <c:y val="0.42253466520473981"/>
          <c:w val="0.13091705992882047"/>
          <c:h val="0.10704340343128858"/>
        </c:manualLayout>
      </c:layout>
      <c:overlay val="0"/>
      <c:txPr>
        <a:bodyPr rot="0" vert="horz"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EIS Data:  Comparison of Trial Averages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"1/4"</c:v>
          </c:tx>
          <c:spPr>
            <a:ln w="3175" cmpd="sng">
              <a:prstDash val="sysDash"/>
            </a:ln>
          </c:spPr>
          <c:errBars>
            <c:errDir val="y"/>
            <c:errBarType val="both"/>
            <c:errValType val="cust"/>
            <c:noEndCap val="0"/>
            <c:plus>
              <c:numRef>
                <c:f>'Ag Ionic Strength'!$J$24:$J$27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0.31367727400000001</c:v>
                  </c:pt>
                  <c:pt idx="2">
                    <c:v>3.380435173</c:v>
                  </c:pt>
                  <c:pt idx="3">
                    <c:v>4.6225302990000001</c:v>
                  </c:pt>
                </c:numCache>
              </c:numRef>
            </c:plus>
            <c:minus>
              <c:numRef>
                <c:f>'Ag Ionic Strength'!$J$24:$J$27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0.31367727400000001</c:v>
                  </c:pt>
                  <c:pt idx="2">
                    <c:v>3.380435173</c:v>
                  </c:pt>
                  <c:pt idx="3">
                    <c:v>4.6225302990000001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Strength'!$G$18:$G$21</c:f>
              <c:numCache>
                <c:formatCode>General</c:formatCode>
                <c:ptCount val="4"/>
                <c:pt idx="0">
                  <c:v>0</c:v>
                </c:pt>
                <c:pt idx="1">
                  <c:v>13.049629919999999</c:v>
                </c:pt>
                <c:pt idx="2">
                  <c:v>52.688658036666673</c:v>
                </c:pt>
                <c:pt idx="3">
                  <c:v>100.19035368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F-0D49-8C8E-7A0CDEB2FB21}"/>
            </c:ext>
          </c:extLst>
        </c:ser>
        <c:ser>
          <c:idx val="1"/>
          <c:order val="1"/>
          <c:tx>
            <c:v>"1/2"</c:v>
          </c:tx>
          <c:spPr>
            <a:ln w="3175" cmpd="sng"/>
          </c:spPr>
          <c:errBars>
            <c:errDir val="y"/>
            <c:errBarType val="both"/>
            <c:errValType val="cust"/>
            <c:noEndCap val="0"/>
            <c:plus>
              <c:numRef>
                <c:f>'Ag Ionic Strength'!$K$24:$K$27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0.76164344100000003</c:v>
                  </c:pt>
                  <c:pt idx="2">
                    <c:v>4.2672003380000003</c:v>
                  </c:pt>
                  <c:pt idx="3">
                    <c:v>2.335780293</c:v>
                  </c:pt>
                </c:numCache>
              </c:numRef>
            </c:plus>
            <c:minus>
              <c:numRef>
                <c:f>'Ag Ionic Strength'!$K$24:$K$27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0.76164344100000003</c:v>
                  </c:pt>
                  <c:pt idx="2">
                    <c:v>4.2672003380000003</c:v>
                  </c:pt>
                  <c:pt idx="3">
                    <c:v>2.335780293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Strength'!$H$18:$H$21</c:f>
              <c:numCache>
                <c:formatCode>General</c:formatCode>
                <c:ptCount val="4"/>
                <c:pt idx="0">
                  <c:v>0</c:v>
                </c:pt>
                <c:pt idx="1">
                  <c:v>28.477558239999997</c:v>
                </c:pt>
                <c:pt idx="2">
                  <c:v>98.41792808999999</c:v>
                </c:pt>
                <c:pt idx="3">
                  <c:v>195.14752436666666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4F-0D49-8C8E-7A0CDEB2FB21}"/>
            </c:ext>
          </c:extLst>
        </c:ser>
        <c:ser>
          <c:idx val="2"/>
          <c:order val="2"/>
          <c:tx>
            <c:v>"1"</c:v>
          </c:tx>
          <c:spPr>
            <a:ln w="3175" cmpd="sng">
              <a:prstDash val="lgDashDot"/>
            </a:ln>
          </c:spPr>
          <c:errBars>
            <c:errDir val="y"/>
            <c:errBarType val="both"/>
            <c:errValType val="cust"/>
            <c:noEndCap val="0"/>
            <c:plus>
              <c:numRef>
                <c:f>'Ag Ionic Strength'!$L$24:$L$27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1.484616511</c:v>
                  </c:pt>
                  <c:pt idx="2">
                    <c:v>12.97390534</c:v>
                  </c:pt>
                  <c:pt idx="3">
                    <c:v>12.51602626</c:v>
                  </c:pt>
                </c:numCache>
              </c:numRef>
            </c:plus>
            <c:minus>
              <c:numRef>
                <c:f>'Ag Ionic Strength'!$L$24:$L$27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1.484616511</c:v>
                  </c:pt>
                  <c:pt idx="2">
                    <c:v>12.97390534</c:v>
                  </c:pt>
                  <c:pt idx="3">
                    <c:v>12.51602626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Strength'!$I$18:$I$21</c:f>
              <c:numCache>
                <c:formatCode>General</c:formatCode>
                <c:ptCount val="4"/>
                <c:pt idx="0">
                  <c:v>0</c:v>
                </c:pt>
                <c:pt idx="1">
                  <c:v>102.57089916666668</c:v>
                </c:pt>
                <c:pt idx="2">
                  <c:v>212.88621686666667</c:v>
                </c:pt>
                <c:pt idx="3">
                  <c:v>321.67729993333336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4F-0D49-8C8E-7A0CDEB2F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024328"/>
        <c:axId val="2108004808"/>
      </c:scatterChart>
      <c:valAx>
        <c:axId val="207102432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8004808"/>
        <c:crosses val="autoZero"/>
        <c:crossBetween val="midCat"/>
      </c:valAx>
      <c:valAx>
        <c:axId val="2108004808"/>
        <c:scaling>
          <c:orientation val="minMax"/>
          <c:max val="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Concentration (ppb)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1024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687234806105"/>
          <c:y val="4.8691017301767045E-2"/>
          <c:w val="0.74410926218704809"/>
          <c:h val="0.85926526742685594"/>
        </c:manualLayout>
      </c:layout>
      <c:scatterChart>
        <c:scatterStyle val="lineMarker"/>
        <c:varyColors val="0"/>
        <c:ser>
          <c:idx val="0"/>
          <c:order val="0"/>
          <c:tx>
            <c:v>Silver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lgDash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'parallell circuit 9V'!$F$3:$F$7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25.115740502222295</c:v>
                  </c:pt>
                  <c:pt idx="2">
                    <c:v>48.438008663264419</c:v>
                  </c:pt>
                  <c:pt idx="3">
                    <c:v>74.958742034053088</c:v>
                  </c:pt>
                  <c:pt idx="4">
                    <c:v>54.609397119567966</c:v>
                  </c:pt>
                </c:numCache>
              </c:numRef>
            </c:plus>
            <c:minus>
              <c:numRef>
                <c:f>'parallell circuit 9V'!$F$3:$F$7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25.115740502222295</c:v>
                  </c:pt>
                  <c:pt idx="2">
                    <c:v>48.438008663264419</c:v>
                  </c:pt>
                  <c:pt idx="3">
                    <c:v>74.958742034053088</c:v>
                  </c:pt>
                  <c:pt idx="4">
                    <c:v>54.609397119567966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'parallell circuit 9V'!$A$3:$A$7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'parallell circuit 9V'!$E$3:$E$7</c:f>
              <c:numCache>
                <c:formatCode>General</c:formatCode>
                <c:ptCount val="5"/>
                <c:pt idx="0">
                  <c:v>0</c:v>
                </c:pt>
                <c:pt idx="1">
                  <c:v>119.99310735029336</c:v>
                </c:pt>
                <c:pt idx="2">
                  <c:v>237.92956958613831</c:v>
                </c:pt>
                <c:pt idx="3">
                  <c:v>305.37402770123362</c:v>
                </c:pt>
                <c:pt idx="4">
                  <c:v>372.04149023156862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1F-BE46-948B-D27C4A67E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680800"/>
        <c:axId val="1339204432"/>
      </c:scatterChart>
      <c:scatterChart>
        <c:scatterStyle val="lineMarker"/>
        <c:varyColors val="0"/>
        <c:ser>
          <c:idx val="1"/>
          <c:order val="1"/>
          <c:tx>
            <c:v>Copper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'parallell circuit 9V'!$F$11:$F$15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6.1593469333441133</c:v>
                  </c:pt>
                  <c:pt idx="2">
                    <c:v>7.4654898379630437</c:v>
                  </c:pt>
                  <c:pt idx="3">
                    <c:v>20.073929294208192</c:v>
                  </c:pt>
                  <c:pt idx="4">
                    <c:v>27.452859935902296</c:v>
                  </c:pt>
                </c:numCache>
              </c:numRef>
            </c:plus>
            <c:minus>
              <c:numRef>
                <c:f>'parallell circuit 9V'!$F$11:$F$15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6.1593469333441133</c:v>
                  </c:pt>
                  <c:pt idx="2">
                    <c:v>7.4654898379630437</c:v>
                  </c:pt>
                  <c:pt idx="3">
                    <c:v>20.073929294208192</c:v>
                  </c:pt>
                  <c:pt idx="4">
                    <c:v>27.452859935902296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'parallell circuit 9V'!$A$11:$A$15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'parallell circuit 9V'!$E$11:$E$15</c:f>
              <c:numCache>
                <c:formatCode>General</c:formatCode>
                <c:ptCount val="5"/>
                <c:pt idx="0">
                  <c:v>0</c:v>
                </c:pt>
                <c:pt idx="1">
                  <c:v>37.715335906459238</c:v>
                </c:pt>
                <c:pt idx="2">
                  <c:v>70.661717849173272</c:v>
                </c:pt>
                <c:pt idx="3">
                  <c:v>137.22082523119366</c:v>
                </c:pt>
                <c:pt idx="4">
                  <c:v>199.433165353861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1F-BE46-948B-D27C4A67E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848479"/>
        <c:axId val="1445868959"/>
      </c:scatterChart>
      <c:valAx>
        <c:axId val="1639680800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9204432"/>
        <c:crosses val="autoZero"/>
        <c:crossBetween val="midCat"/>
      </c:valAx>
      <c:valAx>
        <c:axId val="13392044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Concentration (</a:t>
                </a:r>
                <a:r>
                  <a:rPr lang="el-GR" sz="14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μ</a:t>
                </a:r>
                <a:r>
                  <a:rPr lang="en-US" sz="14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g/L</a:t>
                </a:r>
                <a:r>
                  <a:rPr lang="en-US" sz="14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4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680800"/>
        <c:crosses val="autoZero"/>
        <c:crossBetween val="midCat"/>
      </c:valAx>
      <c:valAx>
        <c:axId val="1445868959"/>
        <c:scaling>
          <c:orientation val="minMax"/>
          <c:max val="45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3848479"/>
        <c:crosses val="max"/>
        <c:crossBetween val="midCat"/>
      </c:valAx>
      <c:valAx>
        <c:axId val="1513848479"/>
        <c:scaling>
          <c:orientation val="minMax"/>
          <c:max val="30"/>
        </c:scaling>
        <c:delete val="0"/>
        <c:axPos val="t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868959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4339464998847"/>
          <c:y val="3.0879196681436582E-2"/>
          <c:w val="0.73574945402259018"/>
          <c:h val="0.85583763214660968"/>
        </c:manualLayout>
      </c:layout>
      <c:scatterChart>
        <c:scatterStyle val="lineMarker"/>
        <c:varyColors val="0"/>
        <c:ser>
          <c:idx val="5"/>
          <c:order val="0"/>
          <c:tx>
            <c:v>4.58·10-3 M</c:v>
          </c:tx>
          <c:spPr>
            <a:ln w="3175" cmpd="sng">
              <a:noFill/>
              <a:prstDash val="lgDashDot"/>
            </a:ln>
          </c:spPr>
          <c:marker>
            <c:symbol val="triangle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'Ag Ionic Strength'!$L$24:$L$27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1.484616511</c:v>
                  </c:pt>
                  <c:pt idx="2">
                    <c:v>12.97390534</c:v>
                  </c:pt>
                  <c:pt idx="3">
                    <c:v>12.51602626</c:v>
                  </c:pt>
                </c:numCache>
              </c:numRef>
            </c:plus>
            <c:minus>
              <c:numRef>
                <c:f>'Ag Ionic Strength'!$L$24:$L$27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1.484616511</c:v>
                  </c:pt>
                  <c:pt idx="2">
                    <c:v>12.97390534</c:v>
                  </c:pt>
                  <c:pt idx="3">
                    <c:v>12.51602626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Strength'!$I$18:$I$21</c:f>
              <c:numCache>
                <c:formatCode>General</c:formatCode>
                <c:ptCount val="4"/>
                <c:pt idx="0">
                  <c:v>0</c:v>
                </c:pt>
                <c:pt idx="1">
                  <c:v>102.57089916666668</c:v>
                </c:pt>
                <c:pt idx="2">
                  <c:v>212.88621686666667</c:v>
                </c:pt>
                <c:pt idx="3">
                  <c:v>321.67729993333336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EB4-6747-8693-774E4F678654}"/>
            </c:ext>
          </c:extLst>
        </c:ser>
        <c:ser>
          <c:idx val="3"/>
          <c:order val="1"/>
          <c:tx>
            <c:v>2.29·10-3 M</c:v>
          </c:tx>
          <c:spPr>
            <a:ln w="6350" cmpd="sng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'Ag Ionic Strength'!$K$24:$K$27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0.76164344100000003</c:v>
                  </c:pt>
                  <c:pt idx="2">
                    <c:v>4.2672003380000003</c:v>
                  </c:pt>
                  <c:pt idx="3">
                    <c:v>2.335780293</c:v>
                  </c:pt>
                </c:numCache>
              </c:numRef>
            </c:plus>
            <c:minus>
              <c:numRef>
                <c:f>'Ag Ionic Strength'!$K$24:$K$27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0.76164344100000003</c:v>
                  </c:pt>
                  <c:pt idx="2">
                    <c:v>4.2672003380000003</c:v>
                  </c:pt>
                  <c:pt idx="3">
                    <c:v>2.335780293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Strength'!$H$18:$H$21</c:f>
              <c:numCache>
                <c:formatCode>General</c:formatCode>
                <c:ptCount val="4"/>
                <c:pt idx="0">
                  <c:v>0</c:v>
                </c:pt>
                <c:pt idx="1">
                  <c:v>28.477558239999997</c:v>
                </c:pt>
                <c:pt idx="2">
                  <c:v>98.41792808999999</c:v>
                </c:pt>
                <c:pt idx="3">
                  <c:v>195.14752436666666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EB4-6747-8693-774E4F678654}"/>
            </c:ext>
          </c:extLst>
        </c:ser>
        <c:ser>
          <c:idx val="4"/>
          <c:order val="2"/>
          <c:tx>
            <c:v>1.15·10-3 M</c:v>
          </c:tx>
          <c:spPr>
            <a:ln w="3175" cmpd="sng">
              <a:noFill/>
              <a:prstDash val="sysDash"/>
            </a:ln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'Ag Ionic Strength'!$J$24:$J$27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0.31367727400000001</c:v>
                  </c:pt>
                  <c:pt idx="2">
                    <c:v>3.380435173</c:v>
                  </c:pt>
                  <c:pt idx="3">
                    <c:v>4.6225302990000001</c:v>
                  </c:pt>
                </c:numCache>
              </c:numRef>
            </c:plus>
            <c:minus>
              <c:numRef>
                <c:f>'Ag Ionic Strength'!$J$24:$J$27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0.31367727400000001</c:v>
                  </c:pt>
                  <c:pt idx="2">
                    <c:v>3.380435173</c:v>
                  </c:pt>
                  <c:pt idx="3">
                    <c:v>4.6225302990000001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Strength'!$G$18:$G$21</c:f>
              <c:numCache>
                <c:formatCode>General</c:formatCode>
                <c:ptCount val="4"/>
                <c:pt idx="0">
                  <c:v>0</c:v>
                </c:pt>
                <c:pt idx="1">
                  <c:v>13.049629919999999</c:v>
                </c:pt>
                <c:pt idx="2">
                  <c:v>52.688658036666673</c:v>
                </c:pt>
                <c:pt idx="3">
                  <c:v>100.19035368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EB4-6747-8693-774E4F678654}"/>
            </c:ext>
          </c:extLst>
        </c:ser>
        <c:ser>
          <c:idx val="1"/>
          <c:order val="3"/>
          <c:tx>
            <c:v>2.29·10-3 M</c:v>
          </c:tx>
          <c:spPr>
            <a:ln w="3175" cmpd="sng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name>1/2 Dilution trendline</c:name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'Ag Ionic Strength'!$K$24:$K$27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0.76164344100000003</c:v>
                  </c:pt>
                  <c:pt idx="2">
                    <c:v>4.2672003380000003</c:v>
                  </c:pt>
                  <c:pt idx="3">
                    <c:v>2.335780293</c:v>
                  </c:pt>
                </c:numCache>
              </c:numRef>
            </c:plus>
            <c:minus>
              <c:numRef>
                <c:f>'Ag Ionic Strength'!$K$24:$K$27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0.76164344100000003</c:v>
                  </c:pt>
                  <c:pt idx="2">
                    <c:v>4.2672003380000003</c:v>
                  </c:pt>
                  <c:pt idx="3">
                    <c:v>2.335780293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Strength'!$H$18:$H$21</c:f>
              <c:numCache>
                <c:formatCode>General</c:formatCode>
                <c:ptCount val="4"/>
                <c:pt idx="0">
                  <c:v>0</c:v>
                </c:pt>
                <c:pt idx="1">
                  <c:v>28.477558239999997</c:v>
                </c:pt>
                <c:pt idx="2">
                  <c:v>98.41792808999999</c:v>
                </c:pt>
                <c:pt idx="3">
                  <c:v>195.14752436666666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EB4-6747-8693-774E4F678654}"/>
            </c:ext>
          </c:extLst>
        </c:ser>
        <c:ser>
          <c:idx val="0"/>
          <c:order val="5"/>
          <c:tx>
            <c:v>1.15·10-3 M</c:v>
          </c:tx>
          <c:spPr>
            <a:ln w="3175" cmpd="sng">
              <a:noFill/>
              <a:prstDash val="sysDash"/>
            </a:ln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trendline>
            <c:name>1/4 Dilution trendline</c:name>
            <c:spPr>
              <a:ln>
                <a:prstDash val="sys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'Ag Ionic Strength'!$J$24:$J$27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0.31367727400000001</c:v>
                  </c:pt>
                  <c:pt idx="2">
                    <c:v>3.380435173</c:v>
                  </c:pt>
                  <c:pt idx="3">
                    <c:v>4.6225302990000001</c:v>
                  </c:pt>
                </c:numCache>
              </c:numRef>
            </c:plus>
            <c:minus>
              <c:numRef>
                <c:f>'Ag Ionic Strength'!$J$24:$J$27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0.31367727400000001</c:v>
                  </c:pt>
                  <c:pt idx="2">
                    <c:v>3.380435173</c:v>
                  </c:pt>
                  <c:pt idx="3">
                    <c:v>4.6225302990000001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Strength'!$G$18:$G$21</c:f>
              <c:numCache>
                <c:formatCode>General</c:formatCode>
                <c:ptCount val="4"/>
                <c:pt idx="0">
                  <c:v>0</c:v>
                </c:pt>
                <c:pt idx="1">
                  <c:v>13.049629919999999</c:v>
                </c:pt>
                <c:pt idx="2">
                  <c:v>52.688658036666673</c:v>
                </c:pt>
                <c:pt idx="3">
                  <c:v>100.19035368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EB4-6747-8693-774E4F678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396936"/>
        <c:axId val="2107402472"/>
      </c:scatterChart>
      <c:scatterChart>
        <c:scatterStyle val="lineMarker"/>
        <c:varyColors val="0"/>
        <c:ser>
          <c:idx val="2"/>
          <c:order val="4"/>
          <c:tx>
            <c:v>4.58·10-3 M</c:v>
          </c:tx>
          <c:spPr>
            <a:ln w="3175" cmpd="sng">
              <a:noFill/>
              <a:prstDash val="lgDashDot"/>
            </a:ln>
          </c:spPr>
          <c:marker>
            <c:symbol val="triangle"/>
            <c:size val="9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trendline>
            <c:name>No Dilution trendline</c:name>
            <c:spPr>
              <a:ln>
                <a:prstDash val="lg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'Ag Ionic Strength'!$L$24:$L$27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1.484616511</c:v>
                  </c:pt>
                  <c:pt idx="2">
                    <c:v>12.97390534</c:v>
                  </c:pt>
                  <c:pt idx="3">
                    <c:v>12.51602626</c:v>
                  </c:pt>
                </c:numCache>
              </c:numRef>
            </c:plus>
            <c:minus>
              <c:numRef>
                <c:f>'Ag Ionic Strength'!$L$24:$L$27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1.484616511</c:v>
                  </c:pt>
                  <c:pt idx="2">
                    <c:v>12.97390534</c:v>
                  </c:pt>
                  <c:pt idx="3">
                    <c:v>12.51602626</c:v>
                  </c:pt>
                </c:numCache>
              </c:numRef>
            </c:minus>
          </c:errBars>
          <c:xVal>
            <c:numRef>
              <c:f>'Ag Ionic Strength'!$F$18:$F$21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'Ag Ionic Strength'!$I$18:$I$21</c:f>
              <c:numCache>
                <c:formatCode>General</c:formatCode>
                <c:ptCount val="4"/>
                <c:pt idx="0">
                  <c:v>0</c:v>
                </c:pt>
                <c:pt idx="1">
                  <c:v>102.57089916666668</c:v>
                </c:pt>
                <c:pt idx="2">
                  <c:v>212.88621686666667</c:v>
                </c:pt>
                <c:pt idx="3">
                  <c:v>321.67729993333336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EB4-6747-8693-774E4F678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949471"/>
        <c:axId val="990855583"/>
      </c:scatterChart>
      <c:valAx>
        <c:axId val="210739693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Time (min)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7402472"/>
        <c:crosses val="autoZero"/>
        <c:crossBetween val="midCat"/>
      </c:valAx>
      <c:valAx>
        <c:axId val="2107402472"/>
        <c:scaling>
          <c:orientation val="minMax"/>
          <c:max val="4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aseline="0"/>
                </a:pPr>
                <a:r>
                  <a:rPr lang="en-US" sz="1400" baseline="0"/>
                  <a:t>Silver Concentration (</a:t>
                </a:r>
                <a:r>
                  <a:rPr lang="en-US" sz="1400" b="1" i="0" u="none" strike="noStrike" baseline="0">
                    <a:effectLst/>
                  </a:rPr>
                  <a:t>µg/L</a:t>
                </a:r>
                <a:r>
                  <a:rPr lang="en-US" sz="1400" baseline="0"/>
                  <a:t>)</a:t>
                </a:r>
              </a:p>
            </c:rich>
          </c:tx>
          <c:layout>
            <c:manualLayout>
              <c:xMode val="edge"/>
              <c:yMode val="edge"/>
              <c:x val="1.7053500604813386E-2"/>
              <c:y val="0.2311330635249775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7396936"/>
        <c:crosses val="autoZero"/>
        <c:crossBetween val="midCat"/>
      </c:valAx>
      <c:valAx>
        <c:axId val="990855583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870949471"/>
        <c:crosses val="max"/>
        <c:crossBetween val="midCat"/>
      </c:valAx>
      <c:valAx>
        <c:axId val="870949471"/>
        <c:scaling>
          <c:orientation val="minMax"/>
          <c:max val="10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990855583"/>
        <c:crosses val="max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568281395091405"/>
          <c:y val="0.40256690370790521"/>
          <c:w val="0.14317186049085956"/>
          <c:h val="0.15242974753030122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64243147576719"/>
          <c:y val="5.0709015233460518E-2"/>
          <c:w val="0.79094934284478147"/>
          <c:h val="0.85165724155511735"/>
        </c:manualLayout>
      </c:layout>
      <c:scatterChart>
        <c:scatterStyle val="lineMarker"/>
        <c:varyColors val="0"/>
        <c:ser>
          <c:idx val="2"/>
          <c:order val="0"/>
          <c:tx>
            <c:v>25.4 cm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lgDash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('wire length'!$K$2,'wire length'!$L$7:$L$8)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9.6810129176192596</c:v>
                  </c:pt>
                  <c:pt idx="2">
                    <c:v>2.5614123708089909</c:v>
                  </c:pt>
                </c:numCache>
              </c:numRef>
            </c:plus>
            <c:minus>
              <c:numRef>
                <c:f>('wire length'!$K$2,'wire length'!$L$7:$L$8)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9.6810129176192596</c:v>
                  </c:pt>
                  <c:pt idx="2">
                    <c:v>2.5614123708089909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length'!$G$2:$G$4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('wire length'!$K$2,'wire length'!$K$7:$K$8)</c:f>
              <c:numCache>
                <c:formatCode>General</c:formatCode>
                <c:ptCount val="3"/>
                <c:pt idx="0">
                  <c:v>0</c:v>
                </c:pt>
                <c:pt idx="1">
                  <c:v>35.486666666666672</c:v>
                </c:pt>
                <c:pt idx="2">
                  <c:v>84.11999999999999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C1-A840-980D-47F4C8BCEA0E}"/>
            </c:ext>
          </c:extLst>
        </c:ser>
        <c:ser>
          <c:idx val="1"/>
          <c:order val="1"/>
          <c:tx>
            <c:v>12.7 cm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('wire length'!$K$2,'wire length'!$L$5:$L$6)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46.24141630976861</c:v>
                  </c:pt>
                  <c:pt idx="2">
                    <c:v>3.4348330058065066</c:v>
                  </c:pt>
                </c:numCache>
              </c:numRef>
            </c:plus>
            <c:minus>
              <c:numRef>
                <c:f>('wire length'!$K$2,'wire length'!$L$5:$L$6)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46.24141630976861</c:v>
                  </c:pt>
                  <c:pt idx="2">
                    <c:v>3.4348330058065066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length'!$G$2:$G$4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('wire length'!$K$2,'wire length'!$K$5:$K$6)</c:f>
              <c:numCache>
                <c:formatCode>General</c:formatCode>
                <c:ptCount val="3"/>
                <c:pt idx="0">
                  <c:v>0</c:v>
                </c:pt>
                <c:pt idx="2">
                  <c:v>76.803333333333342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C1-A840-980D-47F4C8BCE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316832"/>
        <c:axId val="1339202768"/>
      </c:scatterChart>
      <c:scatterChart>
        <c:scatterStyle val="lineMarker"/>
        <c:varyColors val="0"/>
        <c:ser>
          <c:idx val="0"/>
          <c:order val="2"/>
          <c:tx>
            <c:v>6.4 cm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('wire length'!$K$2,'wire length'!$L$3:$L$4)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9.4149399980385819</c:v>
                  </c:pt>
                  <c:pt idx="2">
                    <c:v>1.7902327595408709</c:v>
                  </c:pt>
                </c:numCache>
              </c:numRef>
            </c:plus>
            <c:minus>
              <c:numRef>
                <c:f>('wire length'!$K$2,'wire length'!$L$3:$L$4)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9.4149399980385819</c:v>
                  </c:pt>
                  <c:pt idx="2">
                    <c:v>1.7902327595408709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length'!$G$2:$G$4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('wire length'!$G$2,'wire length'!$K$3:$K$4,'wire length'!$K$4)</c:f>
              <c:numCache>
                <c:formatCode>General</c:formatCode>
                <c:ptCount val="4"/>
                <c:pt idx="0">
                  <c:v>0</c:v>
                </c:pt>
                <c:pt idx="1">
                  <c:v>21.963666666666665</c:v>
                </c:pt>
                <c:pt idx="2">
                  <c:v>69.989999999999995</c:v>
                </c:pt>
                <c:pt idx="3">
                  <c:v>69.989999999999995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C1-A840-980D-47F4C8BCE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683599"/>
        <c:axId val="1459047583"/>
      </c:scatterChart>
      <c:valAx>
        <c:axId val="1426316832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9202768"/>
        <c:crosses val="autoZero"/>
        <c:crossBetween val="midCat"/>
      </c:valAx>
      <c:valAx>
        <c:axId val="13392027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Silver</a:t>
                </a:r>
                <a:r>
                  <a:rPr lang="en-US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Concentration (</a:t>
                </a:r>
                <a:r>
                  <a:rPr lang="el-GR" sz="12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μ</a:t>
                </a:r>
                <a:r>
                  <a:rPr lang="en-US" sz="1200" b="1" i="0" u="none" strike="noStrike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g/L</a:t>
                </a:r>
                <a:r>
                  <a:rPr lang="en-US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2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0080473106246149E-2"/>
              <c:y val="0.24159724248693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6316832"/>
        <c:crosses val="autoZero"/>
        <c:crossBetween val="midCat"/>
      </c:valAx>
      <c:valAx>
        <c:axId val="1459047583"/>
        <c:scaling>
          <c:orientation val="minMax"/>
          <c:max val="10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5683599"/>
        <c:crosses val="max"/>
        <c:crossBetween val="midCat"/>
      </c:valAx>
      <c:valAx>
        <c:axId val="1495683599"/>
        <c:scaling>
          <c:orientation val="minMax"/>
          <c:max val="10"/>
        </c:scaling>
        <c:delete val="0"/>
        <c:axPos val="t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047583"/>
        <c:crosses val="max"/>
        <c:crossBetween val="midCat"/>
      </c:valAx>
      <c:spPr>
        <a:noFill/>
        <a:ln cap="rnd">
          <a:solidFill>
            <a:schemeClr val="tx1"/>
          </a:solidFill>
        </a:ln>
        <a:effectLst/>
      </c:spPr>
    </c:plotArea>
    <c:legend>
      <c:legendPos val="r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4413449317609875"/>
          <c:y val="8.0642918990973395E-2"/>
          <c:w val="0.10497797484165448"/>
          <c:h val="0.163135821464636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2066292968168"/>
          <c:y val="6.9444444444444406E-2"/>
          <c:w val="0.84715709102497894"/>
          <c:h val="0.780739655412125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'Silver + Copper disinfection'!$B$58</c:f>
              <c:strCache>
                <c:ptCount val="1"/>
                <c:pt idx="0">
                  <c:v>Control</c:v>
                </c:pt>
              </c:strCache>
            </c:strRef>
          </c:tx>
          <c:spPr>
            <a:ln w="19050">
              <a:noFill/>
            </a:ln>
          </c:spPr>
          <c:marker>
            <c:spPr>
              <a:solidFill>
                <a:schemeClr val="bg2">
                  <a:lumMod val="50000"/>
                </a:schemeClr>
              </a:solidFill>
              <a:ln w="50800">
                <a:solidFill>
                  <a:srgbClr val="0070C0"/>
                </a:solidFill>
              </a:ln>
            </c:spPr>
          </c:marker>
          <c:xVal>
            <c:numRef>
              <c:f>'Silver + Copper disinfection'!$A$59:$A$62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+ Copper disinfection'!$C$59:$C$62</c:f>
              <c:numCache>
                <c:formatCode>General</c:formatCode>
                <c:ptCount val="4"/>
                <c:pt idx="0">
                  <c:v>0</c:v>
                </c:pt>
                <c:pt idx="1">
                  <c:v>-5.5951405329150106E-2</c:v>
                </c:pt>
                <c:pt idx="2">
                  <c:v>-0.30373588903990623</c:v>
                </c:pt>
                <c:pt idx="3">
                  <c:v>0.42596873227228116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8B-CE45-A0DB-1A68DF76C72D}"/>
            </c:ext>
          </c:extLst>
        </c:ser>
        <c:ser>
          <c:idx val="5"/>
          <c:order val="1"/>
          <c:tx>
            <c:v>4.5V</c:v>
          </c:tx>
          <c:spPr>
            <a:ln w="19050">
              <a:noFill/>
            </a:ln>
          </c:spPr>
          <c:marker>
            <c:spPr>
              <a:solidFill>
                <a:schemeClr val="tx1">
                  <a:lumMod val="95000"/>
                  <a:lumOff val="5000"/>
                </a:schemeClr>
              </a:solidFill>
              <a:ln w="50800">
                <a:solidFill>
                  <a:srgbClr val="00B05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'Silver + Copper disinfection'!$I$59:$I$62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0.79846017583777551</c:v>
                  </c:pt>
                  <c:pt idx="2">
                    <c:v>0.38907562519182187</c:v>
                  </c:pt>
                  <c:pt idx="3">
                    <c:v>0.38907562519182187</c:v>
                  </c:pt>
                </c:numCache>
              </c:numRef>
            </c:plus>
            <c:minus>
              <c:numRef>
                <c:f>'Silver + Copper disinfection'!$I$59:$I$62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0.79846017583777551</c:v>
                  </c:pt>
                  <c:pt idx="2">
                    <c:v>0.38907562519182187</c:v>
                  </c:pt>
                  <c:pt idx="3">
                    <c:v>0.38907562519182187</c:v>
                  </c:pt>
                </c:numCache>
              </c:numRef>
            </c:minus>
          </c:errBars>
          <c:xVal>
            <c:numRef>
              <c:f>'Silver + Copper disinfection'!$A$59:$A$62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+ Copper disinfection'!$H$59:$H$62</c:f>
              <c:numCache>
                <c:formatCode>General</c:formatCode>
                <c:ptCount val="4"/>
                <c:pt idx="0">
                  <c:v>0</c:v>
                </c:pt>
                <c:pt idx="1">
                  <c:v>3.2721208984479313</c:v>
                </c:pt>
                <c:pt idx="2">
                  <c:v>4.6901056208558032</c:v>
                </c:pt>
                <c:pt idx="3">
                  <c:v>4.6901056208558032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8B-CE45-A0DB-1A68DF76C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459528"/>
        <c:axId val="2065465336"/>
      </c:scatterChart>
      <c:valAx>
        <c:axId val="206545952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2000"/>
                </a:pPr>
                <a:r>
                  <a:rPr lang="en-US" sz="2000"/>
                  <a:t>Time (Hours)</a:t>
                </a:r>
              </a:p>
            </c:rich>
          </c:tx>
          <c:layout>
            <c:manualLayout>
              <c:xMode val="edge"/>
              <c:yMode val="edge"/>
              <c:x val="0.40927944711087233"/>
              <c:y val="0.87163006872281612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 sz="2500"/>
            </a:pPr>
            <a:endParaRPr lang="en-US"/>
          </a:p>
        </c:txPr>
        <c:crossAx val="2065465336"/>
        <c:crosses val="autoZero"/>
        <c:crossBetween val="midCat"/>
      </c:valAx>
      <c:valAx>
        <c:axId val="2065465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Log Reduction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 sz="1500"/>
            </a:pPr>
            <a:endParaRPr lang="en-US"/>
          </a:p>
        </c:txPr>
        <c:crossAx val="206545952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284357639308922"/>
          <c:y val="1.3188712774203136E-2"/>
          <c:w val="0.41467535533755084"/>
          <c:h val="0.11467490207181644"/>
        </c:manualLayout>
      </c:layout>
      <c:overlay val="1"/>
      <c:spPr>
        <a:ln>
          <a:solidFill>
            <a:schemeClr val="tx1"/>
          </a:solidFill>
        </a:ln>
      </c:spPr>
      <c:txPr>
        <a:bodyPr rot="0" vert="horz"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504353051759E-2"/>
          <c:y val="4.72222222222222E-2"/>
          <c:w val="0.78082616639242819"/>
          <c:h val="0.793810027070509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'Silver + Copper disinfection'!$B$58</c:f>
              <c:strCache>
                <c:ptCount val="1"/>
                <c:pt idx="0">
                  <c:v>Control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'Silver + Copper disinfection'!$A$59:$A$62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+ Copper disinfection'!$C$59:$C$62</c:f>
              <c:numCache>
                <c:formatCode>General</c:formatCode>
                <c:ptCount val="4"/>
                <c:pt idx="0">
                  <c:v>0</c:v>
                </c:pt>
                <c:pt idx="1">
                  <c:v>-5.5951405329150106E-2</c:v>
                </c:pt>
                <c:pt idx="2">
                  <c:v>-0.30373588903990623</c:v>
                </c:pt>
                <c:pt idx="3">
                  <c:v>0.42596873227228116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9B-1346-B58B-B3EE34AC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448152"/>
        <c:axId val="2065438984"/>
      </c:scatterChart>
      <c:scatterChart>
        <c:scatterStyle val="lineMarker"/>
        <c:varyColors val="0"/>
        <c:ser>
          <c:idx val="5"/>
          <c:order val="1"/>
          <c:tx>
            <c:v>4.5V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'Silver + Copper disinfection'!$I$59:$I$62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0.79846017583777551</c:v>
                  </c:pt>
                  <c:pt idx="2">
                    <c:v>0.38907562519182187</c:v>
                  </c:pt>
                  <c:pt idx="3">
                    <c:v>0.38907562519182187</c:v>
                  </c:pt>
                </c:numCache>
              </c:numRef>
            </c:plus>
            <c:minus>
              <c:numRef>
                <c:f>'Silver + Copper disinfection'!$I$59:$I$62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0.79846017583777551</c:v>
                  </c:pt>
                  <c:pt idx="2">
                    <c:v>0.38907562519182187</c:v>
                  </c:pt>
                  <c:pt idx="3">
                    <c:v>0.38907562519182187</c:v>
                  </c:pt>
                </c:numCache>
              </c:numRef>
            </c:minus>
          </c:errBars>
          <c:xVal>
            <c:numRef>
              <c:f>'Silver + Copper disinfection'!$A$59:$A$62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xVal>
          <c:yVal>
            <c:numRef>
              <c:f>'Silver + Copper disinfection'!$H$59:$H$62</c:f>
              <c:numCache>
                <c:formatCode>General</c:formatCode>
                <c:ptCount val="4"/>
                <c:pt idx="0">
                  <c:v>0</c:v>
                </c:pt>
                <c:pt idx="1">
                  <c:v>3.2721208984479313</c:v>
                </c:pt>
                <c:pt idx="2">
                  <c:v>4.6901056208558032</c:v>
                </c:pt>
                <c:pt idx="3">
                  <c:v>4.6901056208558032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9B-1346-B58B-B3EE34AC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943423"/>
        <c:axId val="1992731584"/>
      </c:scatterChart>
      <c:valAx>
        <c:axId val="2065448152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400" baseline="0"/>
                </a:pPr>
                <a:r>
                  <a:rPr lang="en-US" sz="1400" baseline="0"/>
                  <a:t>Time (Hours)</a:t>
                </a:r>
              </a:p>
            </c:rich>
          </c:tx>
          <c:layout>
            <c:manualLayout>
              <c:xMode val="edge"/>
              <c:yMode val="edge"/>
              <c:x val="0.42440679290088701"/>
              <c:y val="0.9261596675415569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65438984"/>
        <c:crossesAt val="-1"/>
        <c:crossBetween val="midCat"/>
      </c:valAx>
      <c:valAx>
        <c:axId val="2065438984"/>
        <c:scaling>
          <c:orientation val="minMax"/>
          <c:max val="6"/>
          <c:min val="-1"/>
        </c:scaling>
        <c:delete val="0"/>
        <c:axPos val="l"/>
        <c:title>
          <c:tx>
            <c:rich>
              <a:bodyPr rot="-5400000" vert="horz" anchor="ctr" anchorCtr="1"/>
              <a:lstStyle/>
              <a:p>
                <a:pPr algn="ctr">
                  <a:defRPr sz="1400" baseline="0"/>
                </a:pPr>
                <a:r>
                  <a:rPr lang="en-US" sz="1400" baseline="0"/>
                  <a:t>Log Reduction of </a:t>
                </a:r>
                <a:r>
                  <a:rPr lang="en-US" sz="1400" i="1" baseline="0"/>
                  <a:t>E. coli</a:t>
                </a:r>
              </a:p>
            </c:rich>
          </c:tx>
          <c:layout>
            <c:manualLayout>
              <c:xMode val="edge"/>
              <c:yMode val="edge"/>
              <c:x val="1.6367837913541398E-2"/>
              <c:y val="0.23493768987538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65448152"/>
        <c:crosses val="autoZero"/>
        <c:crossBetween val="midCat"/>
      </c:valAx>
      <c:valAx>
        <c:axId val="1992731584"/>
        <c:scaling>
          <c:orientation val="minMax"/>
          <c:min val="-1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306943423"/>
        <c:crosses val="max"/>
        <c:crossBetween val="midCat"/>
      </c:valAx>
      <c:valAx>
        <c:axId val="306943423"/>
        <c:scaling>
          <c:orientation val="minMax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1992731584"/>
        <c:crosses val="max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490704415112253"/>
          <c:y val="0.39619902148646036"/>
          <c:w val="0.11299930997051265"/>
          <c:h val="7.6162793853662245E-2"/>
        </c:manualLayout>
      </c:layout>
      <c:overlay val="0"/>
      <c:txPr>
        <a:bodyPr rot="0" vert="horz"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41058547920936"/>
          <c:y val="3.568751047076562E-2"/>
          <c:w val="0.72439860795381428"/>
          <c:h val="0.85921067793355099"/>
        </c:manualLayout>
      </c:layout>
      <c:scatterChart>
        <c:scatterStyle val="lineMarker"/>
        <c:varyColors val="0"/>
        <c:ser>
          <c:idx val="3"/>
          <c:order val="0"/>
          <c:tx>
            <c:v>2.5</c:v>
          </c:tx>
          <c:spPr>
            <a:ln w="190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'Wire depth'!$K$4:$K$8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12.884538278622214</c:v>
                  </c:pt>
                  <c:pt idx="2">
                    <c:v>15.39994374694338</c:v>
                  </c:pt>
                  <c:pt idx="3">
                    <c:v>49.200490469175115</c:v>
                  </c:pt>
                  <c:pt idx="4">
                    <c:v>7.0451832764750275</c:v>
                  </c:pt>
                </c:numCache>
              </c:numRef>
            </c:plus>
            <c:minus>
              <c:numRef>
                <c:f>'Wire depth'!$K$4:$K$8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12.884538278622214</c:v>
                  </c:pt>
                  <c:pt idx="2">
                    <c:v>15.39994374694338</c:v>
                  </c:pt>
                  <c:pt idx="3">
                    <c:v>49.200490469175115</c:v>
                  </c:pt>
                  <c:pt idx="4">
                    <c:v>7.0451832764750275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depth'!$A$4:$A$8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'Wire depth'!$J$4:$J$8</c:f>
              <c:numCache>
                <c:formatCode>General</c:formatCode>
                <c:ptCount val="5"/>
                <c:pt idx="0">
                  <c:v>0</c:v>
                </c:pt>
                <c:pt idx="1">
                  <c:v>27.517104002</c:v>
                </c:pt>
                <c:pt idx="2">
                  <c:v>127.68287789999999</c:v>
                </c:pt>
                <c:pt idx="3">
                  <c:v>250.1850809</c:v>
                </c:pt>
                <c:pt idx="4">
                  <c:v>382.03591420000004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C85-8D4B-802C-62622AC64CE9}"/>
            </c:ext>
          </c:extLst>
        </c:ser>
        <c:ser>
          <c:idx val="4"/>
          <c:order val="1"/>
          <c:tx>
            <c:v>3.8 cm</c:v>
          </c:tx>
          <c:spPr>
            <a:ln w="19050">
              <a:noFill/>
            </a:ln>
          </c:spPr>
          <c:marker>
            <c:symbol val="circle"/>
            <c:size val="1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prstDash val="lg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'Wire depth'!$P$4:$P$8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11.811832732604463</c:v>
                  </c:pt>
                  <c:pt idx="2">
                    <c:v>25.164189160645588</c:v>
                  </c:pt>
                  <c:pt idx="3">
                    <c:v>27.971433439092745</c:v>
                  </c:pt>
                  <c:pt idx="4">
                    <c:v>13.1683792031482</c:v>
                  </c:pt>
                </c:numCache>
              </c:numRef>
            </c:plus>
            <c:minus>
              <c:numRef>
                <c:f>'Wire depth'!$P$4:$P$8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11.811832732604463</c:v>
                  </c:pt>
                  <c:pt idx="2">
                    <c:v>25.164189160645588</c:v>
                  </c:pt>
                  <c:pt idx="3">
                    <c:v>27.971433439092745</c:v>
                  </c:pt>
                  <c:pt idx="4">
                    <c:v>13.1683792031482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depth'!$A$4:$A$8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'Wire depth'!$O$4:$O$8</c:f>
              <c:numCache>
                <c:formatCode>General</c:formatCode>
                <c:ptCount val="5"/>
                <c:pt idx="0">
                  <c:v>0</c:v>
                </c:pt>
                <c:pt idx="1">
                  <c:v>35.953577556666666</c:v>
                </c:pt>
                <c:pt idx="2">
                  <c:v>242.02735866666663</c:v>
                </c:pt>
                <c:pt idx="3">
                  <c:v>374.70281534999998</c:v>
                </c:pt>
                <c:pt idx="4">
                  <c:v>426.46803626666662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C85-8D4B-802C-62622AC64CE9}"/>
            </c:ext>
          </c:extLst>
        </c:ser>
        <c:ser>
          <c:idx val="5"/>
          <c:order val="2"/>
          <c:tx>
            <c:v>1.3 cm</c:v>
          </c:tx>
          <c:spPr>
            <a:ln w="19050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'Wire depth'!$F$4:$F$8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2.539383040213278</c:v>
                  </c:pt>
                  <c:pt idx="2">
                    <c:v>21.139489381647429</c:v>
                  </c:pt>
                  <c:pt idx="3">
                    <c:v>42.336084439507303</c:v>
                  </c:pt>
                  <c:pt idx="4">
                    <c:v>64.180047343887225</c:v>
                  </c:pt>
                </c:numCache>
              </c:numRef>
            </c:plus>
            <c:minus>
              <c:numRef>
                <c:f>'Wire depth'!$F$4:$F$8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2.539383040213278</c:v>
                  </c:pt>
                  <c:pt idx="2">
                    <c:v>21.139489381647429</c:v>
                  </c:pt>
                  <c:pt idx="3">
                    <c:v>42.336084439507303</c:v>
                  </c:pt>
                  <c:pt idx="4">
                    <c:v>64.180047343887225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depth'!$A$4:$A$8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'Wire depth'!$E$4:$E$8</c:f>
              <c:numCache>
                <c:formatCode>General</c:formatCode>
                <c:ptCount val="5"/>
                <c:pt idx="0">
                  <c:v>0</c:v>
                </c:pt>
                <c:pt idx="1">
                  <c:v>19.901724475000002</c:v>
                </c:pt>
                <c:pt idx="2">
                  <c:v>104.26691158333331</c:v>
                </c:pt>
                <c:pt idx="3">
                  <c:v>193.07913873333334</c:v>
                </c:pt>
                <c:pt idx="4">
                  <c:v>316.49512129999999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C85-8D4B-802C-62622AC64CE9}"/>
            </c:ext>
          </c:extLst>
        </c:ser>
        <c:ser>
          <c:idx val="1"/>
          <c:order val="3"/>
          <c:tx>
            <c:v>2.5 cm</c:v>
          </c:tx>
          <c:spPr>
            <a:ln w="19050">
              <a:noFill/>
            </a:ln>
          </c:spPr>
          <c:marker>
            <c:symbol val="square"/>
            <c:size val="15"/>
            <c:spPr>
              <a:solidFill>
                <a:schemeClr val="accent3"/>
              </a:solidFill>
              <a:ln w="63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'Wire depth'!$K$4:$K$8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12.884538278622214</c:v>
                  </c:pt>
                  <c:pt idx="2">
                    <c:v>15.39994374694338</c:v>
                  </c:pt>
                  <c:pt idx="3">
                    <c:v>49.200490469175115</c:v>
                  </c:pt>
                  <c:pt idx="4">
                    <c:v>7.0451832764750275</c:v>
                  </c:pt>
                </c:numCache>
              </c:numRef>
            </c:plus>
            <c:minus>
              <c:numRef>
                <c:f>'Wire depth'!$K$4:$K$8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12.884538278622214</c:v>
                  </c:pt>
                  <c:pt idx="2">
                    <c:v>15.39994374694338</c:v>
                  </c:pt>
                  <c:pt idx="3">
                    <c:v>49.200490469175115</c:v>
                  </c:pt>
                  <c:pt idx="4">
                    <c:v>7.0451832764750275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depth'!$A$4:$A$8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'Wire depth'!$J$4:$J$8</c:f>
              <c:numCache>
                <c:formatCode>General</c:formatCode>
                <c:ptCount val="5"/>
                <c:pt idx="0">
                  <c:v>0</c:v>
                </c:pt>
                <c:pt idx="1">
                  <c:v>27.517104002</c:v>
                </c:pt>
                <c:pt idx="2">
                  <c:v>127.68287789999999</c:v>
                </c:pt>
                <c:pt idx="3">
                  <c:v>250.1850809</c:v>
                </c:pt>
                <c:pt idx="4">
                  <c:v>382.03591420000004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C85-8D4B-802C-62622AC64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755999"/>
        <c:axId val="1"/>
      </c:scatterChart>
      <c:scatterChart>
        <c:scatterStyle val="lineMarker"/>
        <c:varyColors val="0"/>
        <c:ser>
          <c:idx val="0"/>
          <c:order val="4"/>
          <c:tx>
            <c:v>1.3 cm</c:v>
          </c:tx>
          <c:spPr>
            <a:ln w="19050">
              <a:noFill/>
            </a:ln>
          </c:spPr>
          <c:marker>
            <c:symbol val="triangle"/>
            <c:size val="15"/>
            <c:spPr>
              <a:solidFill>
                <a:schemeClr val="bg1">
                  <a:alpha val="38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'Wire depth'!$F$4:$F$8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2.539383040213278</c:v>
                  </c:pt>
                  <c:pt idx="2">
                    <c:v>21.139489381647429</c:v>
                  </c:pt>
                  <c:pt idx="3">
                    <c:v>42.336084439507303</c:v>
                  </c:pt>
                  <c:pt idx="4">
                    <c:v>64.180047343887225</c:v>
                  </c:pt>
                </c:numCache>
              </c:numRef>
            </c:plus>
            <c:minus>
              <c:numRef>
                <c:f>'Wire depth'!$F$4:$F$8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2.539383040213278</c:v>
                  </c:pt>
                  <c:pt idx="2">
                    <c:v>21.139489381647429</c:v>
                  </c:pt>
                  <c:pt idx="3">
                    <c:v>42.336084439507303</c:v>
                  </c:pt>
                  <c:pt idx="4">
                    <c:v>64.180047343887225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'Wire depth'!$A$4:$A$8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</c:numCache>
            </c:numRef>
          </c:xVal>
          <c:yVal>
            <c:numRef>
              <c:f>'Wire depth'!$E$4:$E$8</c:f>
              <c:numCache>
                <c:formatCode>General</c:formatCode>
                <c:ptCount val="5"/>
                <c:pt idx="0">
                  <c:v>0</c:v>
                </c:pt>
                <c:pt idx="1">
                  <c:v>19.901724475000002</c:v>
                </c:pt>
                <c:pt idx="2">
                  <c:v>104.26691158333331</c:v>
                </c:pt>
                <c:pt idx="3">
                  <c:v>193.07913873333334</c:v>
                </c:pt>
                <c:pt idx="4">
                  <c:v>316.49512129999999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C85-8D4B-802C-62622AC64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533903"/>
        <c:axId val="253195119"/>
      </c:scatterChart>
      <c:valAx>
        <c:axId val="288755999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(minutes)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333333"/>
                </a:solidFill>
                <a:latin typeface="Times New Roman" panose="02020603050405020304" pitchFamily="18" charset="0"/>
                <a:ea typeface="Calibri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333333"/>
                    </a:solidFill>
                    <a:latin typeface="Times New Roman" panose="02020603050405020304" pitchFamily="18" charset="0"/>
                    <a:ea typeface="Calibri"/>
                    <a:cs typeface="Times New Roman" panose="02020603050405020304" pitchFamily="18" charset="0"/>
                  </a:defRPr>
                </a:pP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Silver Concentration (</a:t>
                </a:r>
                <a:r>
                  <a:rPr lang="en-US" sz="1400" b="1" i="0" u="none" strike="noStrike" baseline="0">
                    <a:effectLst/>
                  </a:rPr>
                  <a:t>µg/L</a:t>
                </a:r>
                <a:r>
                  <a:rPr lang="en-US" sz="1400" b="1" i="0" u="none" strike="noStrike" baseline="0"/>
                  <a:t> </a:t>
                </a:r>
                <a:r>
                  <a:rPr lang="en-US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4213919469112509E-2"/>
              <c:y val="0.292653075417878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333333"/>
                </a:solidFill>
                <a:latin typeface="Times New Roman" panose="02020603050405020304" pitchFamily="18" charset="0"/>
                <a:ea typeface="Calibri"/>
                <a:cs typeface="Times New Roman" panose="02020603050405020304" pitchFamily="18" charset="0"/>
              </a:defRPr>
            </a:pPr>
            <a:endParaRPr lang="en-US"/>
          </a:p>
        </c:txPr>
        <c:crossAx val="288755999"/>
        <c:crosses val="autoZero"/>
        <c:crossBetween val="midCat"/>
      </c:valAx>
      <c:valAx>
        <c:axId val="253195119"/>
        <c:scaling>
          <c:orientation val="minMax"/>
          <c:max val="500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304533903"/>
        <c:crosses val="max"/>
        <c:crossBetween val="midCat"/>
      </c:valAx>
      <c:valAx>
        <c:axId val="304533903"/>
        <c:scaling>
          <c:orientation val="minMax"/>
          <c:max val="30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253195119"/>
        <c:crosses val="max"/>
        <c:crossBetween val="midCat"/>
      </c:valAx>
      <c:spPr>
        <a:noFill/>
        <a:ln w="25400">
          <a:solidFill>
            <a:schemeClr val="tx1"/>
          </a:solidFill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3452799829327673"/>
          <c:y val="0.3928960370539244"/>
          <c:w val="0.16547200170672324"/>
          <c:h val="0.10798013278392891"/>
        </c:manualLayout>
      </c:layout>
      <c:overlay val="1"/>
      <c:spPr>
        <a:noFill/>
        <a:ln>
          <a:noFill/>
        </a:ln>
        <a:effectLst/>
      </c:spPr>
      <c:txPr>
        <a:bodyPr/>
        <a:lstStyle/>
        <a:p>
          <a:pPr>
            <a:defRPr sz="1200" b="0" i="0" u="none" strike="noStrike" baseline="0">
              <a:solidFill>
                <a:srgbClr val="333333"/>
              </a:solidFill>
              <a:latin typeface="Times New Roman" panose="02020603050405020304" pitchFamily="18" charset="0"/>
              <a:ea typeface="Calibri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382494200673"/>
          <c:y val="5.1485148514851503E-2"/>
          <c:w val="0.72127984001999745"/>
          <c:h val="0.83815640845941386"/>
        </c:manualLayout>
      </c:layout>
      <c:scatterChart>
        <c:scatterStyle val="lineMarker"/>
        <c:varyColors val="0"/>
        <c:ser>
          <c:idx val="3"/>
          <c:order val="0"/>
          <c:tx>
            <c:strRef>
              <c:f>'silver diameter'!$N$12</c:f>
              <c:strCache>
                <c:ptCount val="1"/>
                <c:pt idx="0">
                  <c:v>1 mm</c:v>
                </c:pt>
              </c:strCache>
            </c:strRef>
          </c:tx>
          <c:spPr>
            <a:ln w="31750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'silver diameter'!$I$24:$I$30</c:f>
                <c:numCache>
                  <c:formatCode>General</c:formatCode>
                  <c:ptCount val="7"/>
                  <c:pt idx="0">
                    <c:v>5.8097035667940028E-2</c:v>
                  </c:pt>
                  <c:pt idx="1">
                    <c:v>273.47374470901303</c:v>
                  </c:pt>
                  <c:pt idx="2">
                    <c:v>41.477149480434612</c:v>
                  </c:pt>
                  <c:pt idx="3">
                    <c:v>4.7575132470424348</c:v>
                  </c:pt>
                  <c:pt idx="4">
                    <c:v>28.420049158173509</c:v>
                  </c:pt>
                  <c:pt idx="5">
                    <c:v>31.086106612555621</c:v>
                  </c:pt>
                  <c:pt idx="6">
                    <c:v>39.096585161752266</c:v>
                  </c:pt>
                </c:numCache>
              </c:numRef>
            </c:plus>
            <c:minus>
              <c:numRef>
                <c:f>'silver diameter'!$I$24:$I$30</c:f>
                <c:numCache>
                  <c:formatCode>General</c:formatCode>
                  <c:ptCount val="7"/>
                  <c:pt idx="0">
                    <c:v>5.8097035667940028E-2</c:v>
                  </c:pt>
                  <c:pt idx="1">
                    <c:v>273.47374470901303</c:v>
                  </c:pt>
                  <c:pt idx="2">
                    <c:v>41.477149480434612</c:v>
                  </c:pt>
                  <c:pt idx="3">
                    <c:v>4.7575132470424348</c:v>
                  </c:pt>
                  <c:pt idx="4">
                    <c:v>28.420049158173509</c:v>
                  </c:pt>
                  <c:pt idx="5">
                    <c:v>31.086106612555621</c:v>
                  </c:pt>
                  <c:pt idx="6">
                    <c:v>39.096585161752266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'silver diameter'!$K$13:$K$19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'silver diameter'!$N$13:$N$19</c:f>
              <c:numCache>
                <c:formatCode>General</c:formatCode>
                <c:ptCount val="7"/>
                <c:pt idx="0">
                  <c:v>0.10251053766666667</c:v>
                </c:pt>
                <c:pt idx="1">
                  <c:v>451.02829363333331</c:v>
                </c:pt>
                <c:pt idx="2">
                  <c:v>354.7835546666667</c:v>
                </c:pt>
                <c:pt idx="3">
                  <c:v>440.15958073333331</c:v>
                </c:pt>
                <c:pt idx="4">
                  <c:v>452.72887226666666</c:v>
                </c:pt>
                <c:pt idx="5">
                  <c:v>422.57584446666664</c:v>
                </c:pt>
                <c:pt idx="6">
                  <c:v>502.16990443333333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52C9-1F4A-8C59-B2C01479CE31}"/>
            </c:ext>
          </c:extLst>
        </c:ser>
        <c:ser>
          <c:idx val="4"/>
          <c:order val="1"/>
          <c:tx>
            <c:strRef>
              <c:f>'silver diameter'!$L$12</c:f>
              <c:strCache>
                <c:ptCount val="1"/>
                <c:pt idx="0">
                  <c:v>0.25 mm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'silver diameter'!$G$24:$G$30</c:f>
                <c:numCache>
                  <c:formatCode>General</c:formatCode>
                  <c:ptCount val="7"/>
                  <c:pt idx="0">
                    <c:v>0.11288690645293956</c:v>
                  </c:pt>
                  <c:pt idx="1">
                    <c:v>4.3239709304850766</c:v>
                  </c:pt>
                  <c:pt idx="2">
                    <c:v>49.745692127119149</c:v>
                  </c:pt>
                  <c:pt idx="3">
                    <c:v>31.607249552254466</c:v>
                  </c:pt>
                  <c:pt idx="4">
                    <c:v>42.977802519079304</c:v>
                  </c:pt>
                  <c:pt idx="5">
                    <c:v>17.919353675037389</c:v>
                  </c:pt>
                  <c:pt idx="6">
                    <c:v>26.391308137127101</c:v>
                  </c:pt>
                </c:numCache>
              </c:numRef>
            </c:plus>
            <c:minus>
              <c:numRef>
                <c:f>'silver diameter'!$G$24:$G$30</c:f>
                <c:numCache>
                  <c:formatCode>General</c:formatCode>
                  <c:ptCount val="7"/>
                  <c:pt idx="0">
                    <c:v>0.11288690645293956</c:v>
                  </c:pt>
                  <c:pt idx="1">
                    <c:v>4.3239709304850766</c:v>
                  </c:pt>
                  <c:pt idx="2">
                    <c:v>49.745692127119149</c:v>
                  </c:pt>
                  <c:pt idx="3">
                    <c:v>31.607249552254466</c:v>
                  </c:pt>
                  <c:pt idx="4">
                    <c:v>42.977802519079304</c:v>
                  </c:pt>
                  <c:pt idx="5">
                    <c:v>17.919353675037389</c:v>
                  </c:pt>
                  <c:pt idx="6">
                    <c:v>26.391308137127101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1"/>
            <c:val val="0"/>
          </c:errBars>
          <c:xVal>
            <c:numRef>
              <c:f>'silver diameter'!$K$13:$K$19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'silver diameter'!$L$13:$L$19</c:f>
              <c:numCache>
                <c:formatCode>General</c:formatCode>
                <c:ptCount val="7"/>
                <c:pt idx="0">
                  <c:v>0.231055808</c:v>
                </c:pt>
                <c:pt idx="1">
                  <c:v>85.098212599999997</c:v>
                </c:pt>
                <c:pt idx="2">
                  <c:v>195.29877263333333</c:v>
                </c:pt>
                <c:pt idx="3">
                  <c:v>312.20649176666666</c:v>
                </c:pt>
                <c:pt idx="4">
                  <c:v>393.04959723333332</c:v>
                </c:pt>
                <c:pt idx="5">
                  <c:v>425.28381813333334</c:v>
                </c:pt>
                <c:pt idx="6">
                  <c:v>444.55741966666665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52C9-1F4A-8C59-B2C01479CE31}"/>
            </c:ext>
          </c:extLst>
        </c:ser>
        <c:ser>
          <c:idx val="2"/>
          <c:order val="2"/>
          <c:tx>
            <c:strRef>
              <c:f>'silver diameter'!$N$12</c:f>
              <c:strCache>
                <c:ptCount val="1"/>
                <c:pt idx="0">
                  <c:v>1 mm</c:v>
                </c:pt>
              </c:strCache>
            </c:strRef>
          </c:tx>
          <c:spPr>
            <a:ln w="31750"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name>1 mm trendline</c:name>
            <c:spPr>
              <a:ln>
                <a:prstDash val="lg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'silver diameter'!$I$24:$I$30</c:f>
                <c:numCache>
                  <c:formatCode>General</c:formatCode>
                  <c:ptCount val="7"/>
                  <c:pt idx="0">
                    <c:v>5.8097035667940028E-2</c:v>
                  </c:pt>
                  <c:pt idx="1">
                    <c:v>273.47374470901303</c:v>
                  </c:pt>
                  <c:pt idx="2">
                    <c:v>41.477149480434612</c:v>
                  </c:pt>
                  <c:pt idx="3">
                    <c:v>4.7575132470424348</c:v>
                  </c:pt>
                  <c:pt idx="4">
                    <c:v>28.420049158173509</c:v>
                  </c:pt>
                  <c:pt idx="5">
                    <c:v>31.086106612555621</c:v>
                  </c:pt>
                  <c:pt idx="6">
                    <c:v>39.096585161752266</c:v>
                  </c:pt>
                </c:numCache>
              </c:numRef>
            </c:plus>
            <c:minus>
              <c:numRef>
                <c:f>'silver diameter'!$I$24:$I$30</c:f>
                <c:numCache>
                  <c:formatCode>General</c:formatCode>
                  <c:ptCount val="7"/>
                  <c:pt idx="0">
                    <c:v>5.8097035667940028E-2</c:v>
                  </c:pt>
                  <c:pt idx="1">
                    <c:v>273.47374470901303</c:v>
                  </c:pt>
                  <c:pt idx="2">
                    <c:v>41.477149480434612</c:v>
                  </c:pt>
                  <c:pt idx="3">
                    <c:v>4.7575132470424348</c:v>
                  </c:pt>
                  <c:pt idx="4">
                    <c:v>28.420049158173509</c:v>
                  </c:pt>
                  <c:pt idx="5">
                    <c:v>31.086106612555621</c:v>
                  </c:pt>
                  <c:pt idx="6">
                    <c:v>39.096585161752266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'silver diameter'!$K$13:$K$19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'silver diameter'!$N$13:$N$19</c:f>
              <c:numCache>
                <c:formatCode>General</c:formatCode>
                <c:ptCount val="7"/>
                <c:pt idx="0">
                  <c:v>0.10251053766666667</c:v>
                </c:pt>
                <c:pt idx="1">
                  <c:v>451.02829363333331</c:v>
                </c:pt>
                <c:pt idx="2">
                  <c:v>354.7835546666667</c:v>
                </c:pt>
                <c:pt idx="3">
                  <c:v>440.15958073333331</c:v>
                </c:pt>
                <c:pt idx="4">
                  <c:v>452.72887226666666</c:v>
                </c:pt>
                <c:pt idx="5">
                  <c:v>422.57584446666664</c:v>
                </c:pt>
                <c:pt idx="6">
                  <c:v>502.16990443333333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2C9-1F4A-8C59-B2C01479CE31}"/>
            </c:ext>
          </c:extLst>
        </c:ser>
        <c:ser>
          <c:idx val="5"/>
          <c:order val="3"/>
          <c:tx>
            <c:strRef>
              <c:f>'silver diameter'!$M$12</c:f>
              <c:strCache>
                <c:ptCount val="1"/>
                <c:pt idx="0">
                  <c:v>0.5 mm</c:v>
                </c:pt>
              </c:strCache>
            </c:strRef>
          </c:tx>
          <c:spPr>
            <a:ln w="31750">
              <a:noFill/>
            </a:ln>
          </c:spPr>
          <c:marker>
            <c:symbol val="square"/>
            <c:size val="10"/>
            <c:spPr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'silver diameter'!$H$24:$H$30</c:f>
                <c:numCache>
                  <c:formatCode>General</c:formatCode>
                  <c:ptCount val="7"/>
                  <c:pt idx="0">
                    <c:v>0.16476321486825071</c:v>
                  </c:pt>
                  <c:pt idx="1">
                    <c:v>24.813037868151135</c:v>
                  </c:pt>
                  <c:pt idx="2">
                    <c:v>36.583634528158754</c:v>
                  </c:pt>
                  <c:pt idx="3">
                    <c:v>25.857846348086124</c:v>
                  </c:pt>
                  <c:pt idx="4">
                    <c:v>20.173054610921199</c:v>
                  </c:pt>
                  <c:pt idx="5">
                    <c:v>12.040874019317021</c:v>
                  </c:pt>
                  <c:pt idx="6">
                    <c:v>21.424252989392699</c:v>
                  </c:pt>
                </c:numCache>
              </c:numRef>
            </c:plus>
            <c:minus>
              <c:numRef>
                <c:f>'silver diameter'!$H$24:$H$30</c:f>
                <c:numCache>
                  <c:formatCode>General</c:formatCode>
                  <c:ptCount val="7"/>
                  <c:pt idx="0">
                    <c:v>0.16476321486825071</c:v>
                  </c:pt>
                  <c:pt idx="1">
                    <c:v>24.813037868151135</c:v>
                  </c:pt>
                  <c:pt idx="2">
                    <c:v>36.583634528158754</c:v>
                  </c:pt>
                  <c:pt idx="3">
                    <c:v>25.857846348086124</c:v>
                  </c:pt>
                  <c:pt idx="4">
                    <c:v>20.173054610921199</c:v>
                  </c:pt>
                  <c:pt idx="5">
                    <c:v>12.040874019317021</c:v>
                  </c:pt>
                  <c:pt idx="6">
                    <c:v>21.424252989392699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'silver diameter'!$K$13:$K$19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'silver diameter'!$M$13:$M$19</c:f>
              <c:numCache>
                <c:formatCode>General</c:formatCode>
                <c:ptCount val="7"/>
                <c:pt idx="0">
                  <c:v>-4.2085230333333355E-2</c:v>
                </c:pt>
                <c:pt idx="1">
                  <c:v>146.86145893333332</c:v>
                </c:pt>
                <c:pt idx="2">
                  <c:v>316.91701753333336</c:v>
                </c:pt>
                <c:pt idx="3">
                  <c:v>494.77493840000005</c:v>
                </c:pt>
                <c:pt idx="4">
                  <c:v>521.88532523333333</c:v>
                </c:pt>
                <c:pt idx="5">
                  <c:v>509.46538959999998</c:v>
                </c:pt>
                <c:pt idx="6">
                  <c:v>523.21392853333327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52C9-1F4A-8C59-B2C01479CE31}"/>
            </c:ext>
          </c:extLst>
        </c:ser>
        <c:ser>
          <c:idx val="0"/>
          <c:order val="5"/>
          <c:tx>
            <c:strRef>
              <c:f>'silver diameter'!$L$12</c:f>
              <c:strCache>
                <c:ptCount val="1"/>
                <c:pt idx="0">
                  <c:v>0.25 mm</c:v>
                </c:pt>
              </c:strCache>
            </c:strRef>
          </c:tx>
          <c:spPr>
            <a:ln w="31750">
              <a:noFill/>
            </a:ln>
          </c:spPr>
          <c:marker>
            <c:symbol val="triangle"/>
            <c:size val="9"/>
            <c:spPr>
              <a:solidFill>
                <a:schemeClr val="bg1"/>
              </a:solidFill>
              <a:ln w="15875" cap="rnd">
                <a:solidFill>
                  <a:schemeClr val="tx1"/>
                </a:solidFill>
                <a:miter lim="800000"/>
              </a:ln>
            </c:spPr>
          </c:marker>
          <c:trendline>
            <c:name>0.25 mm trendline</c:name>
            <c:spPr>
              <a:ln>
                <a:prstDash val="sysDash"/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'silver diameter'!$G$24:$G$30</c:f>
                <c:numCache>
                  <c:formatCode>General</c:formatCode>
                  <c:ptCount val="7"/>
                  <c:pt idx="0">
                    <c:v>0.11288690645293956</c:v>
                  </c:pt>
                  <c:pt idx="1">
                    <c:v>4.3239709304850766</c:v>
                  </c:pt>
                  <c:pt idx="2">
                    <c:v>49.745692127119149</c:v>
                  </c:pt>
                  <c:pt idx="3">
                    <c:v>31.607249552254466</c:v>
                  </c:pt>
                  <c:pt idx="4">
                    <c:v>42.977802519079304</c:v>
                  </c:pt>
                  <c:pt idx="5">
                    <c:v>17.919353675037389</c:v>
                  </c:pt>
                  <c:pt idx="6">
                    <c:v>26.391308137127101</c:v>
                  </c:pt>
                </c:numCache>
              </c:numRef>
            </c:plus>
            <c:minus>
              <c:numRef>
                <c:f>'silver diameter'!$G$24:$G$30</c:f>
                <c:numCache>
                  <c:formatCode>General</c:formatCode>
                  <c:ptCount val="7"/>
                  <c:pt idx="0">
                    <c:v>0.11288690645293956</c:v>
                  </c:pt>
                  <c:pt idx="1">
                    <c:v>4.3239709304850766</c:v>
                  </c:pt>
                  <c:pt idx="2">
                    <c:v>49.745692127119149</c:v>
                  </c:pt>
                  <c:pt idx="3">
                    <c:v>31.607249552254466</c:v>
                  </c:pt>
                  <c:pt idx="4">
                    <c:v>42.977802519079304</c:v>
                  </c:pt>
                  <c:pt idx="5">
                    <c:v>17.919353675037389</c:v>
                  </c:pt>
                  <c:pt idx="6">
                    <c:v>26.391308137127101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1"/>
            <c:val val="0"/>
          </c:errBars>
          <c:xVal>
            <c:numRef>
              <c:f>'silver diameter'!$K$13:$K$19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'silver diameter'!$L$13:$L$19</c:f>
              <c:numCache>
                <c:formatCode>General</c:formatCode>
                <c:ptCount val="7"/>
                <c:pt idx="0">
                  <c:v>0.231055808</c:v>
                </c:pt>
                <c:pt idx="1">
                  <c:v>85.098212599999997</c:v>
                </c:pt>
                <c:pt idx="2">
                  <c:v>195.29877263333333</c:v>
                </c:pt>
                <c:pt idx="3">
                  <c:v>312.20649176666666</c:v>
                </c:pt>
                <c:pt idx="4">
                  <c:v>393.04959723333332</c:v>
                </c:pt>
                <c:pt idx="5">
                  <c:v>425.28381813333334</c:v>
                </c:pt>
                <c:pt idx="6">
                  <c:v>444.55741966666665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52C9-1F4A-8C59-B2C01479C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347256"/>
        <c:axId val="2092352792"/>
      </c:scatterChart>
      <c:scatterChart>
        <c:scatterStyle val="lineMarker"/>
        <c:varyColors val="0"/>
        <c:ser>
          <c:idx val="1"/>
          <c:order val="4"/>
          <c:tx>
            <c:strRef>
              <c:f>'silver diameter'!$M$12</c:f>
              <c:strCache>
                <c:ptCount val="1"/>
                <c:pt idx="0">
                  <c:v>0.5 mm</c:v>
                </c:pt>
              </c:strCache>
            </c:strRef>
          </c:tx>
          <c:spPr>
            <a:ln w="31750">
              <a:noFill/>
            </a:ln>
          </c:spPr>
          <c:marker>
            <c:symbol val="square"/>
            <c:size val="1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name>0.5 mm trendline</c:name>
            <c:trendlineType val="linear"/>
            <c:intercept val="0"/>
            <c:dispRSqr val="0"/>
            <c:dispEq val="0"/>
          </c:trendline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'silver diameter'!$K$13:$K$19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'silver diameter'!$M$13:$M$19</c:f>
              <c:numCache>
                <c:formatCode>General</c:formatCode>
                <c:ptCount val="7"/>
                <c:pt idx="0">
                  <c:v>-4.2085230333333355E-2</c:v>
                </c:pt>
                <c:pt idx="1">
                  <c:v>146.86145893333332</c:v>
                </c:pt>
                <c:pt idx="2">
                  <c:v>316.91701753333336</c:v>
                </c:pt>
                <c:pt idx="3">
                  <c:v>494.77493840000005</c:v>
                </c:pt>
                <c:pt idx="4">
                  <c:v>521.88532523333333</c:v>
                </c:pt>
                <c:pt idx="5">
                  <c:v>509.46538959999998</c:v>
                </c:pt>
                <c:pt idx="6">
                  <c:v>523.21392853333327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52C9-1F4A-8C59-B2C01479C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645519"/>
        <c:axId val="836256047"/>
      </c:scatterChart>
      <c:valAx>
        <c:axId val="2092347256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Time (min)</a:t>
                </a:r>
              </a:p>
            </c:rich>
          </c:tx>
          <c:layout>
            <c:manualLayout>
              <c:xMode val="edge"/>
              <c:yMode val="edge"/>
              <c:x val="0.40815788651418572"/>
              <c:y val="0.947946778249577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>
                <a:tint val="75000"/>
                <a:shade val="95000"/>
                <a:satMod val="105000"/>
              </a:schemeClr>
            </a:solidFill>
          </a:ln>
        </c:spPr>
        <c:txPr>
          <a:bodyPr/>
          <a:lstStyle/>
          <a:p>
            <a:pPr>
              <a:defRPr sz="1200" baseline="0"/>
            </a:pPr>
            <a:endParaRPr lang="en-US"/>
          </a:p>
        </c:txPr>
        <c:crossAx val="2092352792"/>
        <c:crossesAt val="0"/>
        <c:crossBetween val="midCat"/>
      </c:valAx>
      <c:valAx>
        <c:axId val="2092352792"/>
        <c:scaling>
          <c:orientation val="minMax"/>
          <c:max val="800"/>
          <c:min val="0"/>
        </c:scaling>
        <c:delete val="0"/>
        <c:axPos val="l"/>
        <c:majorGridlines>
          <c:spPr>
            <a:ln w="0"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Silver Concentration (</a:t>
                </a:r>
                <a:r>
                  <a:rPr lang="en-US" sz="1400" b="1" i="0" u="none" strike="noStrike" baseline="0">
                    <a:effectLst/>
                  </a:rPr>
                  <a:t>µg</a:t>
                </a:r>
                <a:r>
                  <a:rPr lang="en-US" sz="1400" baseline="0"/>
                  <a:t>/L)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200" baseline="0"/>
            </a:pPr>
            <a:endParaRPr lang="en-US"/>
          </a:p>
        </c:txPr>
        <c:crossAx val="2092347256"/>
        <c:crosses val="autoZero"/>
        <c:crossBetween val="midCat"/>
      </c:valAx>
      <c:valAx>
        <c:axId val="836256047"/>
        <c:scaling>
          <c:orientation val="minMax"/>
          <c:max val="800"/>
          <c:min val="0"/>
        </c:scaling>
        <c:delete val="0"/>
        <c:axPos val="r"/>
        <c:numFmt formatCode="General" sourceLinked="1"/>
        <c:majorTickMark val="in"/>
        <c:minorTickMark val="none"/>
        <c:tickLblPos val="none"/>
        <c:spPr>
          <a:ln/>
        </c:spPr>
        <c:crossAx val="925645519"/>
        <c:crosses val="max"/>
        <c:crossBetween val="midCat"/>
      </c:valAx>
      <c:valAx>
        <c:axId val="925645519"/>
        <c:scaling>
          <c:orientation val="minMax"/>
          <c:max val="120"/>
          <c:min val="0"/>
        </c:scaling>
        <c:delete val="0"/>
        <c:axPos val="t"/>
        <c:numFmt formatCode="General" sourceLinked="1"/>
        <c:majorTickMark val="in"/>
        <c:minorTickMark val="none"/>
        <c:tickLblPos val="none"/>
        <c:spPr>
          <a:ln/>
        </c:spPr>
        <c:crossAx val="836256047"/>
        <c:crosses val="max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5144091363579555"/>
          <c:y val="0.40619305767407349"/>
          <c:w val="0.13087895263092114"/>
          <c:h val="0.13183740775858516"/>
        </c:manualLayout>
      </c:layout>
      <c:overlay val="0"/>
      <c:spPr>
        <a:noFill/>
      </c:spPr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569265499954"/>
          <c:y val="3.8540476137119098E-2"/>
          <c:w val="0.59679702391941403"/>
          <c:h val="0.84287344344097603"/>
        </c:manualLayout>
      </c:layout>
      <c:scatterChart>
        <c:scatterStyle val="lineMarker"/>
        <c:varyColors val="0"/>
        <c:ser>
          <c:idx val="0"/>
          <c:order val="0"/>
          <c:tx>
            <c:v>0.25 mm</c:v>
          </c:tx>
          <c:spPr>
            <a:ln w="19050">
              <a:noFill/>
            </a:ln>
          </c:spPr>
          <c:trendline>
            <c:name>0.25 mm trendline</c:name>
            <c:spPr>
              <a:ln>
                <a:prstDash val="sys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[1]Simplified!$U$30:$U$36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25.935492569190558</c:v>
                  </c:pt>
                  <c:pt idx="2">
                    <c:v>46.196752532921678</c:v>
                  </c:pt>
                  <c:pt idx="3">
                    <c:v>64.478202154662895</c:v>
                  </c:pt>
                  <c:pt idx="4">
                    <c:v>111.33763783215754</c:v>
                  </c:pt>
                  <c:pt idx="5">
                    <c:v>41.227467776431062</c:v>
                  </c:pt>
                  <c:pt idx="6">
                    <c:v>52.073080234068307</c:v>
                  </c:pt>
                </c:numCache>
              </c:numRef>
            </c:plus>
            <c:minus>
              <c:numRef>
                <c:f>[1]Simplified!$U$30:$U$36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25.935492569190558</c:v>
                  </c:pt>
                  <c:pt idx="2">
                    <c:v>46.196752532921678</c:v>
                  </c:pt>
                  <c:pt idx="3">
                    <c:v>64.478202154662895</c:v>
                  </c:pt>
                  <c:pt idx="4">
                    <c:v>111.33763783215754</c:v>
                  </c:pt>
                  <c:pt idx="5">
                    <c:v>41.227467776431062</c:v>
                  </c:pt>
                  <c:pt idx="6">
                    <c:v>52.073080234068307</c:v>
                  </c:pt>
                </c:numCache>
              </c:numRef>
            </c:minus>
          </c:errBars>
          <c:xVal>
            <c:numRef>
              <c:f>[1]Simplified!$G$3:$G$9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[1]Simplified!$K$3:$K$9</c:f>
              <c:numCache>
                <c:formatCode>General</c:formatCode>
                <c:ptCount val="7"/>
                <c:pt idx="0">
                  <c:v>0</c:v>
                </c:pt>
                <c:pt idx="1">
                  <c:v>58.339796886666655</c:v>
                </c:pt>
                <c:pt idx="2">
                  <c:v>136.05850114</c:v>
                </c:pt>
                <c:pt idx="3">
                  <c:v>258.86700404000004</c:v>
                </c:pt>
                <c:pt idx="4">
                  <c:v>311.76316467333334</c:v>
                </c:pt>
                <c:pt idx="5">
                  <c:v>382.77574714000002</c:v>
                </c:pt>
                <c:pt idx="6">
                  <c:v>427.50222200666667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62-DC44-BBF3-73305282147B}"/>
            </c:ext>
          </c:extLst>
        </c:ser>
        <c:ser>
          <c:idx val="1"/>
          <c:order val="1"/>
          <c:tx>
            <c:v>0.5 mm</c:v>
          </c:tx>
          <c:spPr>
            <a:ln w="19050">
              <a:noFill/>
            </a:ln>
          </c:spPr>
          <c:trendline>
            <c:name>0.5 mm trendline</c:name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[1]Simplified!$V$30:$V$36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10.555824850984175</c:v>
                  </c:pt>
                  <c:pt idx="2">
                    <c:v>52.888304477808482</c:v>
                  </c:pt>
                  <c:pt idx="3">
                    <c:v>17.999509924405388</c:v>
                  </c:pt>
                  <c:pt idx="4">
                    <c:v>31.168055287493264</c:v>
                  </c:pt>
                  <c:pt idx="5">
                    <c:v>36.121268872352566</c:v>
                  </c:pt>
                  <c:pt idx="6">
                    <c:v>19.754864758116781</c:v>
                  </c:pt>
                </c:numCache>
              </c:numRef>
            </c:plus>
            <c:minus>
              <c:numRef>
                <c:f>[1]Simplified!$V$30:$V$36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10.555824850984175</c:v>
                  </c:pt>
                  <c:pt idx="2">
                    <c:v>52.888304477808482</c:v>
                  </c:pt>
                  <c:pt idx="3">
                    <c:v>17.999509924405388</c:v>
                  </c:pt>
                  <c:pt idx="4">
                    <c:v>31.168055287493264</c:v>
                  </c:pt>
                  <c:pt idx="5">
                    <c:v>36.121268872352566</c:v>
                  </c:pt>
                  <c:pt idx="6">
                    <c:v>19.754864758116781</c:v>
                  </c:pt>
                </c:numCache>
              </c:numRef>
            </c:minus>
          </c:errBars>
          <c:xVal>
            <c:numRef>
              <c:f>[1]Simplified!$G$3:$G$9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[1]Simplified!$Q$3:$Q$9</c:f>
              <c:numCache>
                <c:formatCode>General</c:formatCode>
                <c:ptCount val="7"/>
                <c:pt idx="0">
                  <c:v>0</c:v>
                </c:pt>
                <c:pt idx="1">
                  <c:v>90.196302732666666</c:v>
                </c:pt>
                <c:pt idx="2">
                  <c:v>220.99848374600001</c:v>
                </c:pt>
                <c:pt idx="3">
                  <c:v>352.59208181266666</c:v>
                </c:pt>
                <c:pt idx="4">
                  <c:v>435.48761697933332</c:v>
                </c:pt>
                <c:pt idx="5">
                  <c:v>531.28843427933327</c:v>
                </c:pt>
                <c:pt idx="6">
                  <c:v>415.85873437933333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62-DC44-BBF3-73305282147B}"/>
            </c:ext>
          </c:extLst>
        </c:ser>
        <c:ser>
          <c:idx val="2"/>
          <c:order val="2"/>
          <c:tx>
            <c:v>1 mm</c:v>
          </c:tx>
          <c:spPr>
            <a:ln w="19050">
              <a:noFill/>
            </a:ln>
          </c:spPr>
          <c:trendline>
            <c:name>1 mm trendline</c:name>
            <c:spPr>
              <a:ln>
                <a:prstDash val="lg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[1]Simplified!$W$30:$W$36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22.138875061379572</c:v>
                  </c:pt>
                  <c:pt idx="2">
                    <c:v>10.989434931614408</c:v>
                  </c:pt>
                  <c:pt idx="3">
                    <c:v>58.468423081259019</c:v>
                  </c:pt>
                  <c:pt idx="4">
                    <c:v>29.628501064773893</c:v>
                  </c:pt>
                  <c:pt idx="5">
                    <c:v>47.474537248549254</c:v>
                  </c:pt>
                  <c:pt idx="6">
                    <c:v>51.095977218839984</c:v>
                  </c:pt>
                </c:numCache>
              </c:numRef>
            </c:plus>
            <c:minus>
              <c:numRef>
                <c:f>[1]Simplified!$W$30:$W$36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22.138875061379572</c:v>
                  </c:pt>
                  <c:pt idx="2">
                    <c:v>10.989434931614408</c:v>
                  </c:pt>
                  <c:pt idx="3">
                    <c:v>58.468423081259019</c:v>
                  </c:pt>
                  <c:pt idx="4">
                    <c:v>29.628501064773893</c:v>
                  </c:pt>
                  <c:pt idx="5">
                    <c:v>47.474537248549254</c:v>
                  </c:pt>
                  <c:pt idx="6">
                    <c:v>51.095977218839984</c:v>
                  </c:pt>
                </c:numCache>
              </c:numRef>
            </c:minus>
          </c:errBars>
          <c:xVal>
            <c:numRef>
              <c:f>[1]Simplified!$G$3:$G$9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[1]Simplified!$W$3:$W$9</c:f>
              <c:numCache>
                <c:formatCode>General</c:formatCode>
                <c:ptCount val="7"/>
                <c:pt idx="0">
                  <c:v>0</c:v>
                </c:pt>
                <c:pt idx="1">
                  <c:v>65.450123456666674</c:v>
                </c:pt>
                <c:pt idx="2">
                  <c:v>149.11873507666667</c:v>
                </c:pt>
                <c:pt idx="3">
                  <c:v>281.31193970999999</c:v>
                </c:pt>
                <c:pt idx="4">
                  <c:v>436.24356344333336</c:v>
                </c:pt>
                <c:pt idx="5">
                  <c:v>493.84534224333339</c:v>
                </c:pt>
                <c:pt idx="6">
                  <c:v>588.65191317666665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462-DC44-BBF3-733052821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435336"/>
        <c:axId val="2092440840"/>
      </c:scatterChart>
      <c:valAx>
        <c:axId val="2092435336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38371047321359902"/>
              <c:y val="0.9407069597890469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-60000000" vert="horz" anchor="ctr" anchorCtr="1"/>
          <a:lstStyle/>
          <a:p>
            <a:pPr>
              <a:defRPr/>
            </a:pPr>
            <a:endParaRPr lang="en-US"/>
          </a:p>
        </c:txPr>
        <c:crossAx val="2092440840"/>
        <c:crossesAt val="-10000"/>
        <c:crossBetween val="midCat"/>
      </c:valAx>
      <c:valAx>
        <c:axId val="2092440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Copper Concentration (ppb)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2092435336"/>
        <c:crossesAt val="-10000"/>
        <c:crossBetween val="midCat"/>
      </c:valAx>
    </c:plotArea>
    <c:legend>
      <c:legendPos val="r"/>
      <c:legendEntry>
        <c:idx val="4"/>
        <c:txPr>
          <a:bodyPr rot="0" vert="horz"/>
          <a:lstStyle/>
          <a:p>
            <a:pPr>
              <a:defRPr/>
            </a:pPr>
            <a:endParaRPr lang="en-US"/>
          </a:p>
        </c:txPr>
      </c:legendEntry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'Silver disfinection'!$B$58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'Silver disfinection'!$A$59:$A$65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'Silver disfinection'!$C$59:$C$65</c:f>
              <c:numCache>
                <c:formatCode>General</c:formatCode>
                <c:ptCount val="7"/>
                <c:pt idx="0">
                  <c:v>0</c:v>
                </c:pt>
                <c:pt idx="2">
                  <c:v>-1.2488893169725337</c:v>
                </c:pt>
                <c:pt idx="4">
                  <c:v>-1.5062452991575093</c:v>
                </c:pt>
                <c:pt idx="6">
                  <c:v>-1.1374777260171767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60-DD4A-8154-23B492C35136}"/>
            </c:ext>
          </c:extLst>
        </c:ser>
        <c:ser>
          <c:idx val="3"/>
          <c:order val="1"/>
          <c:tx>
            <c:v>4.5A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'Silver disfinection'!$A$59:$A$65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'Silver disfinection'!$E$59:$E$65</c:f>
              <c:numCache>
                <c:formatCode>General</c:formatCode>
                <c:ptCount val="7"/>
                <c:pt idx="0">
                  <c:v>0</c:v>
                </c:pt>
                <c:pt idx="1">
                  <c:v>0.22632061405671955</c:v>
                </c:pt>
                <c:pt idx="2">
                  <c:v>-0.12732424675781662</c:v>
                </c:pt>
                <c:pt idx="3">
                  <c:v>0.16299409177088897</c:v>
                </c:pt>
                <c:pt idx="4">
                  <c:v>0.18298049335208688</c:v>
                </c:pt>
                <c:pt idx="5">
                  <c:v>9.9768233752517865E-2</c:v>
                </c:pt>
                <c:pt idx="6">
                  <c:v>0.2420451341053802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60-DD4A-8154-23B492C35136}"/>
            </c:ext>
          </c:extLst>
        </c:ser>
        <c:ser>
          <c:idx val="5"/>
          <c:order val="2"/>
          <c:tx>
            <c:v>4.5B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'Silver disfinection'!$A$59:$A$65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'Silver disfinection'!$G$59:$G$65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-0.38130958447449714</c:v>
                </c:pt>
                <c:pt idx="3">
                  <c:v>-0.65294583002001616</c:v>
                </c:pt>
                <c:pt idx="4">
                  <c:v>-0.45215650587656508</c:v>
                </c:pt>
                <c:pt idx="5">
                  <c:v>-0.47672116765138206</c:v>
                </c:pt>
                <c:pt idx="6">
                  <c:v>-5.1596631783456637E-2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60-DD4A-8154-23B492C35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519768"/>
        <c:axId val="2065546536"/>
      </c:scatterChart>
      <c:valAx>
        <c:axId val="2065519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546536"/>
        <c:crosses val="autoZero"/>
        <c:crossBetween val="midCat"/>
      </c:valAx>
      <c:valAx>
        <c:axId val="206554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519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139699</xdr:colOff>
      <xdr:row>2</xdr:row>
      <xdr:rowOff>85725</xdr:rowOff>
    </xdr:from>
    <xdr:to>
      <xdr:col>18</xdr:col>
      <xdr:colOff>245340</xdr:colOff>
      <xdr:row>26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52F07C-121E-4F4C-B4DF-3B28DEAD0B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</xdr:colOff>
      <xdr:row>16</xdr:row>
      <xdr:rowOff>25400</xdr:rowOff>
    </xdr:from>
    <xdr:to>
      <xdr:col>11</xdr:col>
      <xdr:colOff>279400</xdr:colOff>
      <xdr:row>17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56E470D-75BB-C846-B697-8C3AD137E4A4}"/>
            </a:ext>
          </a:extLst>
        </xdr:cNvPr>
        <xdr:cNvSpPr txBox="1"/>
      </xdr:nvSpPr>
      <xdr:spPr>
        <a:xfrm>
          <a:off x="6629400" y="3276600"/>
          <a:ext cx="2730500" cy="330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yellow</a:t>
          </a:r>
          <a:r>
            <a:rPr lang="en-US" sz="1100" baseline="0"/>
            <a:t> = not taken</a:t>
          </a:r>
          <a:endParaRPr lang="en-US" sz="1100"/>
        </a:p>
      </xdr:txBody>
    </xdr:sp>
    <xdr:clientData/>
  </xdr:twoCellAnchor>
  <xdr:twoCellAnchor>
    <xdr:from>
      <xdr:col>19</xdr:col>
      <xdr:colOff>298348</xdr:colOff>
      <xdr:row>26</xdr:row>
      <xdr:rowOff>173970</xdr:rowOff>
    </xdr:from>
    <xdr:to>
      <xdr:col>27</xdr:col>
      <xdr:colOff>95149</xdr:colOff>
      <xdr:row>50</xdr:row>
      <xdr:rowOff>173970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FEF456-833A-F74C-8261-E694CB6C6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335280</xdr:colOff>
      <xdr:row>10</xdr:row>
      <xdr:rowOff>20320</xdr:rowOff>
    </xdr:from>
    <xdr:to>
      <xdr:col>24</xdr:col>
      <xdr:colOff>751840</xdr:colOff>
      <xdr:row>35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8D8669-852F-D745-984D-36D78D9CBE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508000</xdr:colOff>
      <xdr:row>17</xdr:row>
      <xdr:rowOff>12700</xdr:rowOff>
    </xdr:from>
    <xdr:to>
      <xdr:col>20</xdr:col>
      <xdr:colOff>622300</xdr:colOff>
      <xdr:row>33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27573A-D3F3-144B-80B0-FE7DB5F644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635000</xdr:colOff>
      <xdr:row>7</xdr:row>
      <xdr:rowOff>71887</xdr:rowOff>
    </xdr:from>
    <xdr:to>
      <xdr:col>29</xdr:col>
      <xdr:colOff>762000</xdr:colOff>
      <xdr:row>31</xdr:row>
      <xdr:rowOff>71887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CADB35D-94E1-6B47-9910-E865165EF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2930</xdr:colOff>
      <xdr:row>13</xdr:row>
      <xdr:rowOff>116254</xdr:rowOff>
    </xdr:from>
    <xdr:to>
      <xdr:col>12</xdr:col>
      <xdr:colOff>431799</xdr:colOff>
      <xdr:row>37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723B42-764B-5940-9E8B-19B5AB054B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256540</xdr:colOff>
      <xdr:row>8</xdr:row>
      <xdr:rowOff>80010</xdr:rowOff>
    </xdr:from>
    <xdr:to>
      <xdr:col>26</xdr:col>
      <xdr:colOff>114300</xdr:colOff>
      <xdr:row>29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DBF38D-5787-A940-8248-A80CDEFE9B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635000</xdr:colOff>
      <xdr:row>8</xdr:row>
      <xdr:rowOff>101600</xdr:rowOff>
    </xdr:from>
    <xdr:to>
      <xdr:col>37</xdr:col>
      <xdr:colOff>262759</xdr:colOff>
      <xdr:row>34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C3A16D-9F5F-9F4E-A32A-CB29B8092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139699</xdr:colOff>
      <xdr:row>2</xdr:row>
      <xdr:rowOff>85725</xdr:rowOff>
    </xdr:from>
    <xdr:to>
      <xdr:col>18</xdr:col>
      <xdr:colOff>245340</xdr:colOff>
      <xdr:row>26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2517A2-E7E7-0C4F-8C94-79CAAB126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581808</xdr:colOff>
      <xdr:row>10</xdr:row>
      <xdr:rowOff>129392</xdr:rowOff>
    </xdr:from>
    <xdr:to>
      <xdr:col>14</xdr:col>
      <xdr:colOff>438561</xdr:colOff>
      <xdr:row>34</xdr:row>
      <xdr:rowOff>109640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7B4DDF-1558-4A41-8042-159AAD9046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723900</xdr:colOff>
      <xdr:row>29</xdr:row>
      <xdr:rowOff>189057</xdr:rowOff>
    </xdr:from>
    <xdr:to>
      <xdr:col>17</xdr:col>
      <xdr:colOff>278245</xdr:colOff>
      <xdr:row>49</xdr:row>
      <xdr:rowOff>154421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0C4D6-D9B0-2840-94BB-FB22DE5F0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88900</xdr:colOff>
      <xdr:row>58</xdr:row>
      <xdr:rowOff>127000</xdr:rowOff>
    </xdr:from>
    <xdr:to>
      <xdr:col>20</xdr:col>
      <xdr:colOff>965200</xdr:colOff>
      <xdr:row>82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ADC04B-F469-EB47-8F73-1D91E7502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1723572</xdr:colOff>
      <xdr:row>24</xdr:row>
      <xdr:rowOff>50800</xdr:rowOff>
    </xdr:from>
    <xdr:to>
      <xdr:col>10</xdr:col>
      <xdr:colOff>308428</xdr:colOff>
      <xdr:row>49</xdr:row>
      <xdr:rowOff>163286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DCEA1F-0E4B-7247-AB39-E4662ADC5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10</xdr:row>
      <xdr:rowOff>25400</xdr:rowOff>
    </xdr:from>
    <xdr:to>
      <xdr:col>25</xdr:col>
      <xdr:colOff>622300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47FFBD-4F99-5B41-8156-08E1E60A68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558800</xdr:colOff>
      <xdr:row>33</xdr:row>
      <xdr:rowOff>171450</xdr:rowOff>
    </xdr:from>
    <xdr:to>
      <xdr:col>16</xdr:col>
      <xdr:colOff>609600</xdr:colOff>
      <xdr:row>50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9B3EA8-543C-FC4A-90C5-4E1DDA36A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67</xdr:row>
      <xdr:rowOff>146050</xdr:rowOff>
    </xdr:from>
    <xdr:to>
      <xdr:col>5</xdr:col>
      <xdr:colOff>723900</xdr:colOff>
      <xdr:row>82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6BD97-0FFD-174A-AF22-F8AF4133C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25400</xdr:colOff>
      <xdr:row>36</xdr:row>
      <xdr:rowOff>127000</xdr:rowOff>
    </xdr:from>
    <xdr:to>
      <xdr:col>20</xdr:col>
      <xdr:colOff>965200</xdr:colOff>
      <xdr:row>57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41A423-4C75-BE46-80A7-D0103357B4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254000</xdr:colOff>
      <xdr:row>58</xdr:row>
      <xdr:rowOff>127000</xdr:rowOff>
    </xdr:from>
    <xdr:to>
      <xdr:col>21</xdr:col>
      <xdr:colOff>25400</xdr:colOff>
      <xdr:row>82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7FCE60-C3AD-534A-9A05-9F959165B5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711200</xdr:colOff>
      <xdr:row>2</xdr:row>
      <xdr:rowOff>60960</xdr:rowOff>
    </xdr:from>
    <xdr:to>
      <xdr:col>25</xdr:col>
      <xdr:colOff>294640</xdr:colOff>
      <xdr:row>24</xdr:row>
      <xdr:rowOff>25400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5F79BDD8-A07E-6F4E-B1B0-0C7ED3480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41</xdr:row>
      <xdr:rowOff>0</xdr:rowOff>
    </xdr:from>
    <xdr:to>
      <xdr:col>10</xdr:col>
      <xdr:colOff>304800</xdr:colOff>
      <xdr:row>42</xdr:row>
      <xdr:rowOff>114300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8EA577F4-9686-F94A-B859-100F3206D8F2}"/>
            </a:ext>
          </a:extLst>
        </xdr:cNvPr>
        <xdr:cNvSpPr>
          <a:spLocks noChangeAspect="1" noChangeArrowheads="1"/>
        </xdr:cNvSpPr>
      </xdr:nvSpPr>
      <xdr:spPr bwMode="auto">
        <a:xfrm>
          <a:off x="9829800" y="8331200"/>
          <a:ext cx="304800" cy="31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1301750</xdr:colOff>
      <xdr:row>49</xdr:row>
      <xdr:rowOff>44450</xdr:rowOff>
    </xdr:from>
    <xdr:to>
      <xdr:col>14</xdr:col>
      <xdr:colOff>438150</xdr:colOff>
      <xdr:row>73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D62C48-06E9-C042-AFFE-1A04DF0EA3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yahatley/Desktop/Copper%20Diameter%20Experiment%20w%20edited%20gra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rtneyOctober23"/>
      <sheetName val="Oct24"/>
      <sheetName val="October 25"/>
      <sheetName val="October27b"/>
      <sheetName val="Simplified"/>
    </sheetNames>
    <sheetDataSet>
      <sheetData sheetId="0"/>
      <sheetData sheetId="1"/>
      <sheetData sheetId="2"/>
      <sheetData sheetId="3"/>
      <sheetData sheetId="4">
        <row r="3">
          <cell r="G3">
            <v>0</v>
          </cell>
          <cell r="K3">
            <v>0</v>
          </cell>
          <cell r="Q3">
            <v>0</v>
          </cell>
          <cell r="W3">
            <v>0</v>
          </cell>
        </row>
        <row r="4">
          <cell r="G4">
            <v>20</v>
          </cell>
          <cell r="K4">
            <v>58.339796886666655</v>
          </cell>
          <cell r="Q4">
            <v>90.196302732666666</v>
          </cell>
          <cell r="W4">
            <v>65.450123456666674</v>
          </cell>
        </row>
        <row r="5">
          <cell r="G5">
            <v>40</v>
          </cell>
          <cell r="K5">
            <v>136.05850114</v>
          </cell>
          <cell r="Q5">
            <v>220.99848374600001</v>
          </cell>
          <cell r="W5">
            <v>149.11873507666667</v>
          </cell>
        </row>
        <row r="6">
          <cell r="G6">
            <v>60</v>
          </cell>
          <cell r="K6">
            <v>258.86700404000004</v>
          </cell>
          <cell r="Q6">
            <v>352.59208181266666</v>
          </cell>
          <cell r="W6">
            <v>281.31193970999999</v>
          </cell>
        </row>
        <row r="7">
          <cell r="G7">
            <v>80</v>
          </cell>
          <cell r="K7">
            <v>311.76316467333334</v>
          </cell>
          <cell r="Q7">
            <v>435.48761697933332</v>
          </cell>
          <cell r="W7">
            <v>436.24356344333336</v>
          </cell>
        </row>
        <row r="8">
          <cell r="G8">
            <v>100</v>
          </cell>
          <cell r="K8">
            <v>382.77574714000002</v>
          </cell>
          <cell r="Q8">
            <v>531.28843427933327</v>
          </cell>
          <cell r="W8">
            <v>493.84534224333339</v>
          </cell>
        </row>
        <row r="9">
          <cell r="G9">
            <v>120</v>
          </cell>
          <cell r="K9">
            <v>427.50222200666667</v>
          </cell>
          <cell r="Q9">
            <v>415.85873437933333</v>
          </cell>
          <cell r="W9">
            <v>588.65191317666665</v>
          </cell>
        </row>
        <row r="30">
          <cell r="U30">
            <v>0</v>
          </cell>
          <cell r="V30">
            <v>0</v>
          </cell>
          <cell r="W30">
            <v>0</v>
          </cell>
        </row>
        <row r="31">
          <cell r="U31">
            <v>25.935492569190558</v>
          </cell>
          <cell r="V31">
            <v>10.555824850984175</v>
          </cell>
          <cell r="W31">
            <v>22.138875061379572</v>
          </cell>
        </row>
        <row r="32">
          <cell r="U32">
            <v>46.196752532921678</v>
          </cell>
          <cell r="V32">
            <v>52.888304477808482</v>
          </cell>
          <cell r="W32">
            <v>10.989434931614408</v>
          </cell>
        </row>
        <row r="33">
          <cell r="U33">
            <v>64.478202154662895</v>
          </cell>
          <cell r="V33">
            <v>17.999509924405388</v>
          </cell>
          <cell r="W33">
            <v>58.468423081259019</v>
          </cell>
        </row>
        <row r="34">
          <cell r="U34">
            <v>111.33763783215754</v>
          </cell>
          <cell r="V34">
            <v>31.168055287493264</v>
          </cell>
          <cell r="W34">
            <v>29.628501064773893</v>
          </cell>
        </row>
        <row r="35">
          <cell r="U35">
            <v>41.227467776431062</v>
          </cell>
          <cell r="V35">
            <v>36.121268872352566</v>
          </cell>
          <cell r="W35">
            <v>47.474537248549254</v>
          </cell>
        </row>
        <row r="36">
          <cell r="U36">
            <v>52.073080234068307</v>
          </cell>
          <cell r="V36">
            <v>19.754864758116781</v>
          </cell>
          <cell r="W36">
            <v>51.095977218839984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4E24E-5840-194D-915F-B8F04BED6E37}">
  <dimension ref="A1:F17"/>
  <sheetViews>
    <sheetView topLeftCell="L1" zoomScale="150" workbookViewId="0">
      <selection sqref="A1:F15"/>
    </sheetView>
  </sheetViews>
  <sheetFormatPr baseColWidth="10" defaultColWidth="8.83203125" defaultRowHeight="15"/>
  <cols>
    <col min="1" max="4" width="8.83203125" style="1"/>
    <col min="5" max="5" width="12" style="1" bestFit="1" customWidth="1"/>
    <col min="6" max="16384" width="8.83203125" style="1"/>
  </cols>
  <sheetData>
    <row r="1" spans="1:6">
      <c r="A1" s="70" t="s">
        <v>490</v>
      </c>
    </row>
    <row r="2" spans="1:6">
      <c r="A2" s="1" t="s">
        <v>491</v>
      </c>
      <c r="B2" s="1" t="s">
        <v>22</v>
      </c>
      <c r="C2" s="1" t="s">
        <v>21</v>
      </c>
      <c r="D2" s="1" t="s">
        <v>20</v>
      </c>
      <c r="E2" s="1" t="s">
        <v>42</v>
      </c>
      <c r="F2" s="1" t="s">
        <v>276</v>
      </c>
    </row>
    <row r="3" spans="1:6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</row>
    <row r="4" spans="1:6">
      <c r="A4" s="1">
        <v>5</v>
      </c>
      <c r="B4" s="1">
        <v>35.490542740000002</v>
      </c>
      <c r="C4" s="1">
        <v>27.570986829999999</v>
      </c>
      <c r="D4" s="1">
        <v>40.178391099999999</v>
      </c>
      <c r="E4" s="1">
        <v>34.413306890000001</v>
      </c>
      <c r="F4" s="1">
        <v>3.6790845060000001</v>
      </c>
    </row>
    <row r="5" spans="1:6">
      <c r="A5" s="1">
        <v>10</v>
      </c>
      <c r="B5" s="1">
        <v>70.021054629999995</v>
      </c>
      <c r="C5" s="1">
        <v>52.808478239999999</v>
      </c>
      <c r="D5" s="1">
        <v>75.199723820000003</v>
      </c>
      <c r="E5" s="1">
        <v>66.009752230000004</v>
      </c>
      <c r="F5" s="1">
        <v>6.7678130359999997</v>
      </c>
    </row>
    <row r="6" spans="1:6">
      <c r="A6" s="1">
        <v>20</v>
      </c>
      <c r="B6" s="1">
        <v>140.96656770000001</v>
      </c>
      <c r="C6" s="1">
        <v>101.71005890000001</v>
      </c>
      <c r="D6" s="1">
        <v>161.3806534</v>
      </c>
      <c r="E6" s="1">
        <v>134.68575999999999</v>
      </c>
      <c r="F6" s="1">
        <v>17.509343900000001</v>
      </c>
    </row>
    <row r="7" spans="1:6">
      <c r="A7" s="1">
        <v>30</v>
      </c>
      <c r="B7" s="1">
        <v>202.56922230000001</v>
      </c>
      <c r="C7" s="1">
        <v>170.50382999999999</v>
      </c>
      <c r="D7" s="1">
        <v>252.9027906</v>
      </c>
      <c r="E7" s="1">
        <v>208.65861430000001</v>
      </c>
      <c r="F7" s="1">
        <v>23.980601180000001</v>
      </c>
    </row>
    <row r="9" spans="1:6">
      <c r="A9" s="70" t="s">
        <v>492</v>
      </c>
    </row>
    <row r="10" spans="1:6">
      <c r="A10" s="1" t="s">
        <v>491</v>
      </c>
      <c r="B10" s="1" t="s">
        <v>22</v>
      </c>
      <c r="C10" s="1" t="s">
        <v>21</v>
      </c>
      <c r="D10" s="1" t="s">
        <v>20</v>
      </c>
      <c r="E10" s="1" t="s">
        <v>42</v>
      </c>
      <c r="F10" s="1" t="s">
        <v>276</v>
      </c>
    </row>
    <row r="11" spans="1:6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</row>
    <row r="12" spans="1:6">
      <c r="A12" s="1">
        <v>5</v>
      </c>
      <c r="B12" s="1">
        <v>19.605</v>
      </c>
      <c r="C12" s="1">
        <v>17.216000000000001</v>
      </c>
      <c r="D12" s="1">
        <v>19.963999999999999</v>
      </c>
      <c r="E12" s="1">
        <f t="shared" ref="E12:E15" si="0">AVERAGE(B12:D12)</f>
        <v>18.928333333333331</v>
      </c>
      <c r="F12" s="1">
        <f t="shared" ref="F12:F15" si="1">STDEV(B12:D12)/SQRT(3)</f>
        <v>0.86241605066490012</v>
      </c>
    </row>
    <row r="13" spans="1:6">
      <c r="A13" s="1">
        <v>10</v>
      </c>
      <c r="B13" s="1">
        <v>31.276</v>
      </c>
      <c r="C13" s="1">
        <v>27.033999999999999</v>
      </c>
      <c r="D13" s="1">
        <v>34.088999999999999</v>
      </c>
      <c r="E13" s="1">
        <f t="shared" si="0"/>
        <v>30.799666666666667</v>
      </c>
      <c r="F13" s="1">
        <f t="shared" si="1"/>
        <v>2.0504817591103914</v>
      </c>
    </row>
    <row r="14" spans="1:6">
      <c r="A14" s="1">
        <v>20</v>
      </c>
      <c r="B14" s="1">
        <v>56.537999999999997</v>
      </c>
      <c r="C14" s="1">
        <v>51.412999999999997</v>
      </c>
      <c r="D14" s="1">
        <v>67.718000000000004</v>
      </c>
      <c r="E14" s="1">
        <f t="shared" si="0"/>
        <v>58.556333333333328</v>
      </c>
      <c r="F14" s="1">
        <f t="shared" si="1"/>
        <v>4.8138172079038464</v>
      </c>
    </row>
    <row r="15" spans="1:6">
      <c r="A15" s="1">
        <v>30</v>
      </c>
      <c r="B15" s="1">
        <v>79.650000000000006</v>
      </c>
      <c r="C15" s="1">
        <v>73.957999999999998</v>
      </c>
      <c r="D15" s="1">
        <v>82.025000000000006</v>
      </c>
      <c r="E15" s="1">
        <f t="shared" si="0"/>
        <v>78.544333333333341</v>
      </c>
      <c r="F15" s="1">
        <f t="shared" si="1"/>
        <v>2.3934630651932896</v>
      </c>
    </row>
    <row r="17" spans="1:1">
      <c r="A17" s="70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64ACF-B1CF-334E-8032-81FA73106217}">
  <dimension ref="A1:L63"/>
  <sheetViews>
    <sheetView topLeftCell="B42" zoomScaleNormal="100" workbookViewId="0">
      <selection activeCell="J48" sqref="J48"/>
    </sheetView>
  </sheetViews>
  <sheetFormatPr baseColWidth="10" defaultRowHeight="16"/>
  <cols>
    <col min="2" max="2" width="15.1640625" customWidth="1"/>
    <col min="3" max="3" width="14.83203125" customWidth="1"/>
    <col min="4" max="4" width="11.1640625" customWidth="1"/>
    <col min="5" max="5" width="12.1640625" customWidth="1"/>
    <col min="6" max="6" width="12.83203125" customWidth="1"/>
    <col min="7" max="7" width="19.5" customWidth="1"/>
    <col min="8" max="8" width="10.83203125" customWidth="1"/>
  </cols>
  <sheetData>
    <row r="1" spans="1:8">
      <c r="A1" s="27">
        <v>42754</v>
      </c>
      <c r="B1" s="28"/>
      <c r="C1" s="28"/>
      <c r="D1" s="28"/>
      <c r="E1" s="28"/>
      <c r="F1" s="28"/>
      <c r="G1" s="28"/>
      <c r="H1" s="28"/>
    </row>
    <row r="2" spans="1:8">
      <c r="A2" s="28"/>
      <c r="B2" s="28" t="s">
        <v>353</v>
      </c>
      <c r="C2" s="28" t="s">
        <v>354</v>
      </c>
      <c r="D2" s="28" t="s">
        <v>355</v>
      </c>
      <c r="E2" s="28" t="s">
        <v>356</v>
      </c>
      <c r="F2" s="28" t="s">
        <v>357</v>
      </c>
      <c r="G2" s="28" t="s">
        <v>358</v>
      </c>
      <c r="H2" s="28" t="s">
        <v>42</v>
      </c>
    </row>
    <row r="3" spans="1:8">
      <c r="A3" s="28" t="s">
        <v>359</v>
      </c>
      <c r="B3" s="28" t="s">
        <v>360</v>
      </c>
      <c r="C3" s="28">
        <v>0</v>
      </c>
      <c r="D3">
        <v>49</v>
      </c>
      <c r="E3">
        <v>48</v>
      </c>
      <c r="F3" t="s">
        <v>361</v>
      </c>
      <c r="G3" t="s">
        <v>362</v>
      </c>
      <c r="H3" s="76">
        <f>AVERAGE(G3:G4)</f>
        <v>158500000</v>
      </c>
    </row>
    <row r="4" spans="1:8">
      <c r="A4" s="28"/>
      <c r="B4" s="28" t="s">
        <v>363</v>
      </c>
      <c r="C4" s="28">
        <v>0</v>
      </c>
      <c r="D4">
        <v>44</v>
      </c>
      <c r="E4">
        <v>18</v>
      </c>
      <c r="F4" s="28">
        <v>1585</v>
      </c>
      <c r="G4">
        <v>158500000</v>
      </c>
      <c r="H4" s="76"/>
    </row>
    <row r="5" spans="1:8">
      <c r="A5" s="28"/>
      <c r="B5" s="28" t="s">
        <v>364</v>
      </c>
      <c r="C5" s="28">
        <v>2</v>
      </c>
      <c r="D5">
        <v>49</v>
      </c>
      <c r="E5">
        <v>48</v>
      </c>
      <c r="F5" t="s">
        <v>361</v>
      </c>
      <c r="G5" t="s">
        <v>361</v>
      </c>
      <c r="H5" s="76">
        <f>AVERAGE(G5:G7)</f>
        <v>17326000</v>
      </c>
    </row>
    <row r="6" spans="1:8">
      <c r="A6" s="28"/>
      <c r="B6" s="28" t="s">
        <v>365</v>
      </c>
      <c r="C6" s="28">
        <v>2</v>
      </c>
      <c r="D6">
        <v>49</v>
      </c>
      <c r="E6">
        <v>48</v>
      </c>
      <c r="F6" t="s">
        <v>361</v>
      </c>
      <c r="G6" t="s">
        <v>366</v>
      </c>
      <c r="H6" s="76"/>
    </row>
    <row r="7" spans="1:8">
      <c r="A7" s="28"/>
      <c r="B7" s="28" t="s">
        <v>365</v>
      </c>
      <c r="C7" s="28">
        <v>2</v>
      </c>
      <c r="D7">
        <v>49</v>
      </c>
      <c r="E7">
        <v>45</v>
      </c>
      <c r="F7" s="28">
        <v>1732.9</v>
      </c>
      <c r="G7" s="28">
        <v>17326000</v>
      </c>
      <c r="H7" s="76"/>
    </row>
    <row r="8" spans="1:8">
      <c r="A8" s="28"/>
      <c r="B8" s="28" t="s">
        <v>364</v>
      </c>
      <c r="C8" s="28">
        <v>4</v>
      </c>
      <c r="D8">
        <v>49</v>
      </c>
      <c r="E8">
        <v>47</v>
      </c>
      <c r="F8" s="28">
        <v>2419.6</v>
      </c>
      <c r="G8" s="28">
        <v>2419.6</v>
      </c>
      <c r="H8" s="79">
        <v>24196000</v>
      </c>
    </row>
    <row r="9" spans="1:8">
      <c r="A9" s="28"/>
      <c r="B9" s="28" t="s">
        <v>360</v>
      </c>
      <c r="C9" s="28">
        <v>4</v>
      </c>
      <c r="D9">
        <v>49</v>
      </c>
      <c r="E9">
        <v>48</v>
      </c>
      <c r="F9" t="s">
        <v>361</v>
      </c>
      <c r="G9" t="s">
        <v>362</v>
      </c>
      <c r="H9" s="79"/>
    </row>
    <row r="10" spans="1:8">
      <c r="A10" s="28"/>
      <c r="B10" s="28" t="s">
        <v>365</v>
      </c>
      <c r="C10" s="28">
        <v>4</v>
      </c>
      <c r="D10">
        <v>49</v>
      </c>
      <c r="E10">
        <v>48</v>
      </c>
      <c r="F10" t="s">
        <v>361</v>
      </c>
      <c r="G10" t="s">
        <v>366</v>
      </c>
      <c r="H10" s="79"/>
    </row>
    <row r="11" spans="1:8">
      <c r="A11" s="28"/>
      <c r="B11" s="28" t="s">
        <v>364</v>
      </c>
      <c r="C11" s="28">
        <v>8</v>
      </c>
      <c r="D11">
        <v>49</v>
      </c>
      <c r="E11">
        <v>48</v>
      </c>
      <c r="F11" t="s">
        <v>361</v>
      </c>
      <c r="G11" t="s">
        <v>361</v>
      </c>
      <c r="H11" s="76">
        <f>AVERAGE(G11:G13)</f>
        <v>24196000</v>
      </c>
    </row>
    <row r="12" spans="1:8">
      <c r="A12" s="28"/>
      <c r="B12" s="28" t="s">
        <v>360</v>
      </c>
      <c r="C12" s="28">
        <v>8</v>
      </c>
      <c r="D12">
        <v>49</v>
      </c>
      <c r="E12">
        <v>48</v>
      </c>
      <c r="F12" t="s">
        <v>361</v>
      </c>
      <c r="G12" t="s">
        <v>362</v>
      </c>
      <c r="H12" s="76"/>
    </row>
    <row r="13" spans="1:8">
      <c r="A13" s="28"/>
      <c r="B13" s="28" t="s">
        <v>365</v>
      </c>
      <c r="C13" s="28">
        <v>8</v>
      </c>
      <c r="D13">
        <v>49</v>
      </c>
      <c r="E13">
        <v>47</v>
      </c>
      <c r="F13" s="28">
        <v>2419.6</v>
      </c>
      <c r="G13">
        <v>24196000</v>
      </c>
      <c r="H13" s="76"/>
    </row>
    <row r="14" spans="1:8">
      <c r="A14" s="28" t="s">
        <v>367</v>
      </c>
      <c r="B14" s="28" t="s">
        <v>360</v>
      </c>
      <c r="C14" s="28">
        <v>0</v>
      </c>
      <c r="D14">
        <v>49</v>
      </c>
      <c r="E14">
        <v>48</v>
      </c>
      <c r="F14" t="s">
        <v>361</v>
      </c>
      <c r="G14" t="s">
        <v>362</v>
      </c>
      <c r="H14" s="76">
        <f>AVERAGE(G14:G15)</f>
        <v>15760000</v>
      </c>
    </row>
    <row r="15" spans="1:8">
      <c r="A15" s="28"/>
      <c r="B15" s="28" t="s">
        <v>363</v>
      </c>
      <c r="C15" s="28">
        <v>0</v>
      </c>
      <c r="D15">
        <v>45</v>
      </c>
      <c r="E15">
        <v>15</v>
      </c>
      <c r="F15" s="28">
        <v>157.6</v>
      </c>
      <c r="G15" s="28">
        <v>15760000</v>
      </c>
      <c r="H15" s="76"/>
    </row>
    <row r="16" spans="1:8">
      <c r="A16" s="28"/>
      <c r="B16" s="28" t="s">
        <v>364</v>
      </c>
      <c r="C16" s="28">
        <v>2</v>
      </c>
      <c r="D16">
        <v>49</v>
      </c>
      <c r="E16">
        <v>48</v>
      </c>
      <c r="F16" t="s">
        <v>361</v>
      </c>
      <c r="G16" t="s">
        <v>361</v>
      </c>
      <c r="H16" s="78">
        <f>AVERAGE(G16:G18)</f>
        <v>12997000</v>
      </c>
    </row>
    <row r="17" spans="1:8">
      <c r="A17" s="28"/>
      <c r="B17" s="28" t="s">
        <v>360</v>
      </c>
      <c r="C17" s="28">
        <v>2</v>
      </c>
      <c r="D17">
        <v>49</v>
      </c>
      <c r="E17">
        <v>48</v>
      </c>
      <c r="F17" t="s">
        <v>361</v>
      </c>
      <c r="G17" t="s">
        <v>362</v>
      </c>
      <c r="H17" s="78"/>
    </row>
    <row r="18" spans="1:8">
      <c r="A18" s="28"/>
      <c r="B18" s="28" t="s">
        <v>365</v>
      </c>
      <c r="C18" s="28">
        <v>2</v>
      </c>
      <c r="D18">
        <v>49</v>
      </c>
      <c r="E18">
        <v>42</v>
      </c>
      <c r="F18" s="28">
        <v>1299.7</v>
      </c>
      <c r="G18" s="28">
        <v>12997000</v>
      </c>
      <c r="H18" s="78"/>
    </row>
    <row r="19" spans="1:8">
      <c r="A19" s="28"/>
      <c r="B19" s="28" t="s">
        <v>364</v>
      </c>
      <c r="C19" s="28">
        <v>4</v>
      </c>
      <c r="D19">
        <v>49</v>
      </c>
      <c r="E19">
        <v>48</v>
      </c>
      <c r="F19" t="s">
        <v>361</v>
      </c>
      <c r="G19" t="s">
        <v>361</v>
      </c>
      <c r="H19" s="78">
        <f>AVERAGE(G19:G21)</f>
        <v>12997000</v>
      </c>
    </row>
    <row r="20" spans="1:8">
      <c r="A20" s="28"/>
      <c r="B20" s="28" t="s">
        <v>360</v>
      </c>
      <c r="C20" s="28">
        <v>4</v>
      </c>
      <c r="D20">
        <v>49</v>
      </c>
      <c r="E20">
        <v>48</v>
      </c>
      <c r="F20" t="s">
        <v>361</v>
      </c>
      <c r="G20" t="s">
        <v>362</v>
      </c>
      <c r="H20" s="78"/>
    </row>
    <row r="21" spans="1:8">
      <c r="A21" s="28"/>
      <c r="B21" s="28" t="s">
        <v>365</v>
      </c>
      <c r="C21" s="28">
        <v>4</v>
      </c>
      <c r="D21">
        <v>49</v>
      </c>
      <c r="E21">
        <v>42</v>
      </c>
      <c r="F21" s="28">
        <v>1299.7</v>
      </c>
      <c r="G21" s="28">
        <v>12997000</v>
      </c>
      <c r="H21" s="78"/>
    </row>
    <row r="22" spans="1:8">
      <c r="A22" s="28"/>
      <c r="B22" s="28" t="s">
        <v>364</v>
      </c>
      <c r="C22" s="28">
        <v>8</v>
      </c>
      <c r="D22">
        <v>49</v>
      </c>
      <c r="E22">
        <v>48</v>
      </c>
      <c r="F22" t="s">
        <v>361</v>
      </c>
      <c r="G22" t="s">
        <v>361</v>
      </c>
      <c r="H22" s="78">
        <f>AVERAGE(G22:G24)</f>
        <v>3253000</v>
      </c>
    </row>
    <row r="23" spans="1:8">
      <c r="A23" s="28"/>
      <c r="B23" s="28" t="s">
        <v>360</v>
      </c>
      <c r="C23" s="28">
        <v>8</v>
      </c>
      <c r="D23">
        <v>49</v>
      </c>
      <c r="E23">
        <v>48</v>
      </c>
      <c r="F23" t="s">
        <v>361</v>
      </c>
      <c r="G23" t="s">
        <v>362</v>
      </c>
      <c r="H23" s="78"/>
    </row>
    <row r="24" spans="1:8">
      <c r="A24" s="28"/>
      <c r="B24" s="28" t="s">
        <v>365</v>
      </c>
      <c r="C24" s="28">
        <v>8</v>
      </c>
      <c r="D24">
        <v>49</v>
      </c>
      <c r="E24">
        <v>19</v>
      </c>
      <c r="F24" s="28">
        <v>325.3</v>
      </c>
      <c r="G24" s="28">
        <v>3253000</v>
      </c>
      <c r="H24" s="78"/>
    </row>
    <row r="25" spans="1:8">
      <c r="A25" s="28" t="s">
        <v>368</v>
      </c>
      <c r="B25" s="28" t="s">
        <v>360</v>
      </c>
      <c r="C25" s="28">
        <v>0</v>
      </c>
      <c r="D25">
        <v>49</v>
      </c>
      <c r="E25">
        <v>48</v>
      </c>
      <c r="F25" t="s">
        <v>361</v>
      </c>
      <c r="G25" t="s">
        <v>362</v>
      </c>
      <c r="H25" s="76">
        <f>AVERAGE(G25:G26)</f>
        <v>290900000</v>
      </c>
    </row>
    <row r="26" spans="1:8">
      <c r="A26" s="28"/>
      <c r="B26" s="28" t="s">
        <v>363</v>
      </c>
      <c r="C26" s="28">
        <v>0</v>
      </c>
      <c r="D26">
        <v>49</v>
      </c>
      <c r="E26">
        <v>17</v>
      </c>
      <c r="F26" s="28">
        <v>2909</v>
      </c>
      <c r="G26" s="28">
        <v>290900000</v>
      </c>
      <c r="H26" s="76"/>
    </row>
    <row r="27" spans="1:8">
      <c r="A27" s="28"/>
      <c r="B27" s="28" t="s">
        <v>364</v>
      </c>
      <c r="C27" s="28">
        <v>2</v>
      </c>
      <c r="D27">
        <v>49</v>
      </c>
      <c r="E27">
        <v>48</v>
      </c>
      <c r="F27" t="s">
        <v>361</v>
      </c>
      <c r="G27" t="s">
        <v>361</v>
      </c>
      <c r="H27" s="78">
        <f>AVERAGE(G27:G29)</f>
        <v>19863000</v>
      </c>
    </row>
    <row r="28" spans="1:8">
      <c r="A28" s="28"/>
      <c r="B28" s="28" t="s">
        <v>360</v>
      </c>
      <c r="C28" s="28">
        <v>2</v>
      </c>
      <c r="D28">
        <v>49</v>
      </c>
      <c r="E28">
        <v>48</v>
      </c>
      <c r="F28" t="s">
        <v>361</v>
      </c>
      <c r="G28" t="s">
        <v>362</v>
      </c>
      <c r="H28" s="78"/>
    </row>
    <row r="29" spans="1:8">
      <c r="A29" s="28"/>
      <c r="B29" s="28" t="s">
        <v>365</v>
      </c>
      <c r="C29" s="28">
        <v>2</v>
      </c>
      <c r="D29">
        <v>49</v>
      </c>
      <c r="E29">
        <v>46</v>
      </c>
      <c r="F29" s="28">
        <v>1986.3</v>
      </c>
      <c r="G29" s="28">
        <v>19863000</v>
      </c>
      <c r="H29" s="78"/>
    </row>
    <row r="30" spans="1:8">
      <c r="A30" s="28"/>
      <c r="B30" s="28" t="s">
        <v>364</v>
      </c>
      <c r="C30" s="28">
        <v>4</v>
      </c>
      <c r="D30">
        <v>49</v>
      </c>
      <c r="E30">
        <v>48</v>
      </c>
      <c r="F30" t="s">
        <v>361</v>
      </c>
      <c r="G30" t="s">
        <v>361</v>
      </c>
      <c r="H30" s="78">
        <f>AVERAGE(G30:G32)</f>
        <v>12997000</v>
      </c>
    </row>
    <row r="31" spans="1:8">
      <c r="A31" s="28"/>
      <c r="B31" s="28" t="s">
        <v>360</v>
      </c>
      <c r="C31" s="28">
        <v>4</v>
      </c>
      <c r="D31">
        <v>49</v>
      </c>
      <c r="E31">
        <v>48</v>
      </c>
      <c r="F31" t="s">
        <v>361</v>
      </c>
      <c r="G31" t="s">
        <v>362</v>
      </c>
      <c r="H31" s="78"/>
    </row>
    <row r="32" spans="1:8">
      <c r="A32" s="28"/>
      <c r="B32" s="28" t="s">
        <v>365</v>
      </c>
      <c r="C32" s="28">
        <v>4</v>
      </c>
      <c r="D32">
        <v>49</v>
      </c>
      <c r="E32">
        <v>42</v>
      </c>
      <c r="F32" s="28">
        <v>1299.7</v>
      </c>
      <c r="G32" s="28">
        <v>12997000</v>
      </c>
      <c r="H32" s="78"/>
    </row>
    <row r="33" spans="1:8">
      <c r="A33" s="28"/>
      <c r="B33" s="28" t="s">
        <v>364</v>
      </c>
      <c r="C33" s="28">
        <v>8</v>
      </c>
      <c r="D33">
        <v>49</v>
      </c>
      <c r="E33">
        <v>48</v>
      </c>
      <c r="F33" t="s">
        <v>361</v>
      </c>
      <c r="G33" t="s">
        <v>361</v>
      </c>
      <c r="H33" s="78">
        <f>AVERAGE(G33:G35)</f>
        <v>6131000</v>
      </c>
    </row>
    <row r="34" spans="1:8">
      <c r="A34" s="28"/>
      <c r="B34" s="28" t="s">
        <v>360</v>
      </c>
      <c r="C34" s="28">
        <v>8</v>
      </c>
      <c r="D34">
        <v>49</v>
      </c>
      <c r="E34">
        <v>48</v>
      </c>
      <c r="F34" t="s">
        <v>361</v>
      </c>
      <c r="G34" t="s">
        <v>362</v>
      </c>
      <c r="H34" s="78"/>
    </row>
    <row r="35" spans="1:8">
      <c r="A35" s="28"/>
      <c r="B35" s="28" t="s">
        <v>365</v>
      </c>
      <c r="C35" s="28">
        <v>8</v>
      </c>
      <c r="D35">
        <v>49</v>
      </c>
      <c r="E35">
        <v>30</v>
      </c>
      <c r="F35" s="28">
        <v>613.1</v>
      </c>
      <c r="G35" s="28">
        <v>6131000</v>
      </c>
      <c r="H35" s="78"/>
    </row>
    <row r="36" spans="1:8">
      <c r="A36" s="28"/>
      <c r="B36" s="28"/>
      <c r="C36" s="28"/>
    </row>
    <row r="37" spans="1:8">
      <c r="A37" s="28"/>
      <c r="B37" s="28"/>
      <c r="C37" s="28"/>
      <c r="E37" s="28"/>
      <c r="F37" s="28"/>
      <c r="G37" s="28"/>
      <c r="H37" s="28"/>
    </row>
    <row r="38" spans="1:8">
      <c r="A38" s="28"/>
      <c r="B38" s="28"/>
      <c r="C38" s="28"/>
      <c r="D38" s="28"/>
      <c r="E38" s="28"/>
      <c r="F38" s="28"/>
      <c r="G38" s="28"/>
      <c r="H38" s="28"/>
    </row>
    <row r="39" spans="1:8">
      <c r="A39" s="28" t="s">
        <v>369</v>
      </c>
      <c r="B39" s="28"/>
      <c r="C39" s="28"/>
      <c r="D39" s="28"/>
      <c r="E39" s="28"/>
      <c r="F39" s="28"/>
      <c r="G39" s="28"/>
      <c r="H39" s="28"/>
    </row>
    <row r="40" spans="1:8">
      <c r="A40" s="28"/>
      <c r="B40" s="28"/>
      <c r="C40" s="28"/>
      <c r="D40" s="28"/>
      <c r="E40" s="28"/>
      <c r="F40" s="28"/>
      <c r="G40" s="28"/>
      <c r="H40" s="28"/>
    </row>
    <row r="41" spans="1:8">
      <c r="A41" s="28"/>
      <c r="B41" s="28" t="s">
        <v>359</v>
      </c>
      <c r="C41" s="28" t="s">
        <v>370</v>
      </c>
      <c r="D41" s="28" t="s">
        <v>367</v>
      </c>
      <c r="E41" s="28" t="s">
        <v>370</v>
      </c>
      <c r="F41" s="28" t="s">
        <v>368</v>
      </c>
      <c r="G41" s="28" t="s">
        <v>370</v>
      </c>
      <c r="H41" s="28"/>
    </row>
    <row r="42" spans="1:8">
      <c r="A42" s="28">
        <v>0</v>
      </c>
      <c r="B42" s="28">
        <v>15850000</v>
      </c>
      <c r="C42" s="28">
        <f>LOG($B$42)-LOG(B42)</f>
        <v>0</v>
      </c>
      <c r="D42" s="28">
        <v>15760000</v>
      </c>
      <c r="E42" s="28">
        <f>LOG($D$42)-LOG(D42)</f>
        <v>0</v>
      </c>
      <c r="F42" s="28">
        <v>290900000</v>
      </c>
      <c r="G42" s="28">
        <f>LOG($F$42)-LOG(F42)</f>
        <v>0</v>
      </c>
      <c r="H42" s="28"/>
    </row>
    <row r="43" spans="1:8">
      <c r="A43" s="28">
        <v>2</v>
      </c>
      <c r="B43">
        <v>17326000</v>
      </c>
      <c r="C43">
        <f>LOG($B$42)-LOG(B43)</f>
        <v>-3.8669043509216294E-2</v>
      </c>
      <c r="D43">
        <v>12997000</v>
      </c>
      <c r="E43">
        <f>LOG($D$42)-LOG(D43)</f>
        <v>8.3713094216049555E-2</v>
      </c>
      <c r="F43">
        <v>19863000</v>
      </c>
      <c r="G43">
        <f>LOG($F$42)-LOG(F43)</f>
        <v>1.1656988786460794</v>
      </c>
      <c r="H43" s="28"/>
    </row>
    <row r="44" spans="1:8">
      <c r="A44">
        <v>4</v>
      </c>
      <c r="B44" s="29">
        <v>24196000</v>
      </c>
      <c r="C44" s="30">
        <f>LOG($B$42)-LOG(B44)</f>
        <v>-0.18371430928154275</v>
      </c>
      <c r="D44">
        <v>12997000</v>
      </c>
      <c r="E44">
        <f>LOG($D$42)-LOG(D44)</f>
        <v>8.3713094216049555E-2</v>
      </c>
      <c r="F44">
        <v>12997000</v>
      </c>
      <c r="G44">
        <f>LOG($F$42)-LOG(F44)</f>
        <v>1.3499006023095728</v>
      </c>
      <c r="H44" s="28"/>
    </row>
    <row r="45" spans="1:8">
      <c r="A45" s="28">
        <v>8</v>
      </c>
      <c r="B45">
        <v>24196000</v>
      </c>
      <c r="C45">
        <f>LOG($B$42)-LOG(B45)</f>
        <v>-0.18371430928154275</v>
      </c>
      <c r="D45">
        <v>3253000</v>
      </c>
      <c r="E45">
        <f>LOG($D$42)-LOG(D45)</f>
        <v>0.6852721498716825</v>
      </c>
      <c r="F45">
        <v>6131000</v>
      </c>
      <c r="G45">
        <f>LOG($F$42)-LOG(F45)</f>
        <v>1.6762124051198253</v>
      </c>
      <c r="H45" s="28"/>
    </row>
    <row r="46" spans="1:8">
      <c r="H46" s="28"/>
    </row>
    <row r="47" spans="1:8">
      <c r="B47" t="s">
        <v>371</v>
      </c>
      <c r="C47" t="s">
        <v>372</v>
      </c>
      <c r="D47" t="s">
        <v>373</v>
      </c>
      <c r="E47" t="s">
        <v>374</v>
      </c>
      <c r="H47" s="28"/>
    </row>
    <row r="48" spans="1:8">
      <c r="A48" s="28">
        <v>0</v>
      </c>
      <c r="B48">
        <v>0</v>
      </c>
      <c r="C48">
        <v>0</v>
      </c>
      <c r="D48">
        <v>0</v>
      </c>
      <c r="E48">
        <f>AVERAGE(C48+D48)</f>
        <v>0</v>
      </c>
      <c r="H48" s="28"/>
    </row>
    <row r="49" spans="1:12">
      <c r="A49" s="28">
        <v>2</v>
      </c>
      <c r="B49">
        <v>0.96133095599999996</v>
      </c>
      <c r="C49">
        <v>8.3713094000000002E-2</v>
      </c>
      <c r="D49">
        <v>1.165698879</v>
      </c>
      <c r="E49">
        <f>AVERAGE(C49,D49)</f>
        <v>0.62470598649999998</v>
      </c>
      <c r="H49" s="28"/>
    </row>
    <row r="50" spans="1:12">
      <c r="A50">
        <v>4</v>
      </c>
      <c r="B50">
        <v>0.81628569100000004</v>
      </c>
      <c r="C50">
        <v>8.3713094000000002E-2</v>
      </c>
      <c r="D50">
        <v>1.3499006019999999</v>
      </c>
      <c r="E50">
        <f>AVERAGE(C50,D50)</f>
        <v>0.71680684799999994</v>
      </c>
    </row>
    <row r="51" spans="1:12">
      <c r="A51" s="28">
        <v>8</v>
      </c>
      <c r="B51">
        <v>0.81628569100000004</v>
      </c>
      <c r="C51">
        <v>0.68527214999999997</v>
      </c>
      <c r="D51">
        <v>1.676212405</v>
      </c>
      <c r="E51">
        <f>AVERAGE(C51,D51)</f>
        <v>1.1807422775</v>
      </c>
    </row>
    <row r="53" spans="1:12">
      <c r="B53" t="s">
        <v>371</v>
      </c>
      <c r="C53" t="s">
        <v>374</v>
      </c>
      <c r="D53" t="s">
        <v>375</v>
      </c>
    </row>
    <row r="54" spans="1:12">
      <c r="A54">
        <v>0</v>
      </c>
      <c r="B54">
        <v>0</v>
      </c>
      <c r="C54">
        <v>0</v>
      </c>
      <c r="D54">
        <f>(STDEV(C48:D48))/(SQRT(COUNT(C48:D48)))</f>
        <v>0</v>
      </c>
    </row>
    <row r="55" spans="1:12">
      <c r="A55">
        <v>2</v>
      </c>
      <c r="B55">
        <v>-3.8669043509216294E-2</v>
      </c>
      <c r="C55">
        <v>0.62470598643106445</v>
      </c>
      <c r="D55">
        <f>(STDEV(C49:D49))/(SQRT(COUNT(C49:D49)))</f>
        <v>0.54099289250000016</v>
      </c>
    </row>
    <row r="56" spans="1:12">
      <c r="A56">
        <v>4</v>
      </c>
      <c r="B56">
        <v>-0.18371430928154275</v>
      </c>
      <c r="C56">
        <v>0.71680684826281116</v>
      </c>
      <c r="D56">
        <f>(STDEV(C50:D50))/(SQRT(COUNT(C50:D50)))</f>
        <v>0.63309375400000001</v>
      </c>
    </row>
    <row r="57" spans="1:12">
      <c r="A57">
        <v>8</v>
      </c>
      <c r="B57">
        <v>-0.18371430928154275</v>
      </c>
      <c r="C57">
        <v>1.1807422774957539</v>
      </c>
      <c r="D57">
        <f>(STDEV(C51:D51))/(SQRT(COUNT(C51:D51)))</f>
        <v>0.49547012749999986</v>
      </c>
    </row>
    <row r="59" spans="1:12">
      <c r="C59" t="s">
        <v>375</v>
      </c>
    </row>
    <row r="60" spans="1:12">
      <c r="C60">
        <v>0</v>
      </c>
      <c r="H60" s="31"/>
      <c r="I60" s="31"/>
      <c r="J60" s="31"/>
      <c r="K60" s="31"/>
      <c r="L60" s="31"/>
    </row>
    <row r="61" spans="1:12">
      <c r="C61">
        <v>0.54099289250000016</v>
      </c>
      <c r="H61" s="31"/>
      <c r="I61" s="31"/>
      <c r="J61" s="31"/>
      <c r="K61" s="31"/>
      <c r="L61" s="31"/>
    </row>
    <row r="62" spans="1:12">
      <c r="C62">
        <v>0.63309375400000001</v>
      </c>
      <c r="H62" s="31"/>
      <c r="I62" s="31"/>
      <c r="J62" s="31"/>
      <c r="K62" s="31"/>
      <c r="L62" s="31"/>
    </row>
    <row r="63" spans="1:12">
      <c r="C63">
        <v>0.49547012749999986</v>
      </c>
    </row>
  </sheetData>
  <mergeCells count="12">
    <mergeCell ref="H33:H35"/>
    <mergeCell ref="H3:H4"/>
    <mergeCell ref="H5:H7"/>
    <mergeCell ref="H8:H10"/>
    <mergeCell ref="H11:H13"/>
    <mergeCell ref="H14:H15"/>
    <mergeCell ref="H16:H18"/>
    <mergeCell ref="H19:H21"/>
    <mergeCell ref="H22:H24"/>
    <mergeCell ref="H25:H26"/>
    <mergeCell ref="H27:H29"/>
    <mergeCell ref="H30:H32"/>
  </mergeCells>
  <pageMargins left="0.75" right="0.75" top="1" bottom="1" header="0.5" footer="0.5"/>
  <pageSetup orientation="portrait" horizontalDpi="4294967292" verticalDpi="429496729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09471-9AA0-BF4C-A92F-050B38BE8486}">
  <dimension ref="A1:AE55"/>
  <sheetViews>
    <sheetView topLeftCell="R1" zoomScale="63" zoomScaleNormal="66" workbookViewId="0">
      <selection activeCell="AE34" sqref="AE34"/>
    </sheetView>
  </sheetViews>
  <sheetFormatPr baseColWidth="10" defaultRowHeight="16"/>
  <sheetData>
    <row r="1" spans="1:25">
      <c r="A1" t="s">
        <v>38</v>
      </c>
      <c r="B1" t="s">
        <v>37</v>
      </c>
      <c r="C1" t="s">
        <v>36</v>
      </c>
      <c r="D1" t="s">
        <v>165</v>
      </c>
      <c r="I1">
        <v>4.5</v>
      </c>
      <c r="L1">
        <v>9</v>
      </c>
    </row>
    <row r="2" spans="1:25">
      <c r="A2" t="s">
        <v>138</v>
      </c>
      <c r="B2">
        <v>5.7844679870000002</v>
      </c>
      <c r="C2">
        <v>8.0320221660000009</v>
      </c>
      <c r="I2" t="s">
        <v>22</v>
      </c>
      <c r="J2" t="s">
        <v>21</v>
      </c>
      <c r="K2" t="s">
        <v>20</v>
      </c>
      <c r="L2" t="s">
        <v>22</v>
      </c>
      <c r="M2" t="s">
        <v>21</v>
      </c>
      <c r="N2" t="s">
        <v>20</v>
      </c>
    </row>
    <row r="3" spans="1:25">
      <c r="A3" t="s">
        <v>137</v>
      </c>
      <c r="B3" s="16">
        <v>18.113235459999999</v>
      </c>
      <c r="C3">
        <v>0.88229056120000005</v>
      </c>
      <c r="H3">
        <v>0</v>
      </c>
      <c r="I3">
        <v>8.0320221660000009</v>
      </c>
      <c r="J3">
        <v>8.0342119289999996</v>
      </c>
      <c r="K3">
        <f>C24</f>
        <v>1.4113366279999999</v>
      </c>
      <c r="L3">
        <f>C31</f>
        <v>1.2385981690000001</v>
      </c>
      <c r="M3">
        <f>C39</f>
        <v>0.45213906520000002</v>
      </c>
      <c r="N3">
        <f>C48</f>
        <v>0.50528439250000001</v>
      </c>
      <c r="P3" t="s">
        <v>224</v>
      </c>
    </row>
    <row r="4" spans="1:25">
      <c r="A4" t="s">
        <v>136</v>
      </c>
      <c r="B4">
        <v>3.3706110759999999</v>
      </c>
      <c r="C4">
        <v>1.1457469790000001</v>
      </c>
      <c r="H4">
        <v>1</v>
      </c>
      <c r="I4">
        <f t="shared" ref="I4:I10" si="0">C3*10</f>
        <v>8.8229056119999996</v>
      </c>
      <c r="J4">
        <f t="shared" ref="J4:J10" si="1">C11*10</f>
        <v>8.2134748450000004</v>
      </c>
      <c r="K4">
        <f>C25*10</f>
        <v>1.350435627</v>
      </c>
      <c r="L4">
        <f t="shared" ref="L4:L10" si="2">C32*10</f>
        <v>18.54816662</v>
      </c>
      <c r="M4">
        <f>C40*10</f>
        <v>7.6395114189999997</v>
      </c>
      <c r="N4">
        <f t="shared" ref="N4:N10" si="3">C49*10</f>
        <v>2.8606548799999998</v>
      </c>
      <c r="Q4">
        <v>4.5</v>
      </c>
      <c r="U4">
        <v>9</v>
      </c>
    </row>
    <row r="5" spans="1:25">
      <c r="A5" t="s">
        <v>135</v>
      </c>
      <c r="B5">
        <v>11.43629619</v>
      </c>
      <c r="C5">
        <v>6.5729316310000003</v>
      </c>
      <c r="H5">
        <v>5</v>
      </c>
      <c r="I5">
        <f t="shared" si="0"/>
        <v>11.457469790000001</v>
      </c>
      <c r="J5">
        <f t="shared" si="1"/>
        <v>10.345758089999999</v>
      </c>
      <c r="K5">
        <f>C26*10</f>
        <v>20.15632737</v>
      </c>
      <c r="L5">
        <f t="shared" si="2"/>
        <v>44.613545369999997</v>
      </c>
      <c r="M5">
        <f>C41*10</f>
        <v>33.414856239999999</v>
      </c>
      <c r="N5">
        <f t="shared" si="3"/>
        <v>29.5272252</v>
      </c>
      <c r="Q5" t="s">
        <v>22</v>
      </c>
      <c r="R5" t="s">
        <v>21</v>
      </c>
      <c r="S5" t="s">
        <v>20</v>
      </c>
      <c r="T5" t="s">
        <v>153</v>
      </c>
      <c r="U5" t="s">
        <v>22</v>
      </c>
      <c r="V5" t="s">
        <v>21</v>
      </c>
      <c r="W5" t="s">
        <v>20</v>
      </c>
      <c r="X5" t="s">
        <v>153</v>
      </c>
      <c r="Y5" s="24" t="s">
        <v>225</v>
      </c>
    </row>
    <row r="6" spans="1:25">
      <c r="A6" t="s">
        <v>134</v>
      </c>
      <c r="B6">
        <v>5.694977916</v>
      </c>
      <c r="C6">
        <v>3.0056913129999998</v>
      </c>
      <c r="H6">
        <v>10</v>
      </c>
      <c r="I6" s="25">
        <f t="shared" si="0"/>
        <v>65.729316310000002</v>
      </c>
      <c r="J6">
        <f t="shared" si="1"/>
        <v>24.350857509999997</v>
      </c>
      <c r="K6">
        <f>C27*10</f>
        <v>45.35925589</v>
      </c>
      <c r="L6">
        <f t="shared" si="2"/>
        <v>94.677077310000016</v>
      </c>
      <c r="M6">
        <f>C43*10</f>
        <v>49.44680185</v>
      </c>
      <c r="N6">
        <f t="shared" si="3"/>
        <v>53.113163229999998</v>
      </c>
      <c r="P6">
        <v>0</v>
      </c>
      <c r="Q6">
        <f t="shared" ref="Q6:Q13" si="4">I3-$I$3</f>
        <v>0</v>
      </c>
      <c r="R6">
        <f t="shared" ref="R6:R13" si="5">J3-$J$3</f>
        <v>0</v>
      </c>
      <c r="S6">
        <f>K3-$K$3</f>
        <v>0</v>
      </c>
      <c r="T6">
        <f>AVERAGE(Q6:S6)</f>
        <v>0</v>
      </c>
      <c r="U6">
        <f t="shared" ref="U6:U13" si="6">L3-$L$3</f>
        <v>0</v>
      </c>
      <c r="V6">
        <f t="shared" ref="V6:V13" si="7">M3-$M$3</f>
        <v>0</v>
      </c>
      <c r="W6">
        <f t="shared" ref="W6:W13" si="8">N3-$N$3</f>
        <v>0</v>
      </c>
      <c r="X6">
        <f>AVERAGE(U6:W6)</f>
        <v>0</v>
      </c>
      <c r="Y6" s="24">
        <v>500</v>
      </c>
    </row>
    <row r="7" spans="1:25">
      <c r="A7" t="s">
        <v>133</v>
      </c>
      <c r="B7">
        <v>4.0829043560000002</v>
      </c>
      <c r="C7">
        <v>5.3819058919999998</v>
      </c>
      <c r="H7">
        <v>20</v>
      </c>
      <c r="I7">
        <f t="shared" si="0"/>
        <v>30.056913129999998</v>
      </c>
      <c r="J7">
        <f t="shared" si="1"/>
        <v>38.058792449999999</v>
      </c>
      <c r="K7" s="11"/>
      <c r="L7">
        <f t="shared" si="2"/>
        <v>158.96431440000001</v>
      </c>
      <c r="M7">
        <f>C44*10</f>
        <v>97.392736150000005</v>
      </c>
      <c r="N7">
        <f t="shared" si="3"/>
        <v>133.96933300000001</v>
      </c>
      <c r="P7">
        <v>1</v>
      </c>
      <c r="Q7">
        <f t="shared" si="4"/>
        <v>0.79088344599999871</v>
      </c>
      <c r="R7">
        <f t="shared" si="5"/>
        <v>0.17926291600000077</v>
      </c>
      <c r="S7">
        <f>K4-$K$3</f>
        <v>-6.0901000999999955E-2</v>
      </c>
      <c r="T7">
        <f t="shared" ref="T7:T13" si="9">AVERAGE(Q7:S7)</f>
        <v>0.30308178699999982</v>
      </c>
      <c r="U7">
        <f t="shared" si="6"/>
        <v>17.309568451000001</v>
      </c>
      <c r="V7">
        <f t="shared" si="7"/>
        <v>7.1873723537999998</v>
      </c>
      <c r="W7">
        <f t="shared" si="8"/>
        <v>2.3553704874999997</v>
      </c>
      <c r="X7">
        <f t="shared" ref="X7:X13" si="10">AVERAGE(U7:W7)</f>
        <v>8.9507704307666671</v>
      </c>
      <c r="Y7" s="24"/>
    </row>
    <row r="8" spans="1:25">
      <c r="A8" t="s">
        <v>132</v>
      </c>
      <c r="B8">
        <v>9.6828156300000003</v>
      </c>
      <c r="C8">
        <v>10.59362659</v>
      </c>
      <c r="H8">
        <v>30</v>
      </c>
      <c r="I8">
        <f t="shared" si="0"/>
        <v>53.819058919999996</v>
      </c>
      <c r="J8">
        <f t="shared" si="1"/>
        <v>81.127977490000006</v>
      </c>
      <c r="K8">
        <f>C28*10</f>
        <v>101.9181177</v>
      </c>
      <c r="L8">
        <f t="shared" si="2"/>
        <v>458.24803170000001</v>
      </c>
      <c r="M8">
        <f>C45*10</f>
        <v>152.46972550000001</v>
      </c>
      <c r="N8">
        <f t="shared" si="3"/>
        <v>168.66314939999998</v>
      </c>
      <c r="P8">
        <v>5</v>
      </c>
      <c r="Q8">
        <f t="shared" si="4"/>
        <v>3.4254476240000002</v>
      </c>
      <c r="R8">
        <f t="shared" si="5"/>
        <v>2.311546160999999</v>
      </c>
      <c r="S8">
        <f>K5-$K$3</f>
        <v>18.744990741999999</v>
      </c>
      <c r="T8">
        <f t="shared" si="9"/>
        <v>8.1606615089999988</v>
      </c>
      <c r="U8">
        <f t="shared" si="6"/>
        <v>43.374947200999998</v>
      </c>
      <c r="V8">
        <f t="shared" si="7"/>
        <v>32.962717174799998</v>
      </c>
      <c r="W8">
        <f t="shared" si="8"/>
        <v>29.021940807500002</v>
      </c>
      <c r="X8">
        <f t="shared" si="10"/>
        <v>35.119868394433333</v>
      </c>
      <c r="Y8" s="24"/>
    </row>
    <row r="9" spans="1:25">
      <c r="A9" t="s">
        <v>131</v>
      </c>
      <c r="B9">
        <v>8.4317468739999999</v>
      </c>
      <c r="C9">
        <v>10.653767909999999</v>
      </c>
      <c r="H9">
        <v>40</v>
      </c>
      <c r="I9">
        <f t="shared" si="0"/>
        <v>105.9362659</v>
      </c>
      <c r="J9">
        <f t="shared" si="1"/>
        <v>86.250387289999992</v>
      </c>
      <c r="K9">
        <f>C29*10</f>
        <v>135.5837373</v>
      </c>
      <c r="L9">
        <f t="shared" si="2"/>
        <v>322.14638760000003</v>
      </c>
      <c r="M9">
        <f>C46*10</f>
        <v>217.16767369999999</v>
      </c>
      <c r="N9">
        <f t="shared" si="3"/>
        <v>204.8807176</v>
      </c>
      <c r="P9">
        <v>10</v>
      </c>
      <c r="Q9">
        <f t="shared" si="4"/>
        <v>57.697294143999997</v>
      </c>
      <c r="R9">
        <f t="shared" si="5"/>
        <v>16.316645580999996</v>
      </c>
      <c r="S9">
        <f>K6-$K$3</f>
        <v>43.947919261999999</v>
      </c>
      <c r="T9">
        <f t="shared" si="9"/>
        <v>39.320619662333335</v>
      </c>
      <c r="U9">
        <f t="shared" si="6"/>
        <v>93.438479141000016</v>
      </c>
      <c r="V9">
        <f t="shared" si="7"/>
        <v>48.994662784799999</v>
      </c>
      <c r="W9">
        <f t="shared" si="8"/>
        <v>52.607878837499996</v>
      </c>
      <c r="X9">
        <f t="shared" si="10"/>
        <v>65.013673587766675</v>
      </c>
      <c r="Y9" s="24"/>
    </row>
    <row r="10" spans="1:25">
      <c r="A10" t="s">
        <v>130</v>
      </c>
      <c r="B10">
        <v>1.471673912</v>
      </c>
      <c r="C10">
        <v>8.0342119289999996</v>
      </c>
      <c r="H10">
        <v>50</v>
      </c>
      <c r="I10">
        <f t="shared" si="0"/>
        <v>106.53767909999999</v>
      </c>
      <c r="J10">
        <f t="shared" si="1"/>
        <v>122.85992450000001</v>
      </c>
      <c r="K10">
        <f>C30*10</f>
        <v>148.85989430000001</v>
      </c>
      <c r="L10">
        <f t="shared" si="2"/>
        <v>400.65828260000001</v>
      </c>
      <c r="M10">
        <f>C47*10</f>
        <v>359.75047510000002</v>
      </c>
      <c r="N10">
        <f t="shared" si="3"/>
        <v>414.72669569999999</v>
      </c>
      <c r="P10">
        <v>20</v>
      </c>
      <c r="Q10">
        <f t="shared" si="4"/>
        <v>22.024890963999997</v>
      </c>
      <c r="R10">
        <f t="shared" si="5"/>
        <v>30.024580520999997</v>
      </c>
      <c r="T10">
        <f t="shared" si="9"/>
        <v>26.024735742499999</v>
      </c>
      <c r="U10">
        <f t="shared" si="6"/>
        <v>157.72571623100001</v>
      </c>
      <c r="V10">
        <f t="shared" si="7"/>
        <v>96.940597084800004</v>
      </c>
      <c r="W10">
        <f t="shared" si="8"/>
        <v>133.46404860750002</v>
      </c>
      <c r="X10">
        <f t="shared" si="10"/>
        <v>129.37678730776668</v>
      </c>
      <c r="Y10" s="24"/>
    </row>
    <row r="11" spans="1:25">
      <c r="A11" t="s">
        <v>129</v>
      </c>
      <c r="B11">
        <v>5.8339332390000003</v>
      </c>
      <c r="C11">
        <v>0.82134748449999995</v>
      </c>
      <c r="P11">
        <v>30</v>
      </c>
      <c r="Q11">
        <f t="shared" si="4"/>
        <v>45.787036753999999</v>
      </c>
      <c r="R11">
        <f t="shared" si="5"/>
        <v>73.093765561000012</v>
      </c>
      <c r="S11">
        <f>K8-$K$3</f>
        <v>100.506781072</v>
      </c>
      <c r="T11">
        <f t="shared" si="9"/>
        <v>73.129194462333331</v>
      </c>
      <c r="U11">
        <f t="shared" si="6"/>
        <v>457.00943353100001</v>
      </c>
      <c r="V11">
        <f t="shared" si="7"/>
        <v>152.01758643480002</v>
      </c>
      <c r="W11">
        <f t="shared" si="8"/>
        <v>168.15786500749999</v>
      </c>
      <c r="X11">
        <f t="shared" si="10"/>
        <v>259.06162832443334</v>
      </c>
      <c r="Y11" s="24"/>
    </row>
    <row r="12" spans="1:25">
      <c r="A12" t="s">
        <v>128</v>
      </c>
      <c r="B12" s="16">
        <v>22.37806694</v>
      </c>
      <c r="C12">
        <v>1.0345758089999999</v>
      </c>
      <c r="P12">
        <v>40</v>
      </c>
      <c r="Q12">
        <f t="shared" si="4"/>
        <v>97.904243733999991</v>
      </c>
      <c r="R12">
        <f t="shared" si="5"/>
        <v>78.216175360999998</v>
      </c>
      <c r="S12">
        <f>K9-$K$3</f>
        <v>134.17240067200001</v>
      </c>
      <c r="T12">
        <f t="shared" si="9"/>
        <v>103.43093992233332</v>
      </c>
      <c r="U12">
        <f t="shared" si="6"/>
        <v>320.90778943100003</v>
      </c>
      <c r="V12">
        <f t="shared" si="7"/>
        <v>216.71553463480001</v>
      </c>
      <c r="W12">
        <f t="shared" si="8"/>
        <v>204.37543320750001</v>
      </c>
      <c r="X12">
        <f t="shared" si="10"/>
        <v>247.33291909110002</v>
      </c>
    </row>
    <row r="13" spans="1:25">
      <c r="A13" t="s">
        <v>127</v>
      </c>
      <c r="B13">
        <v>3.271024068</v>
      </c>
      <c r="C13">
        <v>2.4350857509999999</v>
      </c>
      <c r="P13">
        <v>50</v>
      </c>
      <c r="Q13">
        <f t="shared" si="4"/>
        <v>98.505656933999987</v>
      </c>
      <c r="R13">
        <f t="shared" si="5"/>
        <v>114.82571257100001</v>
      </c>
      <c r="S13">
        <f>K10-$K$3</f>
        <v>147.44855767200002</v>
      </c>
      <c r="T13">
        <f t="shared" si="9"/>
        <v>120.25997572566666</v>
      </c>
      <c r="U13">
        <f t="shared" si="6"/>
        <v>399.41968443100001</v>
      </c>
      <c r="V13">
        <f t="shared" si="7"/>
        <v>359.2983360348</v>
      </c>
      <c r="W13">
        <f t="shared" si="8"/>
        <v>414.22141130749998</v>
      </c>
      <c r="X13">
        <f t="shared" si="10"/>
        <v>390.97981059109998</v>
      </c>
      <c r="Y13">
        <v>500</v>
      </c>
    </row>
    <row r="14" spans="1:25">
      <c r="A14" t="s">
        <v>126</v>
      </c>
      <c r="B14">
        <v>8.7231624300000004</v>
      </c>
      <c r="C14">
        <v>3.8058792449999999</v>
      </c>
      <c r="P14">
        <v>60</v>
      </c>
    </row>
    <row r="15" spans="1:25">
      <c r="A15" t="s">
        <v>125</v>
      </c>
      <c r="B15">
        <v>0.87021301849999999</v>
      </c>
      <c r="C15">
        <v>8.1127977490000003</v>
      </c>
      <c r="T15" s="17" t="s">
        <v>226</v>
      </c>
      <c r="U15" t="s">
        <v>227</v>
      </c>
      <c r="X15" t="s">
        <v>226</v>
      </c>
      <c r="Y15" t="s">
        <v>227</v>
      </c>
    </row>
    <row r="16" spans="1:25">
      <c r="A16" t="s">
        <v>124</v>
      </c>
      <c r="B16" s="16">
        <v>18.61216881</v>
      </c>
      <c r="C16">
        <v>8.6250387289999999</v>
      </c>
      <c r="S16" s="24">
        <v>0</v>
      </c>
      <c r="T16" s="17">
        <f t="shared" ref="T16:T23" si="11">(STDEV(Q6:S6))/(SQRT(COUNT(Q6:S6)))</f>
        <v>0</v>
      </c>
      <c r="U16">
        <f t="shared" ref="U16:U23" si="12">(STDEV(U6:W6))/(SQRT(COUNT(U6:W6)))</f>
        <v>0</v>
      </c>
      <c r="W16">
        <v>0</v>
      </c>
      <c r="X16">
        <v>0</v>
      </c>
      <c r="Y16">
        <v>0</v>
      </c>
    </row>
    <row r="17" spans="1:25">
      <c r="A17" t="s">
        <v>123</v>
      </c>
      <c r="B17">
        <v>0.98925098639999998</v>
      </c>
      <c r="C17">
        <v>12.28599245</v>
      </c>
      <c r="S17" s="24">
        <v>1</v>
      </c>
      <c r="T17" s="17">
        <f t="shared" si="11"/>
        <v>0.25356295776365495</v>
      </c>
      <c r="U17">
        <f t="shared" si="12"/>
        <v>4.4060257514103789</v>
      </c>
      <c r="W17">
        <v>1</v>
      </c>
      <c r="X17">
        <v>0.25356295776365495</v>
      </c>
      <c r="Y17">
        <v>4.4060257514103789</v>
      </c>
    </row>
    <row r="18" spans="1:25">
      <c r="S18" s="24">
        <v>5</v>
      </c>
      <c r="T18" s="17">
        <f t="shared" si="11"/>
        <v>5.3019245908670474</v>
      </c>
      <c r="U18">
        <f t="shared" si="12"/>
        <v>4.2814395620802346</v>
      </c>
      <c r="W18">
        <v>5</v>
      </c>
      <c r="X18">
        <v>5.3019245908670474</v>
      </c>
      <c r="Y18">
        <v>4.2814395620802346</v>
      </c>
    </row>
    <row r="19" spans="1:25">
      <c r="S19" s="24">
        <v>10</v>
      </c>
      <c r="T19" s="17">
        <f t="shared" si="11"/>
        <v>12.167558575469373</v>
      </c>
      <c r="U19">
        <f t="shared" si="12"/>
        <v>14.250625841405641</v>
      </c>
      <c r="W19">
        <v>10</v>
      </c>
      <c r="X19">
        <v>12.167558575469373</v>
      </c>
      <c r="Y19">
        <v>14.250625841405641</v>
      </c>
    </row>
    <row r="20" spans="1:25">
      <c r="S20" s="24">
        <v>20</v>
      </c>
      <c r="T20" s="17">
        <f t="shared" si="11"/>
        <v>3.9998447784999831</v>
      </c>
      <c r="U20">
        <f t="shared" si="12"/>
        <v>17.66575742412099</v>
      </c>
      <c r="W20">
        <v>20</v>
      </c>
      <c r="X20">
        <v>3.9998447784999831</v>
      </c>
      <c r="Y20">
        <v>17.66575742412099</v>
      </c>
    </row>
    <row r="21" spans="1:25">
      <c r="S21" s="24">
        <v>30</v>
      </c>
      <c r="T21" s="17">
        <f t="shared" si="11"/>
        <v>15.796239488795129</v>
      </c>
      <c r="U21">
        <f t="shared" si="12"/>
        <v>99.08351248260854</v>
      </c>
      <c r="W21">
        <v>30</v>
      </c>
      <c r="X21">
        <v>15.796239488795129</v>
      </c>
      <c r="Y21">
        <v>99.08351248260854</v>
      </c>
    </row>
    <row r="22" spans="1:25">
      <c r="S22" s="26">
        <v>40</v>
      </c>
      <c r="T22" s="17">
        <f t="shared" si="11"/>
        <v>16.387831520495709</v>
      </c>
      <c r="U22">
        <f t="shared" si="12"/>
        <v>36.959507955593892</v>
      </c>
      <c r="W22">
        <v>40</v>
      </c>
      <c r="X22">
        <v>16.387831520495709</v>
      </c>
      <c r="Y22">
        <v>36.959507955593892</v>
      </c>
    </row>
    <row r="23" spans="1:25">
      <c r="A23" t="s">
        <v>38</v>
      </c>
      <c r="B23" t="s">
        <v>37</v>
      </c>
      <c r="C23" t="s">
        <v>36</v>
      </c>
      <c r="D23" t="s">
        <v>165</v>
      </c>
      <c r="S23" s="26">
        <v>50</v>
      </c>
      <c r="T23" s="17">
        <f t="shared" si="11"/>
        <v>14.387497989435825</v>
      </c>
      <c r="U23">
        <f t="shared" si="12"/>
        <v>16.406905580453397</v>
      </c>
      <c r="W23">
        <v>50</v>
      </c>
      <c r="X23">
        <v>14.387497989435825</v>
      </c>
      <c r="Y23">
        <v>16.406905580453397</v>
      </c>
    </row>
    <row r="24" spans="1:25">
      <c r="A24" t="s">
        <v>228</v>
      </c>
      <c r="B24" s="16">
        <v>19.727928670000001</v>
      </c>
      <c r="C24">
        <v>1.4113366279999999</v>
      </c>
    </row>
    <row r="25" spans="1:25">
      <c r="A25" t="s">
        <v>229</v>
      </c>
      <c r="B25" s="16">
        <v>129.8076781</v>
      </c>
      <c r="C25">
        <v>0.13504356270000001</v>
      </c>
    </row>
    <row r="26" spans="1:25">
      <c r="A26" t="s">
        <v>230</v>
      </c>
      <c r="B26">
        <v>3.0499799400000001</v>
      </c>
      <c r="C26">
        <v>2.0156327369999998</v>
      </c>
    </row>
    <row r="27" spans="1:25">
      <c r="A27" t="s">
        <v>231</v>
      </c>
      <c r="B27">
        <v>2.1409362399999998</v>
      </c>
      <c r="C27">
        <v>4.5359255889999996</v>
      </c>
    </row>
    <row r="28" spans="1:25">
      <c r="A28" t="s">
        <v>232</v>
      </c>
      <c r="B28">
        <v>2.626268209</v>
      </c>
      <c r="C28">
        <v>10.191811769999999</v>
      </c>
    </row>
    <row r="29" spans="1:25">
      <c r="A29" t="s">
        <v>233</v>
      </c>
      <c r="B29">
        <v>1.9974846850000001</v>
      </c>
      <c r="C29">
        <v>13.55837373</v>
      </c>
    </row>
    <row r="30" spans="1:25">
      <c r="A30" t="s">
        <v>234</v>
      </c>
      <c r="B30">
        <v>2.1771340760000002</v>
      </c>
      <c r="C30">
        <v>14.88598943</v>
      </c>
    </row>
    <row r="31" spans="1:25">
      <c r="A31" t="s">
        <v>235</v>
      </c>
      <c r="B31" s="16">
        <v>22.838180959999999</v>
      </c>
      <c r="C31">
        <v>1.2385981690000001</v>
      </c>
    </row>
    <row r="32" spans="1:25">
      <c r="A32" t="s">
        <v>236</v>
      </c>
      <c r="B32">
        <v>6.0723247369999998</v>
      </c>
      <c r="C32">
        <v>1.8548166619999999</v>
      </c>
    </row>
    <row r="33" spans="1:31">
      <c r="A33" t="s">
        <v>237</v>
      </c>
      <c r="B33">
        <v>1.82439898</v>
      </c>
      <c r="C33">
        <v>4.4613545370000001</v>
      </c>
    </row>
    <row r="34" spans="1:31">
      <c r="A34" t="s">
        <v>238</v>
      </c>
      <c r="B34">
        <v>0.93052315360000004</v>
      </c>
      <c r="C34">
        <v>9.4677077310000008</v>
      </c>
      <c r="AE34">
        <f>7.3537/2.4066</f>
        <v>3.0556386603507022</v>
      </c>
    </row>
    <row r="35" spans="1:31">
      <c r="A35" t="s">
        <v>239</v>
      </c>
      <c r="B35">
        <v>1.5739733149999999</v>
      </c>
      <c r="C35">
        <v>15.896431440000001</v>
      </c>
    </row>
    <row r="36" spans="1:31">
      <c r="A36" t="s">
        <v>240</v>
      </c>
      <c r="B36">
        <v>7.558074145</v>
      </c>
      <c r="C36">
        <v>45.824803170000003</v>
      </c>
    </row>
    <row r="37" spans="1:31">
      <c r="A37" t="s">
        <v>241</v>
      </c>
      <c r="B37">
        <v>6.3566226410000004</v>
      </c>
      <c r="C37">
        <v>32.21463876</v>
      </c>
    </row>
    <row r="38" spans="1:31">
      <c r="A38" t="s">
        <v>242</v>
      </c>
      <c r="B38">
        <v>3.0010478759999999</v>
      </c>
      <c r="C38">
        <v>40.065828260000004</v>
      </c>
    </row>
    <row r="39" spans="1:31">
      <c r="A39" t="s">
        <v>243</v>
      </c>
      <c r="B39" s="16">
        <v>21.029830919999998</v>
      </c>
      <c r="C39">
        <v>0.45213906520000002</v>
      </c>
    </row>
    <row r="40" spans="1:31">
      <c r="A40" t="s">
        <v>244</v>
      </c>
      <c r="B40" s="16">
        <v>19.727098730000002</v>
      </c>
      <c r="C40">
        <v>0.76395114190000002</v>
      </c>
    </row>
    <row r="41" spans="1:31">
      <c r="A41" t="s">
        <v>245</v>
      </c>
      <c r="B41">
        <v>2.5418154849999999</v>
      </c>
      <c r="C41">
        <v>3.3414856240000002</v>
      </c>
    </row>
    <row r="42" spans="1:31">
      <c r="A42" t="s">
        <v>246</v>
      </c>
      <c r="B42">
        <v>7.1425111699999997</v>
      </c>
      <c r="C42">
        <v>28.08442363</v>
      </c>
    </row>
    <row r="43" spans="1:31">
      <c r="A43" t="s">
        <v>247</v>
      </c>
      <c r="B43">
        <v>2.8941094930000002</v>
      </c>
      <c r="C43">
        <v>4.9446801850000002</v>
      </c>
    </row>
    <row r="44" spans="1:31">
      <c r="A44" t="s">
        <v>248</v>
      </c>
      <c r="B44">
        <v>8.0152686119999998</v>
      </c>
      <c r="C44">
        <v>9.7392736150000001</v>
      </c>
    </row>
    <row r="45" spans="1:31">
      <c r="A45" t="s">
        <v>249</v>
      </c>
      <c r="B45">
        <v>1.791460254</v>
      </c>
      <c r="C45">
        <v>15.246972550000001</v>
      </c>
    </row>
    <row r="46" spans="1:31">
      <c r="A46" t="s">
        <v>250</v>
      </c>
      <c r="B46">
        <v>0.79868505320000005</v>
      </c>
      <c r="C46">
        <v>21.716767369999999</v>
      </c>
    </row>
    <row r="47" spans="1:31">
      <c r="A47" t="s">
        <v>251</v>
      </c>
      <c r="B47" s="16">
        <v>13.416386210000001</v>
      </c>
      <c r="C47">
        <v>35.975047510000003</v>
      </c>
    </row>
    <row r="48" spans="1:31">
      <c r="A48" t="s">
        <v>252</v>
      </c>
      <c r="B48" s="16">
        <v>28.154592319999999</v>
      </c>
      <c r="C48">
        <v>0.50528439250000001</v>
      </c>
    </row>
    <row r="49" spans="1:3">
      <c r="A49" t="s">
        <v>253</v>
      </c>
      <c r="B49" s="16">
        <v>42.619333869999998</v>
      </c>
      <c r="C49">
        <v>0.28606548799999998</v>
      </c>
    </row>
    <row r="50" spans="1:3">
      <c r="A50" t="s">
        <v>254</v>
      </c>
      <c r="B50">
        <v>4.2389928939999999</v>
      </c>
      <c r="C50">
        <v>2.95272252</v>
      </c>
    </row>
    <row r="51" spans="1:3">
      <c r="A51" t="s">
        <v>255</v>
      </c>
      <c r="B51">
        <v>2.8864290069999998</v>
      </c>
      <c r="C51">
        <v>5.3113163229999998</v>
      </c>
    </row>
    <row r="52" spans="1:3">
      <c r="A52" t="s">
        <v>256</v>
      </c>
      <c r="B52">
        <v>0.62143776260000005</v>
      </c>
      <c r="C52">
        <v>13.396933300000001</v>
      </c>
    </row>
    <row r="53" spans="1:3">
      <c r="A53" t="s">
        <v>257</v>
      </c>
      <c r="B53">
        <v>4.9752667070000003</v>
      </c>
      <c r="C53">
        <v>16.866314939999999</v>
      </c>
    </row>
    <row r="54" spans="1:3">
      <c r="A54" t="s">
        <v>258</v>
      </c>
      <c r="B54">
        <v>4.8767739890000001</v>
      </c>
      <c r="C54">
        <v>20.48807176</v>
      </c>
    </row>
    <row r="55" spans="1:3">
      <c r="A55" t="s">
        <v>259</v>
      </c>
      <c r="B55" s="16">
        <v>15.00295766</v>
      </c>
      <c r="C55">
        <v>41.472669570000001</v>
      </c>
    </row>
  </sheetData>
  <pageMargins left="0.75" right="0.75" top="1" bottom="1" header="0.3" footer="0.3"/>
  <pageSetup orientation="portrait" horizontalDpi="4294967292" verticalDpi="4294967292"/>
  <headerFooter alignWithMargins="0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1CAC7-5189-6E47-A90A-EB1898AFB2F6}">
  <dimension ref="A1:U48"/>
  <sheetViews>
    <sheetView topLeftCell="P9" zoomScale="125" zoomScaleNormal="192" workbookViewId="0">
      <selection activeCell="J17" sqref="J17"/>
    </sheetView>
  </sheetViews>
  <sheetFormatPr baseColWidth="10" defaultRowHeight="16"/>
  <sheetData>
    <row r="1" spans="1:21">
      <c r="A1" t="s">
        <v>38</v>
      </c>
      <c r="B1" t="s">
        <v>223</v>
      </c>
      <c r="C1" t="s">
        <v>222</v>
      </c>
      <c r="D1" t="s">
        <v>221</v>
      </c>
      <c r="E1" t="s">
        <v>37</v>
      </c>
      <c r="F1" t="s">
        <v>36</v>
      </c>
      <c r="G1" t="s">
        <v>182</v>
      </c>
      <c r="I1" t="s">
        <v>220</v>
      </c>
    </row>
    <row r="2" spans="1:21">
      <c r="A2" t="s">
        <v>219</v>
      </c>
      <c r="B2">
        <v>1</v>
      </c>
      <c r="C2" t="s">
        <v>183</v>
      </c>
      <c r="D2">
        <v>0.31854544099999998</v>
      </c>
      <c r="E2">
        <v>1.8041850669999999</v>
      </c>
      <c r="F2">
        <v>22.004362459999999</v>
      </c>
      <c r="G2">
        <v>220.04362459999999</v>
      </c>
      <c r="J2">
        <v>4.5</v>
      </c>
      <c r="P2">
        <v>5</v>
      </c>
      <c r="S2">
        <v>9</v>
      </c>
    </row>
    <row r="3" spans="1:21">
      <c r="A3" t="s">
        <v>218</v>
      </c>
      <c r="B3">
        <v>2</v>
      </c>
      <c r="C3" t="s">
        <v>183</v>
      </c>
      <c r="D3">
        <v>0.24823083900000001</v>
      </c>
      <c r="E3">
        <v>3.2415736709999998</v>
      </c>
      <c r="F3">
        <v>34.170971209999998</v>
      </c>
      <c r="G3">
        <v>341.70971209999999</v>
      </c>
      <c r="I3" t="s">
        <v>201</v>
      </c>
      <c r="J3" t="s">
        <v>22</v>
      </c>
      <c r="K3" t="s">
        <v>21</v>
      </c>
      <c r="L3" t="s">
        <v>20</v>
      </c>
      <c r="M3" t="s">
        <v>217</v>
      </c>
      <c r="N3" t="s">
        <v>216</v>
      </c>
      <c r="O3" t="s">
        <v>215</v>
      </c>
      <c r="P3" t="s">
        <v>22</v>
      </c>
      <c r="Q3" t="s">
        <v>21</v>
      </c>
      <c r="R3" t="s">
        <v>20</v>
      </c>
      <c r="S3" t="s">
        <v>22</v>
      </c>
      <c r="T3" t="s">
        <v>21</v>
      </c>
      <c r="U3" t="s">
        <v>20</v>
      </c>
    </row>
    <row r="4" spans="1:21">
      <c r="A4" t="s">
        <v>214</v>
      </c>
      <c r="B4">
        <v>3</v>
      </c>
      <c r="C4" t="s">
        <v>183</v>
      </c>
      <c r="D4">
        <v>0.32349350100000002</v>
      </c>
      <c r="E4">
        <v>0.88744144599999997</v>
      </c>
      <c r="F4">
        <v>44.701010539999999</v>
      </c>
      <c r="G4">
        <v>447.01010539999999</v>
      </c>
      <c r="I4">
        <v>1</v>
      </c>
      <c r="J4" t="s">
        <v>195</v>
      </c>
      <c r="K4" t="s">
        <v>195</v>
      </c>
      <c r="L4" t="s">
        <v>195</v>
      </c>
      <c r="M4">
        <v>1.0691385099999999</v>
      </c>
      <c r="N4">
        <v>16.287478650000001</v>
      </c>
      <c r="O4">
        <v>13.525652750000001</v>
      </c>
      <c r="P4" t="s">
        <v>195</v>
      </c>
      <c r="Q4" t="s">
        <v>195</v>
      </c>
      <c r="R4" t="s">
        <v>195</v>
      </c>
      <c r="S4" t="s">
        <v>195</v>
      </c>
      <c r="T4" t="s">
        <v>195</v>
      </c>
      <c r="U4" t="s">
        <v>195</v>
      </c>
    </row>
    <row r="5" spans="1:21">
      <c r="A5" t="s">
        <v>213</v>
      </c>
      <c r="B5">
        <v>4</v>
      </c>
      <c r="C5" t="s">
        <v>183</v>
      </c>
      <c r="D5">
        <v>0.27168390100000001</v>
      </c>
      <c r="E5">
        <v>4.3614521640000001</v>
      </c>
      <c r="F5">
        <v>37.452301660000003</v>
      </c>
      <c r="G5">
        <v>374.52301660000001</v>
      </c>
      <c r="I5">
        <v>5</v>
      </c>
      <c r="J5" t="s">
        <v>195</v>
      </c>
      <c r="K5" t="s">
        <v>195</v>
      </c>
      <c r="L5" t="s">
        <v>195</v>
      </c>
      <c r="M5">
        <v>56.519396790000002</v>
      </c>
      <c r="N5">
        <v>61.08859236</v>
      </c>
      <c r="O5">
        <v>64.833959579999998</v>
      </c>
      <c r="P5" t="s">
        <v>195</v>
      </c>
      <c r="Q5" t="s">
        <v>195</v>
      </c>
      <c r="R5" t="s">
        <v>195</v>
      </c>
      <c r="S5" t="s">
        <v>195</v>
      </c>
      <c r="T5" t="s">
        <v>195</v>
      </c>
      <c r="U5" t="s">
        <v>195</v>
      </c>
    </row>
    <row r="6" spans="1:21">
      <c r="A6" t="s">
        <v>212</v>
      </c>
      <c r="B6">
        <v>5</v>
      </c>
      <c r="C6" t="s">
        <v>183</v>
      </c>
      <c r="D6">
        <v>0.328280984</v>
      </c>
      <c r="E6">
        <v>2.5072378849999999</v>
      </c>
      <c r="F6">
        <v>22.685414980000001</v>
      </c>
      <c r="G6">
        <v>226.85414979999999</v>
      </c>
      <c r="I6">
        <v>10</v>
      </c>
      <c r="J6">
        <v>113.50013819999999</v>
      </c>
      <c r="K6">
        <v>86.37042769</v>
      </c>
      <c r="L6">
        <v>114.20457810000001</v>
      </c>
      <c r="M6">
        <v>103.8202589</v>
      </c>
      <c r="N6">
        <v>110.6971965</v>
      </c>
      <c r="O6">
        <v>115.74602539999999</v>
      </c>
      <c r="P6">
        <v>220.04362459999999</v>
      </c>
      <c r="Q6">
        <v>374.52301660000001</v>
      </c>
      <c r="R6">
        <v>143.65580449999999</v>
      </c>
      <c r="S6">
        <v>306.63040599999999</v>
      </c>
      <c r="T6">
        <v>207.25815449999999</v>
      </c>
      <c r="U6">
        <v>402.56015020000001</v>
      </c>
    </row>
    <row r="7" spans="1:21">
      <c r="A7" t="s">
        <v>211</v>
      </c>
      <c r="B7">
        <v>6</v>
      </c>
      <c r="C7" t="s">
        <v>183</v>
      </c>
      <c r="D7">
        <v>0.266627954</v>
      </c>
      <c r="E7">
        <v>3.583561671</v>
      </c>
      <c r="F7">
        <v>36.744921429999998</v>
      </c>
      <c r="G7">
        <v>367.44921429999999</v>
      </c>
      <c r="I7">
        <v>20</v>
      </c>
      <c r="J7">
        <v>213.0293528</v>
      </c>
      <c r="K7">
        <v>213.59740149999999</v>
      </c>
      <c r="L7">
        <v>202.801196</v>
      </c>
      <c r="M7" t="s">
        <v>195</v>
      </c>
      <c r="N7" t="s">
        <v>195</v>
      </c>
      <c r="O7" t="s">
        <v>195</v>
      </c>
      <c r="P7">
        <v>341.70971209999999</v>
      </c>
      <c r="Q7">
        <v>226.85414979999999</v>
      </c>
      <c r="R7">
        <v>228.84357610000001</v>
      </c>
      <c r="S7">
        <v>468.24092350000001</v>
      </c>
      <c r="T7">
        <v>515.09147040000005</v>
      </c>
      <c r="U7">
        <v>651.77537419999999</v>
      </c>
    </row>
    <row r="8" spans="1:21">
      <c r="A8" t="s">
        <v>210</v>
      </c>
      <c r="B8">
        <v>7</v>
      </c>
      <c r="C8" t="s">
        <v>183</v>
      </c>
      <c r="D8">
        <v>0.20935020400000001</v>
      </c>
      <c r="E8">
        <v>0.23718832100000001</v>
      </c>
      <c r="F8">
        <v>14.36558045</v>
      </c>
      <c r="G8">
        <v>143.65580449999999</v>
      </c>
      <c r="I8">
        <v>30</v>
      </c>
      <c r="J8">
        <v>314.1880817</v>
      </c>
      <c r="K8">
        <v>311.44395939999998</v>
      </c>
      <c r="L8">
        <v>301.63720480000001</v>
      </c>
      <c r="M8" t="s">
        <v>195</v>
      </c>
      <c r="N8" t="s">
        <v>195</v>
      </c>
      <c r="O8" t="s">
        <v>195</v>
      </c>
      <c r="P8">
        <v>447.01010539999999</v>
      </c>
      <c r="Q8">
        <v>367.44921429999999</v>
      </c>
      <c r="R8">
        <v>383.03729299999998</v>
      </c>
      <c r="S8">
        <v>719.18251550000002</v>
      </c>
      <c r="T8">
        <v>783.64464910000004</v>
      </c>
      <c r="U8">
        <v>972.72635849999995</v>
      </c>
    </row>
    <row r="9" spans="1:21">
      <c r="A9" t="s">
        <v>209</v>
      </c>
      <c r="B9">
        <v>8</v>
      </c>
      <c r="C9" t="s">
        <v>183</v>
      </c>
      <c r="D9">
        <v>0.331124839</v>
      </c>
      <c r="E9">
        <v>1.9004736470000001</v>
      </c>
      <c r="F9">
        <v>22.884357609999999</v>
      </c>
      <c r="G9">
        <v>228.84357610000001</v>
      </c>
    </row>
    <row r="10" spans="1:21">
      <c r="A10" t="s">
        <v>208</v>
      </c>
      <c r="B10">
        <v>9</v>
      </c>
      <c r="C10" t="s">
        <v>183</v>
      </c>
      <c r="D10">
        <v>0.27776941500000002</v>
      </c>
      <c r="E10">
        <v>2.3559916350000001</v>
      </c>
      <c r="F10">
        <v>38.303729300000001</v>
      </c>
      <c r="G10">
        <v>383.03729299999998</v>
      </c>
    </row>
    <row r="11" spans="1:21">
      <c r="A11" t="s">
        <v>207</v>
      </c>
      <c r="B11">
        <v>11</v>
      </c>
      <c r="C11" t="s">
        <v>183</v>
      </c>
      <c r="D11">
        <v>2.2730319999999999E-3</v>
      </c>
      <c r="E11">
        <v>35.532349889999999</v>
      </c>
      <c r="F11">
        <v>-6.0279279999999998E-2</v>
      </c>
      <c r="G11">
        <v>0</v>
      </c>
      <c r="I11" t="s">
        <v>206</v>
      </c>
    </row>
    <row r="12" spans="1:21">
      <c r="A12" t="s">
        <v>205</v>
      </c>
      <c r="B12">
        <v>12</v>
      </c>
      <c r="C12" t="s">
        <v>183</v>
      </c>
      <c r="D12">
        <v>1.7961100000000001E-3</v>
      </c>
      <c r="E12">
        <v>34.004853339999997</v>
      </c>
      <c r="F12">
        <v>-7.6960879999999995E-2</v>
      </c>
      <c r="G12">
        <v>0</v>
      </c>
    </row>
    <row r="13" spans="1:21">
      <c r="A13" t="s">
        <v>204</v>
      </c>
      <c r="B13">
        <v>13</v>
      </c>
      <c r="C13" t="s">
        <v>183</v>
      </c>
      <c r="D13">
        <v>0.22315816899999999</v>
      </c>
      <c r="E13">
        <v>0.34775171700000002</v>
      </c>
      <c r="F13">
        <v>30.663040599999999</v>
      </c>
      <c r="G13">
        <v>306.63040599999999</v>
      </c>
      <c r="J13" t="s">
        <v>203</v>
      </c>
    </row>
    <row r="14" spans="1:21">
      <c r="A14" t="s">
        <v>202</v>
      </c>
      <c r="B14">
        <v>14</v>
      </c>
      <c r="C14" t="s">
        <v>183</v>
      </c>
      <c r="D14">
        <v>0.33866806799999999</v>
      </c>
      <c r="E14">
        <v>1.008453931</v>
      </c>
      <c r="F14">
        <v>46.824092350000001</v>
      </c>
      <c r="G14">
        <v>468.24092350000001</v>
      </c>
      <c r="I14" t="s">
        <v>201</v>
      </c>
      <c r="J14">
        <v>4.5</v>
      </c>
      <c r="K14" t="s">
        <v>200</v>
      </c>
      <c r="L14">
        <v>5</v>
      </c>
      <c r="M14" t="s">
        <v>200</v>
      </c>
      <c r="N14">
        <v>9</v>
      </c>
      <c r="O14" t="s">
        <v>200</v>
      </c>
      <c r="P14" t="s">
        <v>199</v>
      </c>
    </row>
    <row r="15" spans="1:21">
      <c r="A15" t="s">
        <v>198</v>
      </c>
      <c r="B15">
        <v>16</v>
      </c>
      <c r="C15" t="s">
        <v>183</v>
      </c>
      <c r="D15">
        <v>0.30026880500000003</v>
      </c>
      <c r="E15">
        <v>0.82591455999999996</v>
      </c>
      <c r="F15">
        <v>20.725815449999999</v>
      </c>
      <c r="G15">
        <v>207.25815449999999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50</v>
      </c>
    </row>
    <row r="16" spans="1:21">
      <c r="A16" t="s">
        <v>197</v>
      </c>
      <c r="B16">
        <v>19</v>
      </c>
      <c r="C16" t="s">
        <v>183</v>
      </c>
      <c r="D16">
        <v>0.29172323</v>
      </c>
      <c r="E16">
        <v>1.113289043</v>
      </c>
      <c r="F16">
        <v>40.25601502</v>
      </c>
      <c r="G16">
        <v>402.56015020000001</v>
      </c>
      <c r="I16">
        <v>1</v>
      </c>
      <c r="J16">
        <v>10.29408997</v>
      </c>
      <c r="K16">
        <v>4.6808730540000001</v>
      </c>
      <c r="L16" t="s">
        <v>195</v>
      </c>
      <c r="M16" t="s">
        <v>190</v>
      </c>
    </row>
    <row r="17" spans="1:16">
      <c r="A17" t="s">
        <v>196</v>
      </c>
      <c r="B17">
        <v>23</v>
      </c>
      <c r="C17" t="s">
        <v>183</v>
      </c>
      <c r="D17">
        <v>3.0976300000000001E-3</v>
      </c>
      <c r="E17">
        <v>14.06023298</v>
      </c>
      <c r="F17">
        <v>-3.1436780999999997E-2</v>
      </c>
      <c r="G17">
        <v>0</v>
      </c>
      <c r="I17">
        <v>5</v>
      </c>
      <c r="J17">
        <v>60.81398291</v>
      </c>
      <c r="K17">
        <v>2.4041316080000001</v>
      </c>
      <c r="L17" t="s">
        <v>195</v>
      </c>
      <c r="M17" t="s">
        <v>190</v>
      </c>
    </row>
    <row r="18" spans="1:16">
      <c r="A18" t="s">
        <v>194</v>
      </c>
      <c r="B18">
        <v>24</v>
      </c>
      <c r="C18" t="s">
        <v>183</v>
      </c>
      <c r="D18">
        <v>3.1741529999999999E-3</v>
      </c>
      <c r="E18">
        <v>16.38070544</v>
      </c>
      <c r="F18">
        <v>-2.8760205E-2</v>
      </c>
      <c r="G18">
        <v>0</v>
      </c>
      <c r="I18">
        <v>10</v>
      </c>
      <c r="J18">
        <v>107.38977079999999</v>
      </c>
      <c r="K18">
        <v>4.5427540979999996</v>
      </c>
      <c r="L18">
        <v>246.0741486</v>
      </c>
      <c r="M18">
        <v>67.904610890000001</v>
      </c>
      <c r="N18">
        <v>305.48290359999999</v>
      </c>
      <c r="O18">
        <v>56.38174927</v>
      </c>
    </row>
    <row r="19" spans="1:16">
      <c r="A19" t="s">
        <v>193</v>
      </c>
      <c r="B19">
        <v>25</v>
      </c>
      <c r="C19" t="s">
        <v>183</v>
      </c>
      <c r="D19">
        <v>0.32848987000000002</v>
      </c>
      <c r="E19">
        <v>0.17455391100000001</v>
      </c>
      <c r="F19">
        <v>11.350013819999999</v>
      </c>
      <c r="G19">
        <v>113.50013819999999</v>
      </c>
      <c r="I19">
        <v>20</v>
      </c>
      <c r="J19">
        <v>209.8093168</v>
      </c>
      <c r="K19">
        <v>3.5078952540000001</v>
      </c>
      <c r="L19">
        <v>265.80247930000002</v>
      </c>
      <c r="M19">
        <v>37.957961150000003</v>
      </c>
      <c r="N19">
        <v>545.03592270000001</v>
      </c>
      <c r="O19">
        <v>55.056717169999999</v>
      </c>
    </row>
    <row r="20" spans="1:16">
      <c r="A20" t="s">
        <v>192</v>
      </c>
      <c r="B20">
        <v>26</v>
      </c>
      <c r="C20" t="s">
        <v>183</v>
      </c>
      <c r="D20">
        <v>0.30851864600000001</v>
      </c>
      <c r="E20">
        <v>1.0368645860000001</v>
      </c>
      <c r="F20">
        <v>21.30293528</v>
      </c>
      <c r="G20">
        <v>213.0293528</v>
      </c>
      <c r="I20">
        <v>30</v>
      </c>
      <c r="J20">
        <v>309.08974860000001</v>
      </c>
      <c r="K20">
        <v>3.8095432360000001</v>
      </c>
      <c r="L20">
        <v>399.16553759999999</v>
      </c>
      <c r="M20">
        <v>24.341829929999999</v>
      </c>
      <c r="N20">
        <v>825.18450770000004</v>
      </c>
      <c r="O20">
        <v>76.081732299999999</v>
      </c>
      <c r="P20">
        <v>50</v>
      </c>
    </row>
    <row r="21" spans="1:16">
      <c r="A21" t="s">
        <v>191</v>
      </c>
      <c r="B21">
        <v>28</v>
      </c>
      <c r="C21" t="s">
        <v>183</v>
      </c>
      <c r="D21">
        <v>0.25092684599999998</v>
      </c>
      <c r="E21">
        <v>2.0012302810000002</v>
      </c>
      <c r="F21">
        <v>8.6370427690000007</v>
      </c>
      <c r="G21">
        <v>86.37042769</v>
      </c>
      <c r="I21">
        <v>35</v>
      </c>
      <c r="J21" t="s">
        <v>190</v>
      </c>
      <c r="K21" t="s">
        <v>190</v>
      </c>
      <c r="L21" t="s">
        <v>190</v>
      </c>
      <c r="M21" t="s">
        <v>190</v>
      </c>
      <c r="N21" t="s">
        <v>190</v>
      </c>
      <c r="O21" t="s">
        <v>190</v>
      </c>
      <c r="P21">
        <v>0</v>
      </c>
    </row>
    <row r="22" spans="1:16">
      <c r="A22" t="s">
        <v>189</v>
      </c>
      <c r="B22">
        <v>29</v>
      </c>
      <c r="C22" t="s">
        <v>183</v>
      </c>
      <c r="D22">
        <v>0.30933066300000001</v>
      </c>
      <c r="E22">
        <v>1.958023619</v>
      </c>
      <c r="F22">
        <v>21.35974015</v>
      </c>
      <c r="G22">
        <v>213.59740149999999</v>
      </c>
    </row>
    <row r="23" spans="1:16">
      <c r="A23" t="s">
        <v>188</v>
      </c>
      <c r="B23">
        <v>32</v>
      </c>
      <c r="C23" t="s">
        <v>183</v>
      </c>
      <c r="D23">
        <v>0.33050384300000002</v>
      </c>
      <c r="E23">
        <v>1.108339886</v>
      </c>
      <c r="F23">
        <v>11.42045781</v>
      </c>
      <c r="G23">
        <v>114.20457810000001</v>
      </c>
    </row>
    <row r="24" spans="1:16">
      <c r="A24" t="s">
        <v>187</v>
      </c>
      <c r="B24">
        <v>33</v>
      </c>
      <c r="C24" t="s">
        <v>183</v>
      </c>
      <c r="D24">
        <v>0.29389765000000001</v>
      </c>
      <c r="E24">
        <v>2.413602413</v>
      </c>
      <c r="F24">
        <v>20.280119599999999</v>
      </c>
      <c r="G24">
        <v>202.801196</v>
      </c>
    </row>
    <row r="25" spans="1:16">
      <c r="A25" t="s">
        <v>186</v>
      </c>
      <c r="B25">
        <v>34</v>
      </c>
      <c r="C25" t="s">
        <v>183</v>
      </c>
      <c r="D25">
        <v>0.21958931600000001</v>
      </c>
      <c r="E25">
        <v>3.0995569779999999</v>
      </c>
      <c r="F25">
        <v>30.163720479999999</v>
      </c>
      <c r="G25">
        <v>301.63720480000001</v>
      </c>
    </row>
    <row r="26" spans="1:16">
      <c r="A26" t="s">
        <v>185</v>
      </c>
      <c r="B26">
        <v>35</v>
      </c>
      <c r="C26" t="s">
        <v>183</v>
      </c>
      <c r="D26">
        <v>3.731654E-3</v>
      </c>
      <c r="E26">
        <v>5.6235234429999998</v>
      </c>
      <c r="F26">
        <v>-9.2601309999999996E-3</v>
      </c>
      <c r="G26">
        <v>0</v>
      </c>
    </row>
    <row r="27" spans="1:16">
      <c r="A27" t="s">
        <v>184</v>
      </c>
      <c r="B27">
        <v>36</v>
      </c>
      <c r="C27" t="s">
        <v>183</v>
      </c>
      <c r="D27">
        <v>2.41143E-3</v>
      </c>
      <c r="E27">
        <v>35.911460009999999</v>
      </c>
      <c r="F27">
        <v>-5.5438431000000003E-2</v>
      </c>
      <c r="G27">
        <v>0</v>
      </c>
    </row>
    <row r="29" spans="1:16">
      <c r="A29" s="23">
        <v>42782</v>
      </c>
    </row>
    <row r="30" spans="1:16">
      <c r="A30" t="s">
        <v>38</v>
      </c>
      <c r="E30" t="s">
        <v>37</v>
      </c>
      <c r="F30" t="s">
        <v>36</v>
      </c>
      <c r="G30" t="s">
        <v>182</v>
      </c>
    </row>
    <row r="31" spans="1:16">
      <c r="A31" t="s">
        <v>181</v>
      </c>
      <c r="E31">
        <v>11.22494223</v>
      </c>
      <c r="F31">
        <v>0.106913851</v>
      </c>
      <c r="G31">
        <v>1.0691385099999999</v>
      </c>
    </row>
    <row r="32" spans="1:16">
      <c r="A32" t="s">
        <v>180</v>
      </c>
      <c r="E32">
        <v>0.88211902099999995</v>
      </c>
      <c r="F32">
        <v>5.6519396789999998</v>
      </c>
      <c r="G32">
        <v>56.519396790000002</v>
      </c>
    </row>
    <row r="33" spans="1:7">
      <c r="A33" t="s">
        <v>179</v>
      </c>
      <c r="E33">
        <v>1.299112364</v>
      </c>
      <c r="F33">
        <v>10.38202589</v>
      </c>
      <c r="G33">
        <v>103.8202589</v>
      </c>
    </row>
    <row r="34" spans="1:7">
      <c r="A34" t="s">
        <v>178</v>
      </c>
      <c r="E34">
        <v>9.1512542109999995</v>
      </c>
      <c r="F34">
        <v>1.628747865</v>
      </c>
      <c r="G34">
        <v>16.287478650000001</v>
      </c>
    </row>
    <row r="35" spans="1:7">
      <c r="A35" t="s">
        <v>177</v>
      </c>
      <c r="E35">
        <v>0.60551366699999998</v>
      </c>
      <c r="F35">
        <v>6.1088592359999998</v>
      </c>
      <c r="G35">
        <v>61.08859236</v>
      </c>
    </row>
    <row r="36" spans="1:7">
      <c r="A36" t="s">
        <v>176</v>
      </c>
      <c r="E36">
        <v>0.95158252099999996</v>
      </c>
      <c r="F36">
        <v>11.06971965</v>
      </c>
      <c r="G36">
        <v>110.6971965</v>
      </c>
    </row>
    <row r="37" spans="1:7">
      <c r="A37" t="s">
        <v>175</v>
      </c>
      <c r="E37">
        <v>1.725407237</v>
      </c>
      <c r="F37">
        <v>1.3525652749999999</v>
      </c>
      <c r="G37">
        <v>13.525652750000001</v>
      </c>
    </row>
    <row r="38" spans="1:7">
      <c r="A38" t="s">
        <v>174</v>
      </c>
      <c r="E38">
        <v>1.0747137069999999</v>
      </c>
      <c r="F38">
        <v>6.483395958</v>
      </c>
      <c r="G38">
        <v>64.833959579999998</v>
      </c>
    </row>
    <row r="39" spans="1:7">
      <c r="A39" t="s">
        <v>173</v>
      </c>
      <c r="E39">
        <v>1.1524735749999999</v>
      </c>
      <c r="F39">
        <v>11.574602540000001</v>
      </c>
      <c r="G39">
        <v>115.74602539999999</v>
      </c>
    </row>
    <row r="40" spans="1:7">
      <c r="A40" t="s">
        <v>172</v>
      </c>
      <c r="E40">
        <v>94.229418910000007</v>
      </c>
      <c r="F40">
        <v>-4.6776409999999997E-3</v>
      </c>
      <c r="G40">
        <v>-4.6776409999999997E-2</v>
      </c>
    </row>
    <row r="41" spans="1:7">
      <c r="A41" t="s">
        <v>171</v>
      </c>
      <c r="E41">
        <v>6.4952335220000004</v>
      </c>
      <c r="F41">
        <v>4.0598755E-2</v>
      </c>
      <c r="G41">
        <v>0.40598754999999997</v>
      </c>
    </row>
    <row r="42" spans="1:7">
      <c r="A42" t="s">
        <v>133</v>
      </c>
      <c r="E42">
        <v>0.34767528800000003</v>
      </c>
      <c r="F42">
        <v>31.418808169999998</v>
      </c>
      <c r="G42">
        <v>314.1880817</v>
      </c>
    </row>
    <row r="43" spans="1:7">
      <c r="A43" t="s">
        <v>125</v>
      </c>
      <c r="E43">
        <v>0.261273543</v>
      </c>
      <c r="F43">
        <v>31.144395939999999</v>
      </c>
      <c r="G43">
        <v>311.44395939999998</v>
      </c>
    </row>
    <row r="44" spans="1:7">
      <c r="A44" t="s">
        <v>170</v>
      </c>
      <c r="E44">
        <v>0.98692099099999997</v>
      </c>
      <c r="F44">
        <v>5.1509147039999998</v>
      </c>
      <c r="G44">
        <v>515.09147040000005</v>
      </c>
    </row>
    <row r="45" spans="1:7">
      <c r="A45" t="s">
        <v>169</v>
      </c>
      <c r="E45">
        <v>0.36073208499999998</v>
      </c>
      <c r="F45">
        <v>6.517753742</v>
      </c>
      <c r="G45">
        <v>651.77537419999999</v>
      </c>
    </row>
    <row r="46" spans="1:7">
      <c r="A46" t="s">
        <v>168</v>
      </c>
      <c r="E46">
        <v>2.8171881139999999</v>
      </c>
      <c r="F46">
        <v>7.1918251550000001</v>
      </c>
      <c r="G46">
        <v>719.18251550000002</v>
      </c>
    </row>
    <row r="47" spans="1:7">
      <c r="A47" t="s">
        <v>167</v>
      </c>
      <c r="E47">
        <v>0.46123593299999999</v>
      </c>
      <c r="F47">
        <v>7.8364464910000002</v>
      </c>
      <c r="G47">
        <v>783.64464910000004</v>
      </c>
    </row>
    <row r="48" spans="1:7">
      <c r="A48" t="s">
        <v>166</v>
      </c>
      <c r="E48">
        <v>0.47014110799999997</v>
      </c>
      <c r="F48">
        <v>9.7272635849999993</v>
      </c>
      <c r="G48">
        <v>972.72635849999995</v>
      </c>
    </row>
  </sheetData>
  <pageMargins left="0.7" right="0.7" top="0.75" bottom="0.75" header="0.3" footer="0.3"/>
  <pageSetup orientation="portrait" horizontalDpi="4294967292" verticalDpi="429496729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B0754-B10B-C044-A7F3-1734990B71EB}">
  <dimension ref="A1:S45"/>
  <sheetViews>
    <sheetView topLeftCell="V1" zoomScaleNormal="100" workbookViewId="0">
      <selection activeCell="Z35" sqref="Z35"/>
    </sheetView>
  </sheetViews>
  <sheetFormatPr baseColWidth="10" defaultRowHeight="16"/>
  <sheetData>
    <row r="1" spans="1:19">
      <c r="A1" t="s">
        <v>38</v>
      </c>
      <c r="B1" t="s">
        <v>37</v>
      </c>
      <c r="C1" t="s">
        <v>36</v>
      </c>
      <c r="D1" t="s">
        <v>165</v>
      </c>
      <c r="H1" s="21">
        <v>0.25</v>
      </c>
      <c r="K1" s="21">
        <v>0.5</v>
      </c>
      <c r="N1" s="21">
        <v>1</v>
      </c>
    </row>
    <row r="2" spans="1:19">
      <c r="A2" t="s">
        <v>164</v>
      </c>
      <c r="B2" s="22">
        <v>24.002690659999999</v>
      </c>
      <c r="C2">
        <v>0.6344286603</v>
      </c>
      <c r="D2">
        <f>C2*100</f>
        <v>63.442866029999998</v>
      </c>
      <c r="H2" t="s">
        <v>22</v>
      </c>
      <c r="I2" t="s">
        <v>21</v>
      </c>
      <c r="J2" t="s">
        <v>20</v>
      </c>
      <c r="K2" t="s">
        <v>22</v>
      </c>
      <c r="L2" t="s">
        <v>21</v>
      </c>
      <c r="M2" t="s">
        <v>20</v>
      </c>
      <c r="N2" t="s">
        <v>22</v>
      </c>
      <c r="O2" t="s">
        <v>21</v>
      </c>
      <c r="P2" t="s">
        <v>20</v>
      </c>
    </row>
    <row r="3" spans="1:19">
      <c r="A3" t="s">
        <v>163</v>
      </c>
      <c r="B3">
        <v>10.11309361</v>
      </c>
      <c r="C3">
        <v>6.6155067250000004</v>
      </c>
      <c r="D3">
        <f>C3*100</f>
        <v>661.55067250000002</v>
      </c>
      <c r="G3">
        <v>0</v>
      </c>
      <c r="H3">
        <v>9.0620868750000003</v>
      </c>
      <c r="I3">
        <v>19.71994063</v>
      </c>
      <c r="J3" s="11"/>
      <c r="K3">
        <v>64.907562589999998</v>
      </c>
      <c r="L3">
        <v>13.922062950000001</v>
      </c>
      <c r="M3" s="11"/>
    </row>
    <row r="4" spans="1:19">
      <c r="A4" t="s">
        <v>162</v>
      </c>
      <c r="B4">
        <v>1.5391898319999999</v>
      </c>
      <c r="C4">
        <v>9.0620868750000003</v>
      </c>
      <c r="G4">
        <v>1</v>
      </c>
      <c r="H4">
        <f>C5*100</f>
        <v>63.363120510000002</v>
      </c>
      <c r="I4">
        <f>C9*100</f>
        <v>64.442833430000007</v>
      </c>
      <c r="J4">
        <f>C12*100</f>
        <v>14.947711869999999</v>
      </c>
      <c r="K4">
        <f>C16*100</f>
        <v>84.450666159999997</v>
      </c>
      <c r="L4">
        <f>C20*100</f>
        <v>86.712271319999999</v>
      </c>
      <c r="M4">
        <f>C23*100</f>
        <v>70.458029339999996</v>
      </c>
    </row>
    <row r="5" spans="1:19">
      <c r="A5" t="s">
        <v>161</v>
      </c>
      <c r="B5" s="16">
        <v>43.121058040000001</v>
      </c>
      <c r="C5">
        <v>0.63363120510000004</v>
      </c>
      <c r="G5">
        <v>5</v>
      </c>
      <c r="H5">
        <f>C6*100</f>
        <v>41.357516160000003</v>
      </c>
      <c r="I5">
        <f>C10*100</f>
        <v>112.7516631</v>
      </c>
      <c r="J5">
        <f>C13*100</f>
        <v>111.07324329999999</v>
      </c>
      <c r="K5">
        <f>C17*100</f>
        <v>258.83833379999999</v>
      </c>
      <c r="L5">
        <f>C21*100</f>
        <v>196.60772030000001</v>
      </c>
      <c r="M5">
        <f>C24*100</f>
        <v>186.3690465</v>
      </c>
    </row>
    <row r="6" spans="1:19">
      <c r="A6" t="s">
        <v>160</v>
      </c>
      <c r="B6" s="16">
        <v>33.665118249999999</v>
      </c>
      <c r="C6">
        <v>0.41357516160000002</v>
      </c>
      <c r="G6">
        <v>10</v>
      </c>
      <c r="H6">
        <f>C7*100</f>
        <v>103.08522040000001</v>
      </c>
      <c r="I6">
        <f>C11*100</f>
        <v>202.11948990000002</v>
      </c>
      <c r="J6">
        <f>C14*100</f>
        <v>224.7610603</v>
      </c>
      <c r="K6">
        <f>C18*100</f>
        <v>420.25995849999998</v>
      </c>
      <c r="L6">
        <f>C22*100</f>
        <v>415.9733923</v>
      </c>
      <c r="M6">
        <f>C25*100</f>
        <v>342.53688489999996</v>
      </c>
    </row>
    <row r="7" spans="1:19">
      <c r="A7" t="s">
        <v>159</v>
      </c>
      <c r="B7" s="16">
        <v>15.191330199999999</v>
      </c>
      <c r="C7">
        <v>1.0308522040000001</v>
      </c>
    </row>
    <row r="8" spans="1:19">
      <c r="A8" t="s">
        <v>158</v>
      </c>
      <c r="B8" s="16">
        <v>11.09442593</v>
      </c>
      <c r="C8">
        <v>19.71994063</v>
      </c>
    </row>
    <row r="9" spans="1:19">
      <c r="A9" t="s">
        <v>157</v>
      </c>
      <c r="B9" s="16">
        <v>49.19345526</v>
      </c>
      <c r="C9">
        <v>0.64442833430000002</v>
      </c>
      <c r="G9" t="s">
        <v>156</v>
      </c>
    </row>
    <row r="10" spans="1:19">
      <c r="A10" t="s">
        <v>155</v>
      </c>
      <c r="B10">
        <v>9.1636752230000003</v>
      </c>
      <c r="C10">
        <v>1.127516631</v>
      </c>
      <c r="H10" s="21">
        <v>0.25</v>
      </c>
      <c r="L10" s="21">
        <v>0.5</v>
      </c>
      <c r="P10" s="21">
        <v>1</v>
      </c>
    </row>
    <row r="11" spans="1:19">
      <c r="A11" t="s">
        <v>154</v>
      </c>
      <c r="B11">
        <v>4.181745555</v>
      </c>
      <c r="C11">
        <v>2.0211948990000002</v>
      </c>
      <c r="H11" t="s">
        <v>22</v>
      </c>
      <c r="I11" t="s">
        <v>21</v>
      </c>
      <c r="J11" t="s">
        <v>20</v>
      </c>
      <c r="K11" t="s">
        <v>153</v>
      </c>
      <c r="L11" t="s">
        <v>22</v>
      </c>
      <c r="M11" t="s">
        <v>21</v>
      </c>
      <c r="N11" t="s">
        <v>20</v>
      </c>
      <c r="O11" t="s">
        <v>153</v>
      </c>
      <c r="P11" t="s">
        <v>22</v>
      </c>
      <c r="Q11" t="s">
        <v>21</v>
      </c>
      <c r="R11" t="s">
        <v>20</v>
      </c>
      <c r="S11" t="s">
        <v>153</v>
      </c>
    </row>
    <row r="12" spans="1:19">
      <c r="A12" t="s">
        <v>152</v>
      </c>
      <c r="B12" s="16">
        <v>45.334365400000003</v>
      </c>
      <c r="C12">
        <v>0.14947711869999999</v>
      </c>
      <c r="G12">
        <v>0</v>
      </c>
      <c r="H12">
        <f>H3-$H$3</f>
        <v>0</v>
      </c>
      <c r="I12">
        <f>I3-$I$3</f>
        <v>0</v>
      </c>
      <c r="J12" s="11"/>
      <c r="K12">
        <f>AVERAGE(H12:J12)</f>
        <v>0</v>
      </c>
      <c r="L12">
        <f>K3-$K$3</f>
        <v>0</v>
      </c>
      <c r="M12">
        <f>L3-$L$3</f>
        <v>0</v>
      </c>
      <c r="N12" s="11"/>
      <c r="O12">
        <f>AVERAGE(L12:N12)</f>
        <v>0</v>
      </c>
      <c r="P12" s="10">
        <v>1.035645441</v>
      </c>
      <c r="Q12" s="10">
        <v>0.82821205340000004</v>
      </c>
      <c r="R12" s="10">
        <v>1.0683854530000001</v>
      </c>
      <c r="S12">
        <f>AVERAGE(P12:R12)</f>
        <v>0.97741431579999993</v>
      </c>
    </row>
    <row r="13" spans="1:19">
      <c r="A13" t="s">
        <v>151</v>
      </c>
      <c r="B13">
        <v>10.611812390000001</v>
      </c>
      <c r="C13">
        <v>1.1107324329999999</v>
      </c>
      <c r="G13">
        <v>1</v>
      </c>
      <c r="H13">
        <f>H4-$H$3</f>
        <v>54.301033635000003</v>
      </c>
      <c r="I13">
        <f>I4-$I$3</f>
        <v>44.722892800000011</v>
      </c>
      <c r="J13">
        <f>J4</f>
        <v>14.947711869999999</v>
      </c>
      <c r="K13">
        <f>AVERAGE(H13:J13)</f>
        <v>37.990546101666673</v>
      </c>
      <c r="L13">
        <f>K4-$K$3</f>
        <v>19.54310357</v>
      </c>
      <c r="M13">
        <f>L4-$L$3</f>
        <v>72.790208370000002</v>
      </c>
      <c r="N13">
        <f>M4</f>
        <v>70.458029339999996</v>
      </c>
      <c r="O13">
        <f>AVERAGE(L13:N13)</f>
        <v>54.263780426666663</v>
      </c>
      <c r="P13">
        <f>K48*100</f>
        <v>0</v>
      </c>
      <c r="Q13" s="10">
        <v>142.49374599999999</v>
      </c>
      <c r="R13" s="10">
        <v>174.9218965</v>
      </c>
      <c r="S13">
        <f>AVERAGE(P13:R13)</f>
        <v>105.80521416666666</v>
      </c>
    </row>
    <row r="14" spans="1:19">
      <c r="A14" t="s">
        <v>150</v>
      </c>
      <c r="B14">
        <v>8.2086816119999995</v>
      </c>
      <c r="C14">
        <v>2.247610603</v>
      </c>
      <c r="G14">
        <v>5</v>
      </c>
      <c r="H14">
        <f>H5-$H$3</f>
        <v>32.295429285000004</v>
      </c>
      <c r="I14">
        <f>I5-$I$3</f>
        <v>93.031722470000005</v>
      </c>
      <c r="J14">
        <f>J5</f>
        <v>111.07324329999999</v>
      </c>
      <c r="K14">
        <f>AVERAGE(H14:J14)</f>
        <v>78.800131684999997</v>
      </c>
      <c r="L14">
        <f>K5-$K$3</f>
        <v>193.93077120999999</v>
      </c>
      <c r="M14">
        <f>L5-$L$3</f>
        <v>182.68565735000001</v>
      </c>
      <c r="N14">
        <f>M5</f>
        <v>186.3690465</v>
      </c>
      <c r="O14">
        <f>AVERAGE(L14:N14)</f>
        <v>187.66182502000001</v>
      </c>
      <c r="P14" s="10">
        <v>247.69986789999999</v>
      </c>
      <c r="Q14" s="10">
        <v>477.64124179999999</v>
      </c>
      <c r="R14" s="10">
        <v>371.55088660000001</v>
      </c>
      <c r="S14">
        <f>AVERAGE(P14:R14)</f>
        <v>365.63066543333326</v>
      </c>
    </row>
    <row r="15" spans="1:19">
      <c r="A15" t="s">
        <v>149</v>
      </c>
      <c r="B15">
        <v>1.3134655399999999</v>
      </c>
      <c r="C15">
        <v>64.907562589999998</v>
      </c>
      <c r="G15">
        <v>10</v>
      </c>
      <c r="H15">
        <f>H6-$H$3</f>
        <v>94.023133525000006</v>
      </c>
      <c r="I15">
        <f>I6-$I$3</f>
        <v>182.39954927000002</v>
      </c>
      <c r="J15">
        <f>J6</f>
        <v>224.7610603</v>
      </c>
      <c r="K15">
        <f>AVERAGE(H15:J15)</f>
        <v>167.06124769833335</v>
      </c>
      <c r="L15">
        <f>K6-$K$3</f>
        <v>355.35239590999998</v>
      </c>
      <c r="M15">
        <f>L6-$L$3</f>
        <v>402.05132935</v>
      </c>
      <c r="N15">
        <f>M6</f>
        <v>342.53688489999996</v>
      </c>
      <c r="O15">
        <f>AVERAGE(L15:N15)</f>
        <v>366.64687005333332</v>
      </c>
      <c r="P15" s="10">
        <v>346.28987069999999</v>
      </c>
      <c r="Q15" s="10">
        <v>603.90969570000004</v>
      </c>
      <c r="R15" s="10">
        <v>766.21475550000002</v>
      </c>
      <c r="S15">
        <f>AVERAGE(P15:R15)</f>
        <v>572.13810730000012</v>
      </c>
    </row>
    <row r="16" spans="1:19">
      <c r="A16" t="s">
        <v>148</v>
      </c>
      <c r="B16" s="16">
        <v>21.814084229999999</v>
      </c>
      <c r="C16">
        <v>0.84450666159999999</v>
      </c>
    </row>
    <row r="17" spans="1:12">
      <c r="A17" t="s">
        <v>147</v>
      </c>
      <c r="B17">
        <v>5.9298677839999998</v>
      </c>
      <c r="C17">
        <v>2.5883833379999999</v>
      </c>
    </row>
    <row r="18" spans="1:12">
      <c r="A18" t="s">
        <v>146</v>
      </c>
      <c r="B18">
        <v>0.73967104750000001</v>
      </c>
      <c r="C18">
        <v>4.2025995849999997</v>
      </c>
    </row>
    <row r="19" spans="1:12">
      <c r="A19" t="s">
        <v>145</v>
      </c>
      <c r="B19">
        <v>3.4894521250000001</v>
      </c>
      <c r="C19">
        <v>13.922062950000001</v>
      </c>
      <c r="F19" s="76" t="s">
        <v>12</v>
      </c>
      <c r="G19" s="76"/>
      <c r="H19" s="76"/>
    </row>
    <row r="20" spans="1:12">
      <c r="A20" t="s">
        <v>144</v>
      </c>
      <c r="B20" s="16">
        <v>36.277193189999998</v>
      </c>
      <c r="C20">
        <v>0.86712271320000001</v>
      </c>
      <c r="F20" s="20" t="s">
        <v>10</v>
      </c>
      <c r="G20" s="19">
        <v>0.25</v>
      </c>
      <c r="H20" s="19">
        <v>0.5</v>
      </c>
      <c r="I20" s="15">
        <v>1</v>
      </c>
      <c r="J20" s="17" t="s">
        <v>3</v>
      </c>
      <c r="K20" t="s">
        <v>2</v>
      </c>
      <c r="L20" t="s">
        <v>1</v>
      </c>
    </row>
    <row r="21" spans="1:12">
      <c r="A21" t="s">
        <v>143</v>
      </c>
      <c r="B21">
        <v>3.4526174940000001</v>
      </c>
      <c r="C21">
        <v>1.966077203</v>
      </c>
      <c r="F21" s="15">
        <v>0</v>
      </c>
      <c r="G21" s="15">
        <v>0</v>
      </c>
      <c r="H21" s="15">
        <v>0</v>
      </c>
      <c r="I21" s="15">
        <v>0.97741431579999993</v>
      </c>
      <c r="J21" s="17">
        <f>(STDEV(H12:J12))/(SQRT(COUNT(H12:J12)))</f>
        <v>0</v>
      </c>
      <c r="K21">
        <f>(STDEV(L12:N12))/(SQRT(COUNT(L12:N12)))</f>
        <v>0</v>
      </c>
      <c r="L21">
        <f>(STDEV(P12:R12))/(SQRT(COUNT(P12:R12)))</f>
        <v>7.5197436626078556E-2</v>
      </c>
    </row>
    <row r="22" spans="1:12">
      <c r="A22" t="s">
        <v>142</v>
      </c>
      <c r="B22">
        <v>0.48455765940000001</v>
      </c>
      <c r="C22">
        <v>4.1597339230000001</v>
      </c>
      <c r="F22" s="18">
        <v>1</v>
      </c>
      <c r="G22" s="18">
        <v>37.990546101666673</v>
      </c>
      <c r="H22" s="18">
        <v>54.263780426666663</v>
      </c>
      <c r="I22">
        <v>105.80521416666666</v>
      </c>
      <c r="J22" s="17">
        <f>(STDEV(H13:J13))/(SQRT(COUNT(H13:J13)))</f>
        <v>11.848549173278903</v>
      </c>
      <c r="K22">
        <f>(STDEV(L13:N13))/(SQRT(COUNT(L13:N13)))</f>
        <v>17.373387846510106</v>
      </c>
      <c r="L22">
        <f>(STDEV(P13:R13))/(SQRT(COUNT(P13:R13)))</f>
        <v>53.724462909843083</v>
      </c>
    </row>
    <row r="23" spans="1:12">
      <c r="A23" t="s">
        <v>141</v>
      </c>
      <c r="B23">
        <v>3.5041936140000001</v>
      </c>
      <c r="C23">
        <v>0.70458029339999995</v>
      </c>
      <c r="F23" s="18">
        <v>5</v>
      </c>
      <c r="G23" s="18">
        <v>78.800131684999997</v>
      </c>
      <c r="H23" s="18">
        <v>187.66182502000001</v>
      </c>
      <c r="I23">
        <v>365.63066543333326</v>
      </c>
      <c r="J23" s="17">
        <f>(STDEV(H14:J14))/(SQRT(COUNT(H14:J14)))</f>
        <v>23.82848174943349</v>
      </c>
      <c r="K23">
        <f>(STDEV(L14:N14))/(SQRT(COUNT(L14:N14)))</f>
        <v>3.3099145838637054</v>
      </c>
      <c r="L23">
        <f>(STDEV(P14:R14))/(SQRT(COUNT(P14:R14)))</f>
        <v>66.444326624504882</v>
      </c>
    </row>
    <row r="24" spans="1:12">
      <c r="A24" t="s">
        <v>140</v>
      </c>
      <c r="B24">
        <v>10.36078125</v>
      </c>
      <c r="C24">
        <v>1.8636904649999999</v>
      </c>
      <c r="F24" s="18">
        <v>10</v>
      </c>
      <c r="G24" s="18">
        <v>167.06124769833335</v>
      </c>
      <c r="H24" s="18">
        <v>366.64687005333332</v>
      </c>
      <c r="I24">
        <v>572.13810730000012</v>
      </c>
      <c r="J24" s="17">
        <f>(STDEV(H15:J15))/(SQRT(COUNT(H15:J15)))</f>
        <v>38.512114958299655</v>
      </c>
      <c r="K24">
        <f>(STDEV(L15:N15))/(SQRT(COUNT(L15:N15)))</f>
        <v>18.084672462049681</v>
      </c>
      <c r="L24">
        <f>(STDEV(P15:R15))/(SQRT(COUNT(P15:R15)))</f>
        <v>122.25833658101126</v>
      </c>
    </row>
    <row r="25" spans="1:12">
      <c r="A25" t="s">
        <v>139</v>
      </c>
      <c r="B25">
        <v>1.006452152</v>
      </c>
      <c r="C25">
        <v>3.4253688489999998</v>
      </c>
    </row>
    <row r="26" spans="1:12">
      <c r="A26" t="s">
        <v>138</v>
      </c>
      <c r="B26">
        <v>5.7844679870000002</v>
      </c>
      <c r="C26">
        <v>8.0320221660000009</v>
      </c>
      <c r="D26">
        <v>8.0320221660000009</v>
      </c>
      <c r="J26" t="s">
        <v>3</v>
      </c>
      <c r="K26" t="s">
        <v>2</v>
      </c>
      <c r="L26" t="s">
        <v>1</v>
      </c>
    </row>
    <row r="27" spans="1:12">
      <c r="A27" t="s">
        <v>137</v>
      </c>
      <c r="B27" s="16">
        <v>18.113235459999999</v>
      </c>
      <c r="C27">
        <v>0.88229056120000005</v>
      </c>
      <c r="D27">
        <f t="shared" ref="D27:D33" si="0">C27*10</f>
        <v>8.8229056119999996</v>
      </c>
      <c r="J27">
        <v>0</v>
      </c>
      <c r="K27">
        <v>0</v>
      </c>
      <c r="L27">
        <v>7.5197436626078556E-2</v>
      </c>
    </row>
    <row r="28" spans="1:12">
      <c r="A28" t="s">
        <v>136</v>
      </c>
      <c r="B28">
        <v>3.3706110759999999</v>
      </c>
      <c r="C28">
        <v>1.1457469790000001</v>
      </c>
      <c r="D28">
        <f t="shared" si="0"/>
        <v>11.457469790000001</v>
      </c>
      <c r="J28">
        <v>11.848549173278903</v>
      </c>
      <c r="K28">
        <v>17.373387846510106</v>
      </c>
      <c r="L28">
        <v>53.724462909843083</v>
      </c>
    </row>
    <row r="29" spans="1:12">
      <c r="A29" t="s">
        <v>135</v>
      </c>
      <c r="B29">
        <v>11.43629619</v>
      </c>
      <c r="C29">
        <v>6.5729316310000003</v>
      </c>
      <c r="D29">
        <f t="shared" si="0"/>
        <v>65.729316310000002</v>
      </c>
      <c r="J29">
        <v>23.82848174943349</v>
      </c>
      <c r="K29">
        <v>3.3099145838637054</v>
      </c>
      <c r="L29">
        <v>66.444326624504882</v>
      </c>
    </row>
    <row r="30" spans="1:12">
      <c r="A30" t="s">
        <v>134</v>
      </c>
      <c r="B30">
        <v>5.694977916</v>
      </c>
      <c r="C30">
        <v>3.0056913129999998</v>
      </c>
      <c r="D30">
        <f t="shared" si="0"/>
        <v>30.056913129999998</v>
      </c>
      <c r="J30">
        <v>38.512114958299655</v>
      </c>
      <c r="K30">
        <v>18.084672462049681</v>
      </c>
      <c r="L30">
        <v>122.25833658101126</v>
      </c>
    </row>
    <row r="31" spans="1:12">
      <c r="A31" t="s">
        <v>133</v>
      </c>
      <c r="B31">
        <v>4.0829043560000002</v>
      </c>
      <c r="C31">
        <v>5.3819058919999998</v>
      </c>
      <c r="D31">
        <f t="shared" si="0"/>
        <v>53.819058919999996</v>
      </c>
    </row>
    <row r="32" spans="1:12">
      <c r="A32" t="s">
        <v>132</v>
      </c>
      <c r="B32">
        <v>9.6828156300000003</v>
      </c>
      <c r="C32">
        <v>10.59362659</v>
      </c>
      <c r="D32">
        <f t="shared" si="0"/>
        <v>105.9362659</v>
      </c>
    </row>
    <row r="33" spans="1:4">
      <c r="A33" t="s">
        <v>131</v>
      </c>
      <c r="B33">
        <v>8.4317468739999999</v>
      </c>
      <c r="C33">
        <v>10.653767909999999</v>
      </c>
      <c r="D33">
        <f t="shared" si="0"/>
        <v>106.53767909999999</v>
      </c>
    </row>
    <row r="34" spans="1:4">
      <c r="A34" t="s">
        <v>130</v>
      </c>
      <c r="B34">
        <v>1.471673912</v>
      </c>
      <c r="C34">
        <v>8.0342119289999996</v>
      </c>
      <c r="D34">
        <v>8.0342119289999996</v>
      </c>
    </row>
    <row r="35" spans="1:4">
      <c r="A35" t="s">
        <v>129</v>
      </c>
      <c r="B35">
        <v>5.8339332390000003</v>
      </c>
      <c r="C35">
        <v>0.82134748449999995</v>
      </c>
      <c r="D35">
        <f t="shared" ref="D35:D41" si="1">C35*10</f>
        <v>8.2134748450000004</v>
      </c>
    </row>
    <row r="36" spans="1:4">
      <c r="A36" t="s">
        <v>128</v>
      </c>
      <c r="B36" s="16">
        <v>22.37806694</v>
      </c>
      <c r="C36">
        <v>1.0345758089999999</v>
      </c>
      <c r="D36">
        <f t="shared" si="1"/>
        <v>10.345758089999999</v>
      </c>
    </row>
    <row r="37" spans="1:4">
      <c r="A37" t="s">
        <v>127</v>
      </c>
      <c r="B37">
        <v>3.271024068</v>
      </c>
      <c r="C37">
        <v>2.4350857509999999</v>
      </c>
      <c r="D37">
        <f t="shared" si="1"/>
        <v>24.350857509999997</v>
      </c>
    </row>
    <row r="38" spans="1:4">
      <c r="A38" t="s">
        <v>126</v>
      </c>
      <c r="B38">
        <v>8.7231624300000004</v>
      </c>
      <c r="C38">
        <v>3.8058792449999999</v>
      </c>
      <c r="D38">
        <f t="shared" si="1"/>
        <v>38.058792449999999</v>
      </c>
    </row>
    <row r="39" spans="1:4">
      <c r="A39" t="s">
        <v>125</v>
      </c>
      <c r="B39">
        <v>0.87021301849999999</v>
      </c>
      <c r="C39">
        <v>8.1127977490000003</v>
      </c>
      <c r="D39">
        <f t="shared" si="1"/>
        <v>81.127977490000006</v>
      </c>
    </row>
    <row r="40" spans="1:4">
      <c r="A40" t="s">
        <v>124</v>
      </c>
      <c r="B40" s="16">
        <v>18.61216881</v>
      </c>
      <c r="C40">
        <v>8.6250387289999999</v>
      </c>
      <c r="D40">
        <f t="shared" si="1"/>
        <v>86.250387289999992</v>
      </c>
    </row>
    <row r="41" spans="1:4">
      <c r="A41" t="s">
        <v>123</v>
      </c>
      <c r="B41">
        <v>0.98925098639999998</v>
      </c>
      <c r="C41">
        <v>12.28599245</v>
      </c>
      <c r="D41">
        <f t="shared" si="1"/>
        <v>122.85992450000001</v>
      </c>
    </row>
    <row r="43" spans="1:4">
      <c r="A43" s="11"/>
      <c r="B43" t="s">
        <v>122</v>
      </c>
    </row>
    <row r="45" spans="1:4">
      <c r="A45" t="s">
        <v>121</v>
      </c>
    </row>
  </sheetData>
  <mergeCells count="1">
    <mergeCell ref="F19:H19"/>
  </mergeCells>
  <pageMargins left="0.75" right="0.75" top="1" bottom="1" header="0.3" footer="0.3"/>
  <pageSetup orientation="portrait" horizontalDpi="4294967292" verticalDpi="4294967292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53CE9-6409-204E-8395-6405D887B2D3}">
  <dimension ref="A1:Y78"/>
  <sheetViews>
    <sheetView topLeftCell="F4" zoomScaleNormal="100" workbookViewId="0">
      <selection activeCell="O36" sqref="O36"/>
    </sheetView>
  </sheetViews>
  <sheetFormatPr baseColWidth="10" defaultRowHeight="16"/>
  <cols>
    <col min="5" max="5" width="19.83203125" bestFit="1" customWidth="1"/>
    <col min="7" max="7" width="13.33203125" bestFit="1" customWidth="1"/>
  </cols>
  <sheetData>
    <row r="1" spans="1:25">
      <c r="A1" t="s">
        <v>38</v>
      </c>
      <c r="B1" t="s">
        <v>37</v>
      </c>
      <c r="C1" t="s">
        <v>36</v>
      </c>
      <c r="D1" t="s">
        <v>39</v>
      </c>
      <c r="G1" s="10"/>
      <c r="H1" s="80">
        <v>0.25</v>
      </c>
      <c r="I1" s="80"/>
      <c r="J1" s="80"/>
      <c r="K1" s="80"/>
      <c r="L1" s="80"/>
      <c r="M1" s="80"/>
      <c r="N1" s="80">
        <v>0.5</v>
      </c>
      <c r="O1" s="80"/>
      <c r="P1" s="80"/>
      <c r="Q1" s="80"/>
      <c r="R1" s="80"/>
      <c r="S1" s="80"/>
      <c r="T1" s="80">
        <v>1</v>
      </c>
      <c r="U1" s="80"/>
      <c r="V1" s="80"/>
      <c r="W1" s="80"/>
      <c r="X1" s="80"/>
      <c r="Y1" s="80"/>
    </row>
    <row r="2" spans="1:25">
      <c r="A2" t="s">
        <v>40</v>
      </c>
      <c r="B2">
        <v>20.14544862</v>
      </c>
      <c r="C2">
        <v>0.84074277159999999</v>
      </c>
      <c r="D2">
        <f t="shared" ref="D2:D10" si="0">C2</f>
        <v>0.84074277159999999</v>
      </c>
      <c r="G2" s="10" t="s">
        <v>41</v>
      </c>
      <c r="H2" s="10" t="s">
        <v>22</v>
      </c>
      <c r="I2" s="10" t="s">
        <v>21</v>
      </c>
      <c r="J2" s="10" t="s">
        <v>20</v>
      </c>
      <c r="K2" s="10" t="s">
        <v>42</v>
      </c>
      <c r="L2" s="10" t="s">
        <v>43</v>
      </c>
      <c r="M2" s="10" t="s">
        <v>44</v>
      </c>
      <c r="N2" s="10" t="s">
        <v>22</v>
      </c>
      <c r="O2" s="10" t="s">
        <v>21</v>
      </c>
      <c r="P2" s="10" t="s">
        <v>20</v>
      </c>
      <c r="Q2" s="10" t="s">
        <v>42</v>
      </c>
      <c r="R2" s="10" t="s">
        <v>43</v>
      </c>
      <c r="S2" s="10" t="s">
        <v>44</v>
      </c>
      <c r="T2" s="10" t="s">
        <v>22</v>
      </c>
      <c r="U2" s="10" t="s">
        <v>21</v>
      </c>
      <c r="V2" s="10" t="s">
        <v>20</v>
      </c>
      <c r="W2" s="10" t="s">
        <v>42</v>
      </c>
      <c r="X2" s="10" t="s">
        <v>43</v>
      </c>
      <c r="Y2" s="10" t="s">
        <v>44</v>
      </c>
    </row>
    <row r="3" spans="1:25">
      <c r="A3" s="11" t="s">
        <v>45</v>
      </c>
      <c r="B3" s="11">
        <v>21.851358569999999</v>
      </c>
      <c r="C3" s="11">
        <v>20.373032940000002</v>
      </c>
      <c r="D3" s="11">
        <f t="shared" si="0"/>
        <v>20.373032940000002</v>
      </c>
      <c r="G3" s="10">
        <v>0</v>
      </c>
      <c r="H3">
        <f>H12-H12</f>
        <v>0</v>
      </c>
      <c r="I3">
        <f>I12-I12</f>
        <v>0</v>
      </c>
      <c r="J3">
        <f>J12-J12</f>
        <v>0</v>
      </c>
      <c r="K3">
        <f>AVERAGE(H3:J3)</f>
        <v>0</v>
      </c>
      <c r="L3" s="12">
        <f>(STDEV(H3:J3))/(SQRT(COUNT(H3:J3)))</f>
        <v>0</v>
      </c>
      <c r="M3">
        <f>M12-M12</f>
        <v>0</v>
      </c>
      <c r="N3">
        <f>N12-N12</f>
        <v>0</v>
      </c>
      <c r="O3">
        <f>O12-O12</f>
        <v>0</v>
      </c>
      <c r="P3">
        <f>P12-P12</f>
        <v>0</v>
      </c>
      <c r="Q3">
        <f>AVERAGE(N3:P3)</f>
        <v>0</v>
      </c>
      <c r="R3" s="12">
        <f t="shared" ref="R3:R9" si="1">(STDEV(N3:P3))/(SQRT(COUNT(N3:P3)))</f>
        <v>0</v>
      </c>
      <c r="S3">
        <f>S12-S12</f>
        <v>0</v>
      </c>
      <c r="T3">
        <f>T12-T12</f>
        <v>0</v>
      </c>
      <c r="U3">
        <f>U12-U12</f>
        <v>0</v>
      </c>
      <c r="V3">
        <f>V12-V12</f>
        <v>0</v>
      </c>
      <c r="W3">
        <f>AVERAGE(T3:V3)</f>
        <v>0</v>
      </c>
      <c r="X3" s="12">
        <f>(STDEV(T3:V3))/(SQRT(COUNT(T3:V3)))</f>
        <v>0</v>
      </c>
      <c r="Y3">
        <f>Y12-Y12</f>
        <v>0</v>
      </c>
    </row>
    <row r="4" spans="1:25">
      <c r="A4" t="s">
        <v>46</v>
      </c>
      <c r="B4">
        <v>35.820707239999997</v>
      </c>
      <c r="C4">
        <v>0.48283155570000003</v>
      </c>
      <c r="D4">
        <f t="shared" si="0"/>
        <v>0.48283155570000003</v>
      </c>
      <c r="G4" s="10">
        <v>20</v>
      </c>
      <c r="H4">
        <f>114.6624253-H12</f>
        <v>104.49029924999999</v>
      </c>
      <c r="I4">
        <f>138.5223096-I12</f>
        <v>55.771804739999993</v>
      </c>
      <c r="J4">
        <f>35.15374504-J12</f>
        <v>14.757286669999996</v>
      </c>
      <c r="K4">
        <f t="shared" ref="K4:K9" si="2">AVERAGE(H4:J4)</f>
        <v>58.339796886666655</v>
      </c>
      <c r="L4" s="12">
        <f t="shared" ref="L4:L9" si="3">(STDEV(H4:J4))/(SQRT(COUNT(H4:J4)))</f>
        <v>25.935492569190558</v>
      </c>
      <c r="N4">
        <f>D11-N12</f>
        <v>69.376379747000001</v>
      </c>
      <c r="O4">
        <f>D12-O12</f>
        <v>103.635194731</v>
      </c>
      <c r="P4">
        <f>D13-P12</f>
        <v>97.577333719999999</v>
      </c>
      <c r="Q4">
        <f t="shared" ref="Q4:Q9" si="4">AVERAGE(N4:P4)</f>
        <v>90.196302732666666</v>
      </c>
      <c r="R4" s="12">
        <f t="shared" si="1"/>
        <v>10.555824850984175</v>
      </c>
      <c r="T4">
        <f>77.29051134-T12</f>
        <v>66.364604989999989</v>
      </c>
      <c r="U4">
        <f>108.888777-U12</f>
        <v>103.33035991</v>
      </c>
      <c r="V4">
        <f>67.0180534-V12</f>
        <v>26.655405469999998</v>
      </c>
      <c r="W4">
        <f t="shared" ref="W4:W9" si="5">AVERAGE(T4:V4)</f>
        <v>65.450123456666674</v>
      </c>
      <c r="X4" s="12">
        <f t="shared" ref="X4:X9" si="6">(STDEV(T4:V4))/(SQRT(COUNT(T4:V4)))</f>
        <v>22.138875061379572</v>
      </c>
    </row>
    <row r="5" spans="1:25">
      <c r="A5" t="s">
        <v>47</v>
      </c>
      <c r="B5">
        <v>9.9146208300000005</v>
      </c>
      <c r="C5">
        <v>0.65218468669999996</v>
      </c>
      <c r="D5">
        <f t="shared" si="0"/>
        <v>0.65218468669999996</v>
      </c>
      <c r="G5" s="10">
        <v>40</v>
      </c>
      <c r="H5">
        <f>225.8980607-H12</f>
        <v>215.72593465</v>
      </c>
      <c r="I5">
        <f>138.4506688-I12</f>
        <v>55.700163939999982</v>
      </c>
      <c r="J5">
        <f>157.1458632-J12</f>
        <v>136.74940483</v>
      </c>
      <c r="K5">
        <f t="shared" si="2"/>
        <v>136.05850114</v>
      </c>
      <c r="L5" s="12">
        <f t="shared" si="3"/>
        <v>46.196752532921678</v>
      </c>
      <c r="N5">
        <f>D14-N12</f>
        <v>212.964342687</v>
      </c>
      <c r="O5">
        <f>D15-O12</f>
        <v>316.35616783099999</v>
      </c>
      <c r="P5">
        <f>D16-P12</f>
        <v>133.67494072</v>
      </c>
      <c r="Q5">
        <f t="shared" si="4"/>
        <v>220.99848374600001</v>
      </c>
      <c r="R5" s="12">
        <f t="shared" si="1"/>
        <v>52.888304477808482</v>
      </c>
      <c r="S5" s="10"/>
      <c r="T5">
        <f>158.7347001-T12</f>
        <v>147.80879375000001</v>
      </c>
      <c r="U5">
        <f>174.332546-U12</f>
        <v>168.77412891</v>
      </c>
      <c r="V5">
        <f>171.1359305-V12</f>
        <v>130.77328256999999</v>
      </c>
      <c r="W5">
        <f t="shared" si="5"/>
        <v>149.11873507666667</v>
      </c>
      <c r="X5" s="12">
        <f t="shared" si="6"/>
        <v>10.989434931614408</v>
      </c>
      <c r="Y5" s="10"/>
    </row>
    <row r="6" spans="1:25">
      <c r="A6" t="s">
        <v>48</v>
      </c>
      <c r="B6">
        <v>40.445894809999999</v>
      </c>
      <c r="C6">
        <v>0.51849295510000004</v>
      </c>
      <c r="D6">
        <f t="shared" si="0"/>
        <v>0.51849295510000004</v>
      </c>
      <c r="G6" s="10">
        <v>60</v>
      </c>
      <c r="H6">
        <f>216.2999958-H12</f>
        <v>206.12786975</v>
      </c>
      <c r="I6">
        <f>469.900046-I12</f>
        <v>387.14954114</v>
      </c>
      <c r="J6">
        <f>203.7200596-J12</f>
        <v>183.32360123000001</v>
      </c>
      <c r="K6">
        <f t="shared" si="2"/>
        <v>258.86700404000004</v>
      </c>
      <c r="L6" s="12">
        <f t="shared" si="3"/>
        <v>64.478202154662895</v>
      </c>
      <c r="N6">
        <f>D17-N12</f>
        <v>348.39734948699999</v>
      </c>
      <c r="O6">
        <f>D18-O12</f>
        <v>385.65314023099995</v>
      </c>
      <c r="P6">
        <f>D19-P12</f>
        <v>323.72575572</v>
      </c>
      <c r="Q6">
        <f t="shared" si="4"/>
        <v>352.59208181266666</v>
      </c>
      <c r="R6" s="12">
        <f t="shared" si="1"/>
        <v>17.999509924405388</v>
      </c>
      <c r="S6" s="10"/>
      <c r="T6">
        <f>207.3043496-T12</f>
        <v>196.37844325</v>
      </c>
      <c r="U6">
        <f>398.9459793-U12</f>
        <v>393.38756221</v>
      </c>
      <c r="V6">
        <f>294.5324616-V12</f>
        <v>254.16981366999997</v>
      </c>
      <c r="W6">
        <f t="shared" si="5"/>
        <v>281.31193970999999</v>
      </c>
      <c r="X6" s="12">
        <f t="shared" si="6"/>
        <v>58.468423081259019</v>
      </c>
      <c r="Y6" s="10"/>
    </row>
    <row r="7" spans="1:25">
      <c r="A7" s="11" t="s">
        <v>49</v>
      </c>
      <c r="B7" s="11">
        <v>24.123109580000001</v>
      </c>
      <c r="C7" s="11">
        <v>18.34437857</v>
      </c>
      <c r="D7" s="11">
        <f t="shared" si="0"/>
        <v>18.34437857</v>
      </c>
      <c r="G7" s="10">
        <v>80</v>
      </c>
      <c r="H7">
        <f>291.6686602-H12</f>
        <v>281.49653415</v>
      </c>
      <c r="I7">
        <f>218.5942248-I12</f>
        <v>135.84371994</v>
      </c>
      <c r="J7">
        <f>538.3456983-J12</f>
        <v>517.94923992999998</v>
      </c>
      <c r="K7">
        <f t="shared" si="2"/>
        <v>311.76316467333334</v>
      </c>
      <c r="L7" s="12">
        <f t="shared" si="3"/>
        <v>111.33763783215754</v>
      </c>
      <c r="N7">
        <f>D20-N12</f>
        <v>375.11680998700001</v>
      </c>
      <c r="O7">
        <f>D21-O12</f>
        <v>452.22433063099993</v>
      </c>
      <c r="P7">
        <f>D22-P12</f>
        <v>479.12171031999998</v>
      </c>
      <c r="Q7">
        <f t="shared" si="4"/>
        <v>435.48761697933332</v>
      </c>
      <c r="R7" s="12">
        <f t="shared" si="1"/>
        <v>31.168055287493264</v>
      </c>
      <c r="S7" s="10"/>
      <c r="T7">
        <f>392.4895411-T12</f>
        <v>381.56363475000001</v>
      </c>
      <c r="U7">
        <f>488.9187817-U12</f>
        <v>483.36036461000003</v>
      </c>
      <c r="V7">
        <f>484.1693389-V12</f>
        <v>443.80669097000003</v>
      </c>
      <c r="W7">
        <f t="shared" si="5"/>
        <v>436.24356344333336</v>
      </c>
      <c r="X7" s="12">
        <f t="shared" si="6"/>
        <v>29.628501064773893</v>
      </c>
      <c r="Y7" s="10"/>
    </row>
    <row r="8" spans="1:25">
      <c r="A8" t="s">
        <v>50</v>
      </c>
      <c r="B8">
        <v>4.8456755630000004</v>
      </c>
      <c r="C8">
        <v>9.2718932130000002</v>
      </c>
      <c r="D8">
        <f t="shared" si="0"/>
        <v>9.2718932130000002</v>
      </c>
      <c r="G8" s="10">
        <v>100</v>
      </c>
      <c r="H8">
        <f>371.7942625-H12</f>
        <v>361.62213645000003</v>
      </c>
      <c r="I8">
        <f>407.0849013-I12</f>
        <v>324.33439643999998</v>
      </c>
      <c r="J8">
        <f>482.7671669-J12</f>
        <v>462.37070853</v>
      </c>
      <c r="K8">
        <f t="shared" si="2"/>
        <v>382.77574714000002</v>
      </c>
      <c r="L8" s="12">
        <f t="shared" si="3"/>
        <v>41.227467776431062</v>
      </c>
      <c r="N8">
        <f>D23-N12</f>
        <v>463.409784887</v>
      </c>
      <c r="O8">
        <f>D24-O12</f>
        <v>543.81269623100002</v>
      </c>
      <c r="P8">
        <f>D25-P12</f>
        <v>586.64282172000003</v>
      </c>
      <c r="Q8">
        <f t="shared" si="4"/>
        <v>531.28843427933327</v>
      </c>
      <c r="R8" s="12">
        <f t="shared" si="1"/>
        <v>36.121268872352566</v>
      </c>
      <c r="S8" s="10"/>
      <c r="T8">
        <f>420.9663171-T12</f>
        <v>410.04041075000004</v>
      </c>
      <c r="U8">
        <f>502.6533448-U12</f>
        <v>497.09492771000004</v>
      </c>
      <c r="V8">
        <f>614.7633362-V12</f>
        <v>574.40068827000005</v>
      </c>
      <c r="W8">
        <f t="shared" si="5"/>
        <v>493.84534224333339</v>
      </c>
      <c r="X8" s="12">
        <f t="shared" si="6"/>
        <v>47.474537248549254</v>
      </c>
      <c r="Y8" s="10"/>
    </row>
    <row r="9" spans="1:25">
      <c r="A9" t="s">
        <v>51</v>
      </c>
      <c r="B9">
        <v>1.211228478</v>
      </c>
      <c r="C9">
        <v>9.5351311689999996</v>
      </c>
      <c r="D9">
        <f t="shared" si="0"/>
        <v>9.5351311689999996</v>
      </c>
      <c r="G9" s="10">
        <v>120</v>
      </c>
      <c r="H9">
        <f>434.7801032-H12</f>
        <v>424.60797715000001</v>
      </c>
      <c r="I9">
        <f>421.5414633-I12</f>
        <v>338.79095843999994</v>
      </c>
      <c r="J9">
        <f>539.5041888-J12</f>
        <v>519.10773042999995</v>
      </c>
      <c r="K9">
        <f t="shared" si="2"/>
        <v>427.50222200666667</v>
      </c>
      <c r="L9" s="12">
        <f t="shared" si="3"/>
        <v>52.073080234068307</v>
      </c>
      <c r="M9">
        <f>11.39393768-M12</f>
        <v>2.8235919410000001</v>
      </c>
      <c r="N9">
        <f>451.4124066-N12</f>
        <v>442.140513387</v>
      </c>
      <c r="O9">
        <f>386.7046862-O12</f>
        <v>377.16955503100002</v>
      </c>
      <c r="P9">
        <f>443.846852-P12</f>
        <v>428.26613472000003</v>
      </c>
      <c r="Q9">
        <f t="shared" si="4"/>
        <v>415.85873437933333</v>
      </c>
      <c r="R9" s="12">
        <f t="shared" si="1"/>
        <v>19.754864758116781</v>
      </c>
      <c r="S9">
        <f>9.639264847-S12</f>
        <v>-2.4598557030000006</v>
      </c>
      <c r="T9">
        <f>520.5132042-T12</f>
        <v>509.58729785000003</v>
      </c>
      <c r="U9">
        <f>577.6713742-U12</f>
        <v>572.11295710999991</v>
      </c>
      <c r="V9">
        <f>724.6181325-V12</f>
        <v>684.25548457000002</v>
      </c>
      <c r="W9">
        <f t="shared" si="5"/>
        <v>588.65191317666665</v>
      </c>
      <c r="X9" s="12">
        <f t="shared" si="6"/>
        <v>51.095977218839984</v>
      </c>
      <c r="Y9">
        <f>15.01709446-Y12</f>
        <v>0.68888872999999862</v>
      </c>
    </row>
    <row r="10" spans="1:25">
      <c r="A10" t="s">
        <v>52</v>
      </c>
      <c r="B10">
        <v>0.94731352589999995</v>
      </c>
      <c r="C10">
        <v>15.58071728</v>
      </c>
      <c r="D10">
        <f t="shared" si="0"/>
        <v>15.58071728</v>
      </c>
    </row>
    <row r="11" spans="1:25">
      <c r="A11" t="s">
        <v>53</v>
      </c>
      <c r="B11">
        <v>1.922767916</v>
      </c>
      <c r="C11">
        <v>7.8648272959999996</v>
      </c>
      <c r="D11">
        <f t="shared" ref="D11:D25" si="7">C11*10</f>
        <v>78.64827296</v>
      </c>
    </row>
    <row r="12" spans="1:25">
      <c r="A12" t="s">
        <v>54</v>
      </c>
      <c r="B12">
        <v>0.69385470549999995</v>
      </c>
      <c r="C12">
        <v>11.31703259</v>
      </c>
      <c r="D12">
        <f t="shared" si="7"/>
        <v>113.17032589999999</v>
      </c>
      <c r="G12" t="s">
        <v>55</v>
      </c>
      <c r="H12">
        <f>10.17212605</f>
        <v>10.172126049999999</v>
      </c>
      <c r="I12">
        <v>82.750504860000007</v>
      </c>
      <c r="J12">
        <v>20.396458370000001</v>
      </c>
      <c r="M12">
        <v>8.5703457390000004</v>
      </c>
      <c r="N12" s="10">
        <v>9.2718932130000002</v>
      </c>
      <c r="O12" s="10">
        <v>9.5351311689999996</v>
      </c>
      <c r="P12" s="10">
        <v>15.58071728</v>
      </c>
      <c r="Q12" s="13"/>
      <c r="R12" s="13"/>
      <c r="S12">
        <v>12.09912055</v>
      </c>
      <c r="T12">
        <v>10.92590635</v>
      </c>
      <c r="U12">
        <v>5.5584170899999998</v>
      </c>
      <c r="V12">
        <v>40.362647930000001</v>
      </c>
      <c r="Y12">
        <v>14.328205730000001</v>
      </c>
    </row>
    <row r="13" spans="1:25">
      <c r="A13" t="s">
        <v>56</v>
      </c>
      <c r="B13">
        <v>0.94492914989999999</v>
      </c>
      <c r="C13">
        <v>11.3158051</v>
      </c>
      <c r="D13">
        <f t="shared" si="7"/>
        <v>113.158051</v>
      </c>
    </row>
    <row r="14" spans="1:25">
      <c r="A14" t="s">
        <v>57</v>
      </c>
      <c r="B14">
        <v>9.8981415300000002</v>
      </c>
      <c r="C14">
        <v>22.223623589999999</v>
      </c>
      <c r="D14">
        <f t="shared" si="7"/>
        <v>222.2362359</v>
      </c>
    </row>
    <row r="15" spans="1:25">
      <c r="A15" t="s">
        <v>58</v>
      </c>
      <c r="B15">
        <v>14.75912988</v>
      </c>
      <c r="C15">
        <v>32.589129900000003</v>
      </c>
      <c r="D15">
        <f t="shared" si="7"/>
        <v>325.891299</v>
      </c>
    </row>
    <row r="16" spans="1:25">
      <c r="A16" t="s">
        <v>59</v>
      </c>
      <c r="B16">
        <v>0.71187908239999997</v>
      </c>
      <c r="C16">
        <v>14.925565799999999</v>
      </c>
      <c r="D16">
        <f t="shared" si="7"/>
        <v>149.25565799999998</v>
      </c>
    </row>
    <row r="17" spans="1:23">
      <c r="A17" t="s">
        <v>60</v>
      </c>
      <c r="B17">
        <v>14.41150146</v>
      </c>
      <c r="C17">
        <v>35.766924269999997</v>
      </c>
      <c r="D17">
        <f t="shared" si="7"/>
        <v>357.66924269999998</v>
      </c>
      <c r="U17" s="80" t="s">
        <v>61</v>
      </c>
      <c r="V17" s="80"/>
      <c r="W17" s="80"/>
    </row>
    <row r="18" spans="1:23">
      <c r="A18" t="s">
        <v>62</v>
      </c>
      <c r="B18">
        <v>10.444171620000001</v>
      </c>
      <c r="C18">
        <v>39.518827139999999</v>
      </c>
      <c r="D18">
        <f t="shared" si="7"/>
        <v>395.18827139999996</v>
      </c>
      <c r="U18" s="14">
        <v>0.25</v>
      </c>
      <c r="V18" s="10">
        <v>0.5</v>
      </c>
      <c r="W18" s="10">
        <v>1</v>
      </c>
    </row>
    <row r="19" spans="1:23">
      <c r="A19" t="s">
        <v>63</v>
      </c>
      <c r="B19">
        <v>7.555557909</v>
      </c>
      <c r="C19">
        <v>33.930647299999997</v>
      </c>
      <c r="D19">
        <f t="shared" si="7"/>
        <v>339.30647299999998</v>
      </c>
      <c r="T19" s="10">
        <v>0</v>
      </c>
      <c r="U19" s="10">
        <f t="shared" ref="U19:U25" si="8">(STDEV(H3:J3))/(SQRT(COUNT(H3:J3)))</f>
        <v>0</v>
      </c>
      <c r="V19" s="10">
        <f t="shared" ref="V19:V25" si="9">(STDEV(N3:P3))/(SQRT(COUNT(N3:P3)))</f>
        <v>0</v>
      </c>
      <c r="W19" s="10">
        <f>(STDEV(T3:V3))/(SQRT(COUNT(T3:V3)))</f>
        <v>0</v>
      </c>
    </row>
    <row r="20" spans="1:23">
      <c r="A20" t="s">
        <v>64</v>
      </c>
      <c r="B20">
        <v>0.80300308720000002</v>
      </c>
      <c r="C20">
        <v>38.438870319999999</v>
      </c>
      <c r="D20">
        <f t="shared" si="7"/>
        <v>384.38870320000001</v>
      </c>
      <c r="T20" s="10">
        <v>20</v>
      </c>
      <c r="U20" s="10">
        <f t="shared" si="8"/>
        <v>25.935492569190558</v>
      </c>
      <c r="V20" s="10">
        <f t="shared" si="9"/>
        <v>10.555824850984175</v>
      </c>
      <c r="W20" s="10">
        <f t="shared" ref="W20:W25" si="10">(STDEV(T4:V4))/(SQRT(COUNT(T4:V4)))</f>
        <v>22.138875061379572</v>
      </c>
    </row>
    <row r="21" spans="1:23">
      <c r="A21" t="s">
        <v>65</v>
      </c>
      <c r="B21">
        <v>11.667205490000001</v>
      </c>
      <c r="C21">
        <v>46.175946179999997</v>
      </c>
      <c r="D21">
        <f t="shared" si="7"/>
        <v>461.75946179999994</v>
      </c>
      <c r="T21" s="10">
        <v>40</v>
      </c>
      <c r="U21" s="10">
        <f t="shared" si="8"/>
        <v>46.196752532921678</v>
      </c>
      <c r="V21" s="10">
        <f t="shared" si="9"/>
        <v>52.888304477808482</v>
      </c>
      <c r="W21" s="10">
        <f t="shared" si="10"/>
        <v>10.989434931614408</v>
      </c>
    </row>
    <row r="22" spans="1:23">
      <c r="A22" t="s">
        <v>66</v>
      </c>
      <c r="B22">
        <v>9.0081594509999992</v>
      </c>
      <c r="C22">
        <v>49.470242759999998</v>
      </c>
      <c r="D22">
        <f t="shared" si="7"/>
        <v>494.70242759999996</v>
      </c>
      <c r="T22" s="10">
        <v>60</v>
      </c>
      <c r="U22" s="10">
        <f t="shared" si="8"/>
        <v>64.478202154662895</v>
      </c>
      <c r="V22" s="10">
        <f t="shared" si="9"/>
        <v>17.999509924405388</v>
      </c>
      <c r="W22" s="10">
        <f t="shared" si="10"/>
        <v>58.468423081259019</v>
      </c>
    </row>
    <row r="23" spans="1:23">
      <c r="A23" t="s">
        <v>67</v>
      </c>
      <c r="B23">
        <v>4.4623293850000003</v>
      </c>
      <c r="C23">
        <v>47.268167810000001</v>
      </c>
      <c r="D23">
        <f t="shared" si="7"/>
        <v>472.6816781</v>
      </c>
      <c r="T23" s="10">
        <v>80</v>
      </c>
      <c r="U23" s="10">
        <f t="shared" si="8"/>
        <v>111.33763783215754</v>
      </c>
      <c r="V23" s="10">
        <f t="shared" si="9"/>
        <v>31.168055287493264</v>
      </c>
      <c r="W23" s="10">
        <f t="shared" si="10"/>
        <v>29.628501064773893</v>
      </c>
    </row>
    <row r="24" spans="1:23">
      <c r="A24" t="s">
        <v>68</v>
      </c>
      <c r="B24">
        <v>16.340236839999999</v>
      </c>
      <c r="C24">
        <v>55.334782740000001</v>
      </c>
      <c r="D24">
        <f t="shared" si="7"/>
        <v>553.34782740000003</v>
      </c>
      <c r="T24" s="10">
        <v>100</v>
      </c>
      <c r="U24" s="10">
        <f t="shared" si="8"/>
        <v>41.227467776431062</v>
      </c>
      <c r="V24" s="10">
        <f t="shared" si="9"/>
        <v>36.121268872352566</v>
      </c>
      <c r="W24" s="10">
        <f t="shared" si="10"/>
        <v>47.474537248549254</v>
      </c>
    </row>
    <row r="25" spans="1:23">
      <c r="A25" t="s">
        <v>69</v>
      </c>
      <c r="B25">
        <v>15.74684407</v>
      </c>
      <c r="C25">
        <v>60.222353900000002</v>
      </c>
      <c r="D25">
        <f t="shared" si="7"/>
        <v>602.22353900000007</v>
      </c>
      <c r="T25" s="10">
        <v>120</v>
      </c>
      <c r="U25" s="10">
        <f t="shared" si="8"/>
        <v>52.073080234068307</v>
      </c>
      <c r="V25" s="10">
        <f t="shared" si="9"/>
        <v>19.754864758116781</v>
      </c>
      <c r="W25" s="10">
        <f t="shared" si="10"/>
        <v>51.095977218839984</v>
      </c>
    </row>
    <row r="27" spans="1:23">
      <c r="A27" t="s">
        <v>70</v>
      </c>
      <c r="B27">
        <v>9.1127792339999996</v>
      </c>
      <c r="C27">
        <v>45.141240660000001</v>
      </c>
      <c r="D27">
        <f>C27*10</f>
        <v>451.4124066</v>
      </c>
    </row>
    <row r="28" spans="1:23">
      <c r="A28" t="s">
        <v>71</v>
      </c>
      <c r="B28">
        <v>7.16156828</v>
      </c>
      <c r="C28">
        <v>38.670468620000001</v>
      </c>
      <c r="D28">
        <f>C28*10</f>
        <v>386.70468620000003</v>
      </c>
      <c r="U28" s="76" t="s">
        <v>61</v>
      </c>
      <c r="V28" s="76"/>
      <c r="W28" s="76"/>
    </row>
    <row r="29" spans="1:23">
      <c r="A29" t="s">
        <v>72</v>
      </c>
      <c r="B29">
        <v>11.09626106</v>
      </c>
      <c r="C29">
        <v>44.3846852</v>
      </c>
      <c r="D29">
        <f>C29*10</f>
        <v>443.84685200000001</v>
      </c>
      <c r="U29">
        <v>0.25</v>
      </c>
      <c r="V29">
        <v>0.5</v>
      </c>
      <c r="W29">
        <v>1</v>
      </c>
    </row>
    <row r="30" spans="1:23">
      <c r="A30" t="s">
        <v>73</v>
      </c>
      <c r="B30">
        <v>2.1171025440000002</v>
      </c>
      <c r="C30">
        <v>10.92590635</v>
      </c>
      <c r="D30">
        <f>C30</f>
        <v>10.92590635</v>
      </c>
      <c r="T30">
        <v>0</v>
      </c>
      <c r="U30" s="10">
        <v>0</v>
      </c>
      <c r="V30" s="10">
        <v>0</v>
      </c>
      <c r="W30" s="10">
        <v>0</v>
      </c>
    </row>
    <row r="31" spans="1:23">
      <c r="A31" t="s">
        <v>74</v>
      </c>
      <c r="B31">
        <v>2.700748747</v>
      </c>
      <c r="C31">
        <v>7.7290511339999997</v>
      </c>
      <c r="D31">
        <f t="shared" ref="D31:D36" si="11">C31*10</f>
        <v>77.290511339999995</v>
      </c>
      <c r="T31">
        <v>20</v>
      </c>
      <c r="U31" s="10">
        <v>25.935492569190558</v>
      </c>
      <c r="V31" s="10">
        <v>10.555824850984175</v>
      </c>
      <c r="W31" s="10">
        <v>22.138875061379572</v>
      </c>
    </row>
    <row r="32" spans="1:23">
      <c r="A32" t="s">
        <v>75</v>
      </c>
      <c r="B32">
        <v>0.92050700529999996</v>
      </c>
      <c r="C32">
        <v>15.87347001</v>
      </c>
      <c r="D32">
        <f t="shared" si="11"/>
        <v>158.7347001</v>
      </c>
      <c r="T32">
        <v>40</v>
      </c>
      <c r="U32" s="10">
        <v>46.196752532921678</v>
      </c>
      <c r="V32" s="10">
        <v>52.888304477808482</v>
      </c>
      <c r="W32" s="10">
        <v>10.989434931614408</v>
      </c>
    </row>
    <row r="33" spans="1:23">
      <c r="A33" t="s">
        <v>76</v>
      </c>
      <c r="B33">
        <v>0.36822592040000002</v>
      </c>
      <c r="C33">
        <v>20.73043496</v>
      </c>
      <c r="D33">
        <f t="shared" si="11"/>
        <v>207.30434959999999</v>
      </c>
      <c r="T33">
        <v>60</v>
      </c>
      <c r="U33" s="10">
        <v>64.478202154662895</v>
      </c>
      <c r="V33" s="10">
        <v>17.999509924405388</v>
      </c>
      <c r="W33" s="10">
        <v>58.468423081259019</v>
      </c>
    </row>
    <row r="34" spans="1:23">
      <c r="A34" t="s">
        <v>77</v>
      </c>
      <c r="B34">
        <v>11.3568938</v>
      </c>
      <c r="C34">
        <v>39.24895411</v>
      </c>
      <c r="D34">
        <f t="shared" si="11"/>
        <v>392.4895411</v>
      </c>
      <c r="T34">
        <v>80</v>
      </c>
      <c r="U34" s="10">
        <v>111.33763783215754</v>
      </c>
      <c r="V34" s="10">
        <v>31.168055287493264</v>
      </c>
      <c r="W34" s="10">
        <v>29.628501064773893</v>
      </c>
    </row>
    <row r="35" spans="1:23">
      <c r="A35" t="s">
        <v>78</v>
      </c>
      <c r="B35">
        <v>8.2079609900000001</v>
      </c>
      <c r="C35">
        <v>42.096631709999997</v>
      </c>
      <c r="D35">
        <f t="shared" si="11"/>
        <v>420.96631709999997</v>
      </c>
      <c r="T35">
        <v>100</v>
      </c>
      <c r="U35" s="10">
        <v>41.227467776431062</v>
      </c>
      <c r="V35" s="10">
        <v>36.121268872352566</v>
      </c>
      <c r="W35" s="10">
        <v>47.474537248549254</v>
      </c>
    </row>
    <row r="36" spans="1:23">
      <c r="A36" t="s">
        <v>79</v>
      </c>
      <c r="B36">
        <v>0.1255360455</v>
      </c>
      <c r="C36">
        <v>52.051320420000003</v>
      </c>
      <c r="D36">
        <f t="shared" si="11"/>
        <v>520.51320420000002</v>
      </c>
      <c r="T36">
        <v>120</v>
      </c>
      <c r="U36" s="10">
        <v>52.073080234068307</v>
      </c>
      <c r="V36" s="10">
        <v>19.754864758116781</v>
      </c>
      <c r="W36" s="10">
        <v>51.095977218839984</v>
      </c>
    </row>
    <row r="37" spans="1:23">
      <c r="A37" t="s">
        <v>80</v>
      </c>
      <c r="B37">
        <v>2.4823608039999998</v>
      </c>
      <c r="C37">
        <v>10.172126049999999</v>
      </c>
      <c r="D37">
        <f>C37</f>
        <v>10.172126049999999</v>
      </c>
    </row>
    <row r="38" spans="1:23">
      <c r="A38" t="s">
        <v>81</v>
      </c>
      <c r="B38">
        <v>6.2760623190000002</v>
      </c>
      <c r="C38">
        <v>82.750504860000007</v>
      </c>
      <c r="D38">
        <f>C38</f>
        <v>82.750504860000007</v>
      </c>
    </row>
    <row r="39" spans="1:23">
      <c r="A39" t="s">
        <v>82</v>
      </c>
      <c r="B39">
        <v>1.5235529830000001</v>
      </c>
      <c r="C39">
        <v>11.466242530000001</v>
      </c>
      <c r="D39">
        <f t="shared" ref="D39:D50" si="12">C39*10</f>
        <v>114.66242530000001</v>
      </c>
    </row>
    <row r="40" spans="1:23">
      <c r="A40" t="s">
        <v>83</v>
      </c>
      <c r="B40">
        <v>1.4775248350000001</v>
      </c>
      <c r="C40">
        <v>13.85223096</v>
      </c>
      <c r="D40">
        <f t="shared" si="12"/>
        <v>138.5223096</v>
      </c>
    </row>
    <row r="41" spans="1:23">
      <c r="A41" t="s">
        <v>84</v>
      </c>
      <c r="B41">
        <v>12.665553859999999</v>
      </c>
      <c r="C41">
        <v>22.589806070000002</v>
      </c>
      <c r="D41">
        <f t="shared" si="12"/>
        <v>225.89806070000003</v>
      </c>
    </row>
    <row r="42" spans="1:23">
      <c r="A42" t="s">
        <v>85</v>
      </c>
      <c r="B42">
        <v>1.466729376</v>
      </c>
      <c r="C42">
        <v>13.845066879999999</v>
      </c>
      <c r="D42">
        <f t="shared" si="12"/>
        <v>138.45066879999999</v>
      </c>
    </row>
    <row r="43" spans="1:23">
      <c r="A43" t="s">
        <v>86</v>
      </c>
      <c r="B43">
        <v>0.61696054420000002</v>
      </c>
      <c r="C43">
        <v>21.62999958</v>
      </c>
      <c r="D43">
        <f t="shared" si="12"/>
        <v>216.2999958</v>
      </c>
    </row>
    <row r="44" spans="1:23">
      <c r="A44" t="s">
        <v>87</v>
      </c>
      <c r="B44">
        <v>8.819955577</v>
      </c>
      <c r="C44">
        <v>46.990004599999999</v>
      </c>
      <c r="D44">
        <f t="shared" si="12"/>
        <v>469.90004599999997</v>
      </c>
    </row>
    <row r="45" spans="1:23">
      <c r="A45" t="s">
        <v>88</v>
      </c>
      <c r="B45">
        <v>4.4629736449999999</v>
      </c>
      <c r="C45">
        <v>29.166866020000001</v>
      </c>
      <c r="D45">
        <f t="shared" si="12"/>
        <v>291.66866019999998</v>
      </c>
    </row>
    <row r="46" spans="1:23">
      <c r="A46" t="s">
        <v>89</v>
      </c>
      <c r="B46">
        <v>0.7029839376</v>
      </c>
      <c r="C46">
        <v>21.859422479999999</v>
      </c>
      <c r="D46">
        <f t="shared" si="12"/>
        <v>218.59422480000001</v>
      </c>
    </row>
    <row r="47" spans="1:23">
      <c r="A47" t="s">
        <v>90</v>
      </c>
      <c r="B47">
        <v>3.9200920190000001</v>
      </c>
      <c r="C47">
        <v>37.179426249999999</v>
      </c>
      <c r="D47">
        <f t="shared" si="12"/>
        <v>371.7942625</v>
      </c>
    </row>
    <row r="48" spans="1:23">
      <c r="A48" t="s">
        <v>91</v>
      </c>
      <c r="B48">
        <v>6.0942023020000002</v>
      </c>
      <c r="C48">
        <v>40.708490130000001</v>
      </c>
      <c r="D48">
        <f t="shared" si="12"/>
        <v>407.08490130000001</v>
      </c>
    </row>
    <row r="49" spans="1:4">
      <c r="A49" t="s">
        <v>92</v>
      </c>
      <c r="B49">
        <v>10.68944606</v>
      </c>
      <c r="C49">
        <v>43.478010320000003</v>
      </c>
      <c r="D49">
        <f t="shared" si="12"/>
        <v>434.78010320000004</v>
      </c>
    </row>
    <row r="50" spans="1:4">
      <c r="A50" t="s">
        <v>93</v>
      </c>
      <c r="B50">
        <v>12.41074105</v>
      </c>
      <c r="C50">
        <v>42.154146330000003</v>
      </c>
      <c r="D50">
        <f t="shared" si="12"/>
        <v>421.54146330000003</v>
      </c>
    </row>
    <row r="52" spans="1:4">
      <c r="A52" t="s">
        <v>94</v>
      </c>
      <c r="B52">
        <v>19.489768089999998</v>
      </c>
      <c r="C52">
        <v>40.362647930000001</v>
      </c>
      <c r="D52">
        <f>C52</f>
        <v>40.362647930000001</v>
      </c>
    </row>
    <row r="53" spans="1:4">
      <c r="A53" t="s">
        <v>95</v>
      </c>
      <c r="B53">
        <v>2.2492357520000001</v>
      </c>
      <c r="C53">
        <v>6.7018053399999999</v>
      </c>
      <c r="D53">
        <f t="shared" ref="D53:D58" si="13">C53*10</f>
        <v>67.018053399999999</v>
      </c>
    </row>
    <row r="54" spans="1:4">
      <c r="A54" t="s">
        <v>96</v>
      </c>
      <c r="B54">
        <v>1.192008615</v>
      </c>
      <c r="C54">
        <v>17.113593049999999</v>
      </c>
      <c r="D54">
        <f t="shared" si="13"/>
        <v>171.13593049999997</v>
      </c>
    </row>
    <row r="55" spans="1:4">
      <c r="A55" t="s">
        <v>97</v>
      </c>
      <c r="B55">
        <v>5.5550244769999999</v>
      </c>
      <c r="C55">
        <v>29.453246159999999</v>
      </c>
      <c r="D55">
        <f t="shared" si="13"/>
        <v>294.53246159999998</v>
      </c>
    </row>
    <row r="56" spans="1:4">
      <c r="A56" t="s">
        <v>98</v>
      </c>
      <c r="B56">
        <v>2.2285762849999999</v>
      </c>
      <c r="C56">
        <v>48.416933890000003</v>
      </c>
      <c r="D56">
        <f t="shared" si="13"/>
        <v>484.16933890000001</v>
      </c>
    </row>
    <row r="57" spans="1:4">
      <c r="A57" t="s">
        <v>99</v>
      </c>
      <c r="B57">
        <v>13.624534219999999</v>
      </c>
      <c r="C57">
        <v>61.476333619999998</v>
      </c>
      <c r="D57">
        <f t="shared" si="13"/>
        <v>614.76333620000003</v>
      </c>
    </row>
    <row r="58" spans="1:4">
      <c r="A58" t="s">
        <v>100</v>
      </c>
      <c r="B58">
        <v>8.1653430189999998</v>
      </c>
      <c r="C58">
        <v>72.461813250000006</v>
      </c>
      <c r="D58">
        <f t="shared" si="13"/>
        <v>724.6181325</v>
      </c>
    </row>
    <row r="59" spans="1:4">
      <c r="A59" t="s">
        <v>101</v>
      </c>
      <c r="B59">
        <v>1.048802445</v>
      </c>
      <c r="C59">
        <v>5.5584170899999998</v>
      </c>
      <c r="D59">
        <f>C59</f>
        <v>5.5584170899999998</v>
      </c>
    </row>
    <row r="60" spans="1:4">
      <c r="A60" t="s">
        <v>102</v>
      </c>
      <c r="B60">
        <v>0.82384761480000002</v>
      </c>
      <c r="C60">
        <v>10.8888777</v>
      </c>
      <c r="D60">
        <f t="shared" ref="D60:D65" si="14">C60*10</f>
        <v>108.888777</v>
      </c>
    </row>
    <row r="61" spans="1:4">
      <c r="A61" t="s">
        <v>103</v>
      </c>
      <c r="B61">
        <v>4.4487268090000001</v>
      </c>
      <c r="C61">
        <v>17.433254600000001</v>
      </c>
      <c r="D61">
        <f t="shared" si="14"/>
        <v>174.33254600000001</v>
      </c>
    </row>
    <row r="62" spans="1:4">
      <c r="A62" t="s">
        <v>104</v>
      </c>
      <c r="B62">
        <v>3.099411812</v>
      </c>
      <c r="C62">
        <v>39.894597930000003</v>
      </c>
      <c r="D62">
        <f t="shared" si="14"/>
        <v>398.94597930000003</v>
      </c>
    </row>
    <row r="63" spans="1:4">
      <c r="A63" t="s">
        <v>105</v>
      </c>
      <c r="B63">
        <v>15.259267879999999</v>
      </c>
      <c r="C63">
        <v>48.891878169999998</v>
      </c>
      <c r="D63">
        <f t="shared" si="14"/>
        <v>488.91878169999995</v>
      </c>
    </row>
    <row r="64" spans="1:4">
      <c r="A64" t="s">
        <v>106</v>
      </c>
      <c r="B64">
        <v>12.77606827</v>
      </c>
      <c r="C64">
        <v>50.26533448</v>
      </c>
      <c r="D64">
        <f t="shared" si="14"/>
        <v>502.65334480000001</v>
      </c>
    </row>
    <row r="65" spans="1:4">
      <c r="A65" t="s">
        <v>107</v>
      </c>
      <c r="B65">
        <v>15.11906177</v>
      </c>
      <c r="C65">
        <v>57.767137419999997</v>
      </c>
      <c r="D65">
        <f t="shared" si="14"/>
        <v>577.67137419999995</v>
      </c>
    </row>
    <row r="66" spans="1:4">
      <c r="A66" t="s">
        <v>108</v>
      </c>
      <c r="B66">
        <v>0.92542043220000003</v>
      </c>
      <c r="C66">
        <v>20.396458370000001</v>
      </c>
      <c r="D66">
        <f>C66</f>
        <v>20.396458370000001</v>
      </c>
    </row>
    <row r="67" spans="1:4">
      <c r="A67" t="s">
        <v>109</v>
      </c>
      <c r="B67">
        <v>5.2040460130000001</v>
      </c>
      <c r="C67">
        <v>3.515374504</v>
      </c>
      <c r="D67">
        <f t="shared" ref="D67:D72" si="15">C67*10</f>
        <v>35.153745039999997</v>
      </c>
    </row>
    <row r="68" spans="1:4">
      <c r="A68" t="s">
        <v>110</v>
      </c>
      <c r="B68">
        <v>1.514616604</v>
      </c>
      <c r="C68">
        <v>15.71458632</v>
      </c>
      <c r="D68">
        <f t="shared" si="15"/>
        <v>157.14586320000001</v>
      </c>
    </row>
    <row r="69" spans="1:4">
      <c r="A69" t="s">
        <v>111</v>
      </c>
      <c r="B69">
        <v>2.6417136029999999</v>
      </c>
      <c r="C69">
        <v>20.372005959999999</v>
      </c>
      <c r="D69">
        <f t="shared" si="15"/>
        <v>203.72005959999998</v>
      </c>
    </row>
    <row r="70" spans="1:4">
      <c r="A70" t="s">
        <v>112</v>
      </c>
      <c r="B70">
        <v>6.7018341530000001</v>
      </c>
      <c r="C70">
        <v>53.83456983</v>
      </c>
      <c r="D70">
        <f t="shared" si="15"/>
        <v>538.34569829999998</v>
      </c>
    </row>
    <row r="71" spans="1:4">
      <c r="A71" t="s">
        <v>113</v>
      </c>
      <c r="B71">
        <v>1.1154468959999999</v>
      </c>
      <c r="C71">
        <v>48.276716690000001</v>
      </c>
      <c r="D71">
        <f t="shared" si="15"/>
        <v>482.76716690000001</v>
      </c>
    </row>
    <row r="72" spans="1:4">
      <c r="A72" t="s">
        <v>114</v>
      </c>
      <c r="B72">
        <v>12.798361440000001</v>
      </c>
      <c r="C72">
        <v>53.950418880000001</v>
      </c>
      <c r="D72">
        <f t="shared" si="15"/>
        <v>539.50418880000007</v>
      </c>
    </row>
    <row r="73" spans="1:4">
      <c r="A73" t="s">
        <v>115</v>
      </c>
      <c r="B73">
        <v>1.157241315</v>
      </c>
      <c r="C73">
        <v>8.5703457390000004</v>
      </c>
      <c r="D73">
        <f t="shared" ref="D73:D78" si="16">C73</f>
        <v>8.5703457390000004</v>
      </c>
    </row>
    <row r="74" spans="1:4">
      <c r="A74" t="s">
        <v>116</v>
      </c>
      <c r="B74">
        <v>0.1782027373</v>
      </c>
      <c r="C74">
        <v>11.393937680000001</v>
      </c>
      <c r="D74">
        <f t="shared" si="16"/>
        <v>11.393937680000001</v>
      </c>
    </row>
    <row r="75" spans="1:4">
      <c r="A75" t="s">
        <v>117</v>
      </c>
      <c r="B75">
        <v>1.277660996</v>
      </c>
      <c r="C75">
        <v>12.09912055</v>
      </c>
      <c r="D75">
        <f t="shared" si="16"/>
        <v>12.09912055</v>
      </c>
    </row>
    <row r="76" spans="1:4">
      <c r="A76" t="s">
        <v>118</v>
      </c>
      <c r="B76">
        <v>4.2615024210000003</v>
      </c>
      <c r="C76">
        <v>9.6392648469999997</v>
      </c>
      <c r="D76">
        <f t="shared" si="16"/>
        <v>9.6392648469999997</v>
      </c>
    </row>
    <row r="77" spans="1:4">
      <c r="A77" t="s">
        <v>119</v>
      </c>
      <c r="B77">
        <v>0.25730527180000001</v>
      </c>
      <c r="C77">
        <v>14.328205730000001</v>
      </c>
      <c r="D77">
        <f t="shared" si="16"/>
        <v>14.328205730000001</v>
      </c>
    </row>
    <row r="78" spans="1:4">
      <c r="A78" t="s">
        <v>120</v>
      </c>
      <c r="B78">
        <v>2.444678905</v>
      </c>
      <c r="C78">
        <v>15.017094459999999</v>
      </c>
      <c r="D78">
        <f t="shared" si="16"/>
        <v>15.017094459999999</v>
      </c>
    </row>
  </sheetData>
  <mergeCells count="5">
    <mergeCell ref="H1:M1"/>
    <mergeCell ref="N1:S1"/>
    <mergeCell ref="T1:Y1"/>
    <mergeCell ref="U17:W17"/>
    <mergeCell ref="U28:W28"/>
  </mergeCells>
  <pageMargins left="0.7" right="0.7" top="0.75" bottom="0.75" header="0.3" footer="0.3"/>
  <pageSetup orientation="portrait" horizontalDpi="4294967292" verticalDpi="4294967292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C2E4B-128D-D84D-B764-EF6F5854068A}">
  <dimension ref="A1:S27"/>
  <sheetViews>
    <sheetView topLeftCell="AA11" zoomScale="116" zoomScaleNormal="100" workbookViewId="0">
      <selection activeCell="AC43" sqref="AC43"/>
    </sheetView>
  </sheetViews>
  <sheetFormatPr baseColWidth="10" defaultColWidth="8.83203125" defaultRowHeight="15"/>
  <cols>
    <col min="1" max="6" width="8.83203125" style="1"/>
    <col min="7" max="8" width="9.1640625" style="1" bestFit="1" customWidth="1"/>
    <col min="9" max="16384" width="8.83203125" style="1"/>
  </cols>
  <sheetData>
    <row r="1" spans="1:19">
      <c r="A1" s="1" t="s">
        <v>38</v>
      </c>
      <c r="B1" s="1" t="s">
        <v>37</v>
      </c>
      <c r="C1" s="1" t="s">
        <v>36</v>
      </c>
      <c r="E1" s="9" t="s">
        <v>35</v>
      </c>
      <c r="F1" s="8"/>
      <c r="G1" s="82">
        <v>0.25</v>
      </c>
      <c r="H1" s="82"/>
      <c r="I1" s="82"/>
      <c r="J1" s="82">
        <v>0.5</v>
      </c>
      <c r="K1" s="82"/>
      <c r="L1" s="82"/>
      <c r="M1" s="81" t="s">
        <v>34</v>
      </c>
      <c r="N1" s="81"/>
      <c r="O1" s="81"/>
      <c r="Q1" s="81" t="s">
        <v>33</v>
      </c>
      <c r="R1" s="81"/>
      <c r="S1" s="81"/>
    </row>
    <row r="2" spans="1:19">
      <c r="A2" s="1" t="s">
        <v>32</v>
      </c>
      <c r="B2" s="1">
        <v>1.6593842190000001</v>
      </c>
      <c r="C2" s="1" t="s">
        <v>29</v>
      </c>
      <c r="F2" s="8" t="s">
        <v>10</v>
      </c>
      <c r="G2" s="8" t="s">
        <v>22</v>
      </c>
      <c r="H2" s="8" t="s">
        <v>21</v>
      </c>
      <c r="I2" s="8" t="s">
        <v>20</v>
      </c>
      <c r="J2" s="8" t="s">
        <v>22</v>
      </c>
      <c r="K2" s="8" t="s">
        <v>21</v>
      </c>
      <c r="L2" s="8" t="s">
        <v>20</v>
      </c>
      <c r="M2" s="8" t="s">
        <v>22</v>
      </c>
      <c r="N2" s="8" t="s">
        <v>21</v>
      </c>
      <c r="O2" s="8" t="s">
        <v>20</v>
      </c>
      <c r="Q2" s="8" t="s">
        <v>22</v>
      </c>
      <c r="R2" s="8" t="s">
        <v>21</v>
      </c>
      <c r="S2" s="8" t="s">
        <v>20</v>
      </c>
    </row>
    <row r="3" spans="1:19">
      <c r="A3" s="1" t="s">
        <v>31</v>
      </c>
      <c r="B3" s="1">
        <v>0.52090321640000004</v>
      </c>
      <c r="C3" s="1" t="s">
        <v>29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Q3" s="6">
        <v>0</v>
      </c>
      <c r="R3" s="6">
        <v>0</v>
      </c>
      <c r="S3" s="6">
        <v>0</v>
      </c>
    </row>
    <row r="4" spans="1:19">
      <c r="A4" s="1" t="s">
        <v>30</v>
      </c>
      <c r="B4" s="1">
        <v>0.52785529399999997</v>
      </c>
      <c r="C4" s="1" t="s">
        <v>29</v>
      </c>
      <c r="F4" s="5">
        <v>1</v>
      </c>
      <c r="G4" s="6">
        <v>1.257115065</v>
      </c>
      <c r="H4" s="6">
        <v>1.2937481609999999</v>
      </c>
      <c r="I4" s="6">
        <v>1.3640257499999999</v>
      </c>
      <c r="J4" s="6">
        <v>2.7522710469999998</v>
      </c>
      <c r="K4" s="6">
        <v>2.7927119540000001</v>
      </c>
      <c r="L4" s="6">
        <v>2.9982844709999998</v>
      </c>
      <c r="M4" s="1">
        <f t="shared" ref="M4:O6" si="0">Q4*10</f>
        <v>101.73838930000001</v>
      </c>
      <c r="N4" s="1">
        <f t="shared" si="0"/>
        <v>100.51886440000001</v>
      </c>
      <c r="O4" s="1">
        <f t="shared" si="0"/>
        <v>105.45544380000001</v>
      </c>
      <c r="Q4" s="6">
        <v>10.173838930000001</v>
      </c>
      <c r="R4" s="6">
        <v>10.051886440000001</v>
      </c>
      <c r="S4" s="6">
        <v>10.545544380000001</v>
      </c>
    </row>
    <row r="5" spans="1:19">
      <c r="A5" s="1" t="s">
        <v>28</v>
      </c>
      <c r="B5" s="1">
        <v>2.793321073</v>
      </c>
      <c r="C5" s="1">
        <v>1.257115065</v>
      </c>
      <c r="F5" s="5">
        <v>5</v>
      </c>
      <c r="G5" s="6">
        <v>5.7671658729999997</v>
      </c>
      <c r="H5" s="6">
        <v>4.623997385</v>
      </c>
      <c r="I5" s="6">
        <v>5.4154341529999996</v>
      </c>
      <c r="J5" s="6">
        <v>9.4854878960000004</v>
      </c>
      <c r="K5" s="6">
        <v>10.6915516</v>
      </c>
      <c r="L5" s="6">
        <v>9.3483389310000007</v>
      </c>
      <c r="M5" s="1">
        <f t="shared" si="0"/>
        <v>198.1313644</v>
      </c>
      <c r="N5" s="1">
        <f t="shared" si="0"/>
        <v>201.77885459999999</v>
      </c>
      <c r="O5" s="1">
        <f t="shared" si="0"/>
        <v>238.7484316</v>
      </c>
      <c r="Q5" s="6">
        <v>19.813136440000001</v>
      </c>
      <c r="R5" s="1">
        <v>20.177885459999999</v>
      </c>
      <c r="S5" s="6">
        <v>23.874843160000001</v>
      </c>
    </row>
    <row r="6" spans="1:19">
      <c r="A6" s="1" t="s">
        <v>27</v>
      </c>
      <c r="B6" s="1">
        <v>0.62782414590000002</v>
      </c>
      <c r="C6" s="1">
        <v>5.7671658729999997</v>
      </c>
      <c r="F6" s="5">
        <v>10</v>
      </c>
      <c r="G6" s="6">
        <v>9.1529442139999997</v>
      </c>
      <c r="H6" s="6">
        <v>10.17199493</v>
      </c>
      <c r="I6" s="6">
        <v>10.732166960000001</v>
      </c>
      <c r="J6" s="6">
        <v>19.46168372</v>
      </c>
      <c r="K6" s="6">
        <v>19.943236880000001</v>
      </c>
      <c r="L6" s="6">
        <v>19.139336709999998</v>
      </c>
      <c r="M6" s="1">
        <f t="shared" si="0"/>
        <v>301.97708410000001</v>
      </c>
      <c r="N6" s="1">
        <f t="shared" si="0"/>
        <v>318.15284760000003</v>
      </c>
      <c r="O6" s="1">
        <f t="shared" si="0"/>
        <v>344.90196809999998</v>
      </c>
      <c r="Q6" s="6">
        <v>30.197708410000001</v>
      </c>
      <c r="R6" s="6">
        <v>31.815284760000001</v>
      </c>
      <c r="S6" s="6">
        <v>34.49019681</v>
      </c>
    </row>
    <row r="7" spans="1:19">
      <c r="A7" s="1" t="s">
        <v>26</v>
      </c>
      <c r="B7" s="1">
        <v>0.52518783930000001</v>
      </c>
      <c r="C7" s="1">
        <v>9.1529442139999997</v>
      </c>
      <c r="F7" s="6"/>
      <c r="G7" s="6"/>
      <c r="H7" s="6"/>
      <c r="I7" s="6"/>
      <c r="J7" s="6"/>
      <c r="K7" s="6"/>
      <c r="L7" s="6"/>
    </row>
    <row r="8" spans="1:19">
      <c r="A8" s="1" t="s">
        <v>25</v>
      </c>
      <c r="B8" s="1">
        <v>1.974855147</v>
      </c>
      <c r="C8" s="1">
        <v>1.2937481609999999</v>
      </c>
      <c r="E8" s="1" t="s">
        <v>24</v>
      </c>
      <c r="F8" s="8"/>
      <c r="G8" s="82">
        <v>0.25</v>
      </c>
      <c r="H8" s="82"/>
      <c r="I8" s="82"/>
      <c r="J8" s="82">
        <v>0.5</v>
      </c>
      <c r="K8" s="82"/>
      <c r="L8" s="82"/>
      <c r="M8" s="81">
        <v>1</v>
      </c>
      <c r="N8" s="81"/>
      <c r="O8" s="81"/>
    </row>
    <row r="9" spans="1:19">
      <c r="A9" s="1" t="s">
        <v>23</v>
      </c>
      <c r="B9" s="1">
        <v>0.84964242840000004</v>
      </c>
      <c r="C9" s="1">
        <v>4.623997385</v>
      </c>
      <c r="F9" s="8" t="s">
        <v>10</v>
      </c>
      <c r="G9" s="8" t="s">
        <v>22</v>
      </c>
      <c r="H9" s="8" t="s">
        <v>21</v>
      </c>
      <c r="I9" s="8" t="s">
        <v>20</v>
      </c>
      <c r="J9" s="8" t="s">
        <v>22</v>
      </c>
      <c r="K9" s="8" t="s">
        <v>21</v>
      </c>
      <c r="L9" s="8" t="s">
        <v>20</v>
      </c>
      <c r="M9" s="8" t="s">
        <v>22</v>
      </c>
      <c r="N9" s="8" t="s">
        <v>21</v>
      </c>
      <c r="O9" s="8" t="s">
        <v>20</v>
      </c>
    </row>
    <row r="10" spans="1:19">
      <c r="A10" s="1" t="s">
        <v>19</v>
      </c>
      <c r="B10" s="1">
        <v>0.28552154419999998</v>
      </c>
      <c r="C10" s="1">
        <v>10.17199493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1">
        <v>0</v>
      </c>
      <c r="N10" s="1">
        <v>0</v>
      </c>
      <c r="O10" s="1">
        <v>0</v>
      </c>
    </row>
    <row r="11" spans="1:19">
      <c r="A11" s="1" t="s">
        <v>18</v>
      </c>
      <c r="B11" s="1">
        <v>1.3835915329999999</v>
      </c>
      <c r="C11" s="1">
        <v>1.3640257499999999</v>
      </c>
      <c r="F11" s="5">
        <v>1</v>
      </c>
      <c r="G11" s="6">
        <f t="shared" ref="G11:L13" si="1">G4*10</f>
        <v>12.57115065</v>
      </c>
      <c r="H11" s="6">
        <f t="shared" si="1"/>
        <v>12.937481609999999</v>
      </c>
      <c r="I11" s="6">
        <f t="shared" si="1"/>
        <v>13.640257499999999</v>
      </c>
      <c r="J11" s="6">
        <f t="shared" si="1"/>
        <v>27.52271047</v>
      </c>
      <c r="K11" s="6">
        <f t="shared" si="1"/>
        <v>27.92711954</v>
      </c>
      <c r="L11" s="6">
        <f t="shared" si="1"/>
        <v>29.982844709999998</v>
      </c>
      <c r="M11" s="2">
        <v>101.73838929999999</v>
      </c>
      <c r="N11" s="2">
        <v>100.5188644</v>
      </c>
      <c r="O11" s="2">
        <v>105.4554438</v>
      </c>
    </row>
    <row r="12" spans="1:19">
      <c r="A12" s="1" t="s">
        <v>17</v>
      </c>
      <c r="B12" s="1">
        <v>1.222737851</v>
      </c>
      <c r="C12" s="1">
        <v>5.4154341529999996</v>
      </c>
      <c r="F12" s="5">
        <v>5</v>
      </c>
      <c r="G12" s="6">
        <f t="shared" si="1"/>
        <v>57.671658729999997</v>
      </c>
      <c r="H12" s="6">
        <f t="shared" si="1"/>
        <v>46.239973849999998</v>
      </c>
      <c r="I12" s="6">
        <f t="shared" si="1"/>
        <v>54.154341529999996</v>
      </c>
      <c r="J12" s="6">
        <f t="shared" si="1"/>
        <v>94.854878960000008</v>
      </c>
      <c r="K12" s="6">
        <f t="shared" si="1"/>
        <v>106.915516</v>
      </c>
      <c r="L12" s="6">
        <f t="shared" si="1"/>
        <v>93.483389310000007</v>
      </c>
      <c r="M12" s="2">
        <v>198.1313644</v>
      </c>
      <c r="N12" s="2">
        <v>201.77885459999999</v>
      </c>
      <c r="O12" s="2">
        <v>238.7484316</v>
      </c>
    </row>
    <row r="13" spans="1:19">
      <c r="A13" s="1" t="s">
        <v>16</v>
      </c>
      <c r="B13" s="1">
        <v>40.067100150000002</v>
      </c>
      <c r="C13" s="1">
        <v>10.732166960000001</v>
      </c>
      <c r="F13" s="5">
        <v>10</v>
      </c>
      <c r="G13" s="6">
        <f t="shared" si="1"/>
        <v>91.52944214</v>
      </c>
      <c r="H13" s="6">
        <f t="shared" si="1"/>
        <v>101.7199493</v>
      </c>
      <c r="I13" s="6">
        <f t="shared" si="1"/>
        <v>107.32166960000001</v>
      </c>
      <c r="J13" s="6">
        <f t="shared" si="1"/>
        <v>194.61683719999999</v>
      </c>
      <c r="K13" s="6">
        <f t="shared" si="1"/>
        <v>199.43236880000001</v>
      </c>
      <c r="L13" s="6">
        <f t="shared" si="1"/>
        <v>191.39336709999998</v>
      </c>
      <c r="M13" s="2">
        <v>301.97708410000001</v>
      </c>
      <c r="N13" s="2">
        <v>318.15284759999997</v>
      </c>
      <c r="O13" s="2">
        <v>344.90196809999998</v>
      </c>
    </row>
    <row r="14" spans="1:19">
      <c r="A14" s="1" t="s">
        <v>15</v>
      </c>
      <c r="B14" s="1">
        <v>0.57103948599999999</v>
      </c>
      <c r="C14" s="1">
        <v>10.05883257</v>
      </c>
    </row>
    <row r="15" spans="1:19">
      <c r="A15" s="1" t="s">
        <v>14</v>
      </c>
      <c r="B15" s="1">
        <v>1.3172625520000001</v>
      </c>
      <c r="C15" s="1">
        <v>2.7522710469999998</v>
      </c>
    </row>
    <row r="16" spans="1:19">
      <c r="A16" s="1" t="s">
        <v>13</v>
      </c>
      <c r="B16" s="1">
        <v>0.9311767782</v>
      </c>
      <c r="C16" s="1">
        <v>9.4854878960000004</v>
      </c>
      <c r="F16" s="81" t="s">
        <v>12</v>
      </c>
      <c r="G16" s="81"/>
      <c r="H16" s="81"/>
    </row>
    <row r="17" spans="1:12">
      <c r="A17" s="1" t="s">
        <v>11</v>
      </c>
      <c r="B17" s="1">
        <v>1.264298234</v>
      </c>
      <c r="C17" s="1">
        <v>19.46168372</v>
      </c>
      <c r="F17" s="8" t="s">
        <v>10</v>
      </c>
      <c r="G17" s="7">
        <v>0.25</v>
      </c>
      <c r="H17" s="7">
        <v>0.5</v>
      </c>
      <c r="I17" s="6">
        <v>1</v>
      </c>
      <c r="J17" s="4" t="s">
        <v>3</v>
      </c>
      <c r="K17" s="1" t="s">
        <v>2</v>
      </c>
      <c r="L17" s="1" t="s">
        <v>1</v>
      </c>
    </row>
    <row r="18" spans="1:12">
      <c r="A18" s="1" t="s">
        <v>9</v>
      </c>
      <c r="B18" s="1">
        <v>0.29882235620000003</v>
      </c>
      <c r="C18" s="1">
        <v>2.7927119540000001</v>
      </c>
      <c r="F18" s="6">
        <v>0</v>
      </c>
      <c r="G18" s="6">
        <v>0</v>
      </c>
      <c r="H18" s="6">
        <v>0</v>
      </c>
      <c r="I18" s="6">
        <v>0</v>
      </c>
      <c r="J18" s="4">
        <f>(STDEV(G10:I10))/(SQRT(COUNT(G10:I10)))</f>
        <v>0</v>
      </c>
      <c r="K18" s="1">
        <f>(STDEV(J10:L10))/(SQRT(COUNT(J10:L10)))</f>
        <v>0</v>
      </c>
      <c r="L18" s="1">
        <f>(STDEV(M10:O10))/(SQRT(COUNT(M10:O10)))</f>
        <v>0</v>
      </c>
    </row>
    <row r="19" spans="1:12">
      <c r="A19" s="1" t="s">
        <v>8</v>
      </c>
      <c r="B19" s="1">
        <v>0.25305665309999997</v>
      </c>
      <c r="C19" s="1">
        <v>10.6915516</v>
      </c>
      <c r="F19" s="5">
        <v>1</v>
      </c>
      <c r="G19" s="5">
        <f>(G11+H11+I11)/COUNT(G11:I11)</f>
        <v>13.049629919999999</v>
      </c>
      <c r="H19" s="5">
        <f>(J11+K11+L11)/COUNT(J11:L11)</f>
        <v>28.477558239999997</v>
      </c>
      <c r="I19" s="1">
        <f>AVERAGE(M4:O4)</f>
        <v>102.57089916666668</v>
      </c>
      <c r="J19" s="4">
        <f>(STDEV(G11:I11))/(SQRT(COUNT(G11:I11)))</f>
        <v>0.31367727404458351</v>
      </c>
      <c r="K19" s="1">
        <f>(STDEV(J11:L11))/(SQRT(COUNT(J11:L11)))</f>
        <v>0.76164344053902289</v>
      </c>
      <c r="L19" s="1">
        <f>(STDEV(M11:O11))/(SQRT(COUNT(M11:O11)))</f>
        <v>1.4846165107190818</v>
      </c>
    </row>
    <row r="20" spans="1:12">
      <c r="A20" s="1" t="s">
        <v>7</v>
      </c>
      <c r="B20" s="1">
        <v>2.101630557</v>
      </c>
      <c r="C20" s="1">
        <v>19.943236880000001</v>
      </c>
      <c r="F20" s="5">
        <v>5</v>
      </c>
      <c r="G20" s="5">
        <f>(G12+H12+I12)/COUNT(G12:I12)</f>
        <v>52.688658036666673</v>
      </c>
      <c r="H20" s="5">
        <f>(J12+K12+L12)/COUNT(J12:L12)</f>
        <v>98.41792808999999</v>
      </c>
      <c r="I20" s="1">
        <f>AVERAGE(M5:O5)</f>
        <v>212.88621686666667</v>
      </c>
      <c r="J20" s="4">
        <f>(STDEV(G12:I12))/(SQRT(COUNT(G12:I12)))</f>
        <v>3.380435172966024</v>
      </c>
      <c r="K20" s="1">
        <f>(STDEV(J12:L12))/(SQRT(COUNT(J12:L12)))</f>
        <v>4.2672003382837884</v>
      </c>
      <c r="L20" s="1">
        <f>(STDEV(M12:O12))/(SQRT(COUNT(M12:O12)))</f>
        <v>12.973905340779972</v>
      </c>
    </row>
    <row r="21" spans="1:12">
      <c r="A21" s="1" t="s">
        <v>6</v>
      </c>
      <c r="B21" s="1">
        <v>35.735839579999997</v>
      </c>
      <c r="C21" s="1">
        <v>2.9982844709999998</v>
      </c>
      <c r="F21" s="5">
        <v>10</v>
      </c>
      <c r="G21" s="5">
        <f>(G13+H13+I13)/COUNT(G13:I13)</f>
        <v>100.19035368</v>
      </c>
      <c r="H21" s="5">
        <f>(J13+K13+L13)/COUNT(J13:L13)</f>
        <v>195.14752436666666</v>
      </c>
      <c r="I21" s="1">
        <f>AVERAGE(M6:O6)</f>
        <v>321.67729993333336</v>
      </c>
      <c r="J21" s="4">
        <f>(STDEV(G13:I13))/(SQRT(COUNT(G13:I13)))</f>
        <v>4.6225302994369128</v>
      </c>
      <c r="K21" s="1">
        <f>(STDEV(J13:L13))/(SQRT(COUNT(J13:L13)))</f>
        <v>2.3357802932353144</v>
      </c>
      <c r="L21" s="1">
        <f>(STDEV(M13:O13))/(SQRT(COUNT(M13:O13)))</f>
        <v>12.516026256907814</v>
      </c>
    </row>
    <row r="22" spans="1:12">
      <c r="A22" s="1" t="s">
        <v>5</v>
      </c>
      <c r="B22" s="1">
        <v>0.58591850140000001</v>
      </c>
      <c r="C22" s="1">
        <v>9.3483389310000007</v>
      </c>
    </row>
    <row r="23" spans="1:12">
      <c r="A23" s="1" t="s">
        <v>4</v>
      </c>
      <c r="B23" s="1">
        <v>5.3678647230000003</v>
      </c>
      <c r="C23" s="1">
        <v>19.139336709999998</v>
      </c>
      <c r="J23" s="1" t="s">
        <v>3</v>
      </c>
      <c r="K23" s="1" t="s">
        <v>2</v>
      </c>
      <c r="L23" s="1" t="s">
        <v>1</v>
      </c>
    </row>
    <row r="24" spans="1:12">
      <c r="A24" s="1" t="s">
        <v>0</v>
      </c>
      <c r="B24" s="1">
        <v>0.20186759530000001</v>
      </c>
      <c r="C24" s="1">
        <v>10.22791007</v>
      </c>
      <c r="J24" s="1">
        <v>0</v>
      </c>
      <c r="K24" s="1">
        <v>0</v>
      </c>
      <c r="L24" s="1">
        <v>0</v>
      </c>
    </row>
    <row r="25" spans="1:12">
      <c r="J25" s="3">
        <v>0.31367727400000001</v>
      </c>
      <c r="K25" s="2">
        <v>0.76164344100000003</v>
      </c>
      <c r="L25" s="2">
        <v>1.484616511</v>
      </c>
    </row>
    <row r="26" spans="1:12">
      <c r="J26" s="3">
        <v>3.380435173</v>
      </c>
      <c r="K26" s="2">
        <v>4.2672003380000003</v>
      </c>
      <c r="L26" s="2">
        <v>12.97390534</v>
      </c>
    </row>
    <row r="27" spans="1:12">
      <c r="J27" s="3">
        <v>4.6225302990000001</v>
      </c>
      <c r="K27" s="2">
        <v>2.335780293</v>
      </c>
      <c r="L27" s="2">
        <v>12.51602626</v>
      </c>
    </row>
  </sheetData>
  <mergeCells count="8">
    <mergeCell ref="Q1:S1"/>
    <mergeCell ref="F16:H16"/>
    <mergeCell ref="G8:I8"/>
    <mergeCell ref="J8:L8"/>
    <mergeCell ref="G1:I1"/>
    <mergeCell ref="J1:L1"/>
    <mergeCell ref="M1:O1"/>
    <mergeCell ref="M8:O8"/>
  </mergeCells>
  <pageMargins left="0.7" right="0.7" top="0.75" bottom="0.75" header="0.3" footer="0.3"/>
  <pageSetup orientation="portrait" horizontalDpi="4294967293" verticalDpi="429496729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E3F0B-971B-BC48-8656-385D3A8C66D2}">
  <dimension ref="A1:F21"/>
  <sheetViews>
    <sheetView zoomScale="150" workbookViewId="0">
      <selection activeCell="F22" sqref="F22"/>
    </sheetView>
  </sheetViews>
  <sheetFormatPr baseColWidth="10" defaultColWidth="8.83203125" defaultRowHeight="15"/>
  <cols>
    <col min="1" max="4" width="8.83203125" style="1"/>
    <col min="5" max="5" width="12" style="1" bestFit="1" customWidth="1"/>
    <col min="6" max="16384" width="8.83203125" style="1"/>
  </cols>
  <sheetData>
    <row r="1" spans="1:6">
      <c r="A1" s="70" t="s">
        <v>493</v>
      </c>
    </row>
    <row r="2" spans="1:6">
      <c r="A2" s="1" t="s">
        <v>491</v>
      </c>
      <c r="B2" s="1" t="s">
        <v>22</v>
      </c>
      <c r="C2" s="1" t="s">
        <v>21</v>
      </c>
      <c r="D2" s="1" t="s">
        <v>20</v>
      </c>
      <c r="E2" s="1" t="s">
        <v>42</v>
      </c>
      <c r="F2" s="1" t="s">
        <v>276</v>
      </c>
    </row>
    <row r="3" spans="1:6">
      <c r="A3" s="1">
        <v>0</v>
      </c>
      <c r="B3" s="1">
        <v>0</v>
      </c>
      <c r="C3" s="71">
        <v>0</v>
      </c>
      <c r="D3" s="71">
        <v>0</v>
      </c>
      <c r="E3" s="1">
        <v>0</v>
      </c>
      <c r="F3" s="1">
        <v>0</v>
      </c>
    </row>
    <row r="4" spans="1:6">
      <c r="A4" s="1">
        <v>5</v>
      </c>
      <c r="B4" s="1">
        <v>165.48</v>
      </c>
      <c r="C4" s="71">
        <v>115.705235</v>
      </c>
      <c r="D4" s="72">
        <v>78.794087050880094</v>
      </c>
      <c r="E4" s="1">
        <f>AVERAGE(B4:D4)</f>
        <v>119.99310735029336</v>
      </c>
      <c r="F4" s="1">
        <f>STDEV(B4:D4)/SQRT(3)</f>
        <v>25.115740502222295</v>
      </c>
    </row>
    <row r="5" spans="1:6">
      <c r="A5" s="1">
        <v>10</v>
      </c>
      <c r="B5" s="1">
        <v>330.5</v>
      </c>
      <c r="C5" s="71">
        <v>216.37810883605701</v>
      </c>
      <c r="D5" s="72">
        <v>166.91059992235799</v>
      </c>
      <c r="E5" s="1">
        <f t="shared" ref="E5:E6" si="0">AVERAGE(B5:D5)</f>
        <v>237.92956958613831</v>
      </c>
      <c r="F5" s="1">
        <f t="shared" ref="F5" si="1">STDEV(B5:D5)/SQRT(3)</f>
        <v>48.438008663264419</v>
      </c>
    </row>
    <row r="6" spans="1:6">
      <c r="A6" s="1">
        <v>20</v>
      </c>
      <c r="B6" s="1">
        <v>444.52</v>
      </c>
      <c r="C6" s="71">
        <v>187.47674314249599</v>
      </c>
      <c r="D6" s="72">
        <v>284.12533996120499</v>
      </c>
      <c r="E6" s="1">
        <f t="shared" si="0"/>
        <v>305.37402770123362</v>
      </c>
      <c r="F6" s="1">
        <f>STDEV(B6:D6)/SQRT(3)</f>
        <v>74.958742034053088</v>
      </c>
    </row>
    <row r="7" spans="1:6">
      <c r="A7" s="1">
        <v>30</v>
      </c>
      <c r="B7" s="1">
        <v>478.93</v>
      </c>
      <c r="C7" s="71">
        <v>299.16289406957998</v>
      </c>
      <c r="D7" s="72">
        <v>338.03157662512598</v>
      </c>
      <c r="E7" s="1">
        <f>AVERAGE(B7:D7)</f>
        <v>372.04149023156862</v>
      </c>
      <c r="F7" s="1">
        <f>STDEV(B7:D7)/SQRT(3)</f>
        <v>54.609397119567966</v>
      </c>
    </row>
    <row r="9" spans="1:6">
      <c r="A9" s="70" t="s">
        <v>494</v>
      </c>
    </row>
    <row r="10" spans="1:6">
      <c r="A10" s="1" t="s">
        <v>491</v>
      </c>
      <c r="B10" s="1" t="s">
        <v>22</v>
      </c>
      <c r="C10" s="1" t="s">
        <v>21</v>
      </c>
      <c r="D10" s="1" t="s">
        <v>20</v>
      </c>
      <c r="E10" s="1" t="s">
        <v>42</v>
      </c>
      <c r="F10" s="1" t="s">
        <v>276</v>
      </c>
    </row>
    <row r="11" spans="1:6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</row>
    <row r="12" spans="1:6">
      <c r="A12" s="1">
        <v>5</v>
      </c>
      <c r="B12" s="1">
        <v>33.926000000000002</v>
      </c>
      <c r="C12" s="73">
        <v>49.7610315897712</v>
      </c>
      <c r="D12" s="73">
        <v>29.458976129606501</v>
      </c>
      <c r="E12" s="1">
        <f>AVERAGE(B12:D12)</f>
        <v>37.715335906459238</v>
      </c>
      <c r="F12" s="1">
        <f>STDEV(B12:D12)/SQRT(3)</f>
        <v>6.1593469333441133</v>
      </c>
    </row>
    <row r="13" spans="1:6">
      <c r="A13" s="1">
        <v>10</v>
      </c>
      <c r="B13" s="1">
        <v>60.308999999999997</v>
      </c>
      <c r="C13" s="73">
        <v>85.155616170711596</v>
      </c>
      <c r="D13" s="73">
        <v>66.520537376808207</v>
      </c>
      <c r="E13" s="1">
        <f t="shared" ref="E13:E15" si="2">AVERAGE(B13:D13)</f>
        <v>70.661717849173272</v>
      </c>
      <c r="F13" s="1">
        <f t="shared" ref="F13:F14" si="3">STDEV(B13:D13)/SQRT(3)</f>
        <v>7.4654898379630437</v>
      </c>
    </row>
    <row r="14" spans="1:6">
      <c r="A14" s="1">
        <v>20</v>
      </c>
      <c r="B14" s="1">
        <v>107.565</v>
      </c>
      <c r="C14" s="73">
        <v>175.485609103835</v>
      </c>
      <c r="D14" s="73">
        <v>128.611866589746</v>
      </c>
      <c r="E14" s="1">
        <f t="shared" si="2"/>
        <v>137.22082523119366</v>
      </c>
      <c r="F14" s="1">
        <f t="shared" si="3"/>
        <v>20.073929294208192</v>
      </c>
    </row>
    <row r="15" spans="1:6">
      <c r="A15" s="1">
        <v>30</v>
      </c>
      <c r="B15" s="1">
        <v>150.65799999999999</v>
      </c>
      <c r="C15" s="73">
        <v>245.65457475696201</v>
      </c>
      <c r="D15" s="73">
        <v>201.98692130462101</v>
      </c>
      <c r="E15" s="1">
        <f t="shared" si="2"/>
        <v>199.433165353861</v>
      </c>
      <c r="F15" s="1">
        <f>STDEV(B15:D15)/SQRT(3)</f>
        <v>27.452859935902296</v>
      </c>
    </row>
    <row r="17" spans="1:1">
      <c r="A17" s="70"/>
    </row>
    <row r="21" spans="1:1">
      <c r="A21" s="1" t="s">
        <v>495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44FD8-FAF8-3947-BA89-748328407951}">
  <dimension ref="A1:Q19"/>
  <sheetViews>
    <sheetView tabSelected="1" topLeftCell="F7" zoomScale="156" zoomScaleNormal="85" workbookViewId="0">
      <selection activeCell="Q19" sqref="Q19"/>
    </sheetView>
  </sheetViews>
  <sheetFormatPr baseColWidth="10" defaultColWidth="8.83203125" defaultRowHeight="15"/>
  <cols>
    <col min="1" max="1" width="13.5" style="1" bestFit="1" customWidth="1"/>
    <col min="2" max="2" width="13.83203125" style="1" bestFit="1" customWidth="1"/>
    <col min="3" max="3" width="13.1640625" style="1" bestFit="1" customWidth="1"/>
    <col min="4" max="4" width="13.6640625" style="1" bestFit="1" customWidth="1"/>
    <col min="5" max="11" width="8.83203125" style="1"/>
    <col min="12" max="12" width="12" style="1" bestFit="1" customWidth="1"/>
    <col min="13" max="16384" width="8.83203125" style="1"/>
  </cols>
  <sheetData>
    <row r="1" spans="1:12">
      <c r="A1" s="1" t="s">
        <v>38</v>
      </c>
      <c r="B1" s="1" t="s">
        <v>37</v>
      </c>
      <c r="C1" s="1" t="s">
        <v>36</v>
      </c>
      <c r="D1" s="1" t="s">
        <v>464</v>
      </c>
      <c r="F1" s="1" t="s">
        <v>465</v>
      </c>
      <c r="G1" s="1" t="s">
        <v>466</v>
      </c>
      <c r="H1" s="1" t="s">
        <v>467</v>
      </c>
      <c r="I1" s="1" t="s">
        <v>468</v>
      </c>
      <c r="J1" s="1" t="s">
        <v>469</v>
      </c>
      <c r="K1" s="1" t="s">
        <v>470</v>
      </c>
      <c r="L1" s="1" t="s">
        <v>471</v>
      </c>
    </row>
    <row r="2" spans="1:12">
      <c r="A2" s="1" t="s">
        <v>472</v>
      </c>
      <c r="B2" s="1">
        <v>1.0859639780000001</v>
      </c>
      <c r="C2" s="1">
        <v>2.4624817019999998</v>
      </c>
      <c r="D2" s="1">
        <f>C2*10</f>
        <v>24.624817019999998</v>
      </c>
      <c r="G2" s="1">
        <v>0</v>
      </c>
      <c r="K2" s="1">
        <v>0</v>
      </c>
    </row>
    <row r="3" spans="1:12">
      <c r="A3" s="69" t="s">
        <v>473</v>
      </c>
      <c r="B3" s="69">
        <v>39.626869229999997</v>
      </c>
      <c r="C3" s="69">
        <v>-4.2780231200000001E-3</v>
      </c>
      <c r="D3" s="69">
        <f t="shared" ref="D3:D19" si="0">C3*10</f>
        <v>-4.2780231200000005E-2</v>
      </c>
      <c r="F3" s="1">
        <v>2.5</v>
      </c>
      <c r="G3" s="1">
        <v>5</v>
      </c>
      <c r="H3" s="1">
        <v>24.62</v>
      </c>
      <c r="I3" s="1">
        <v>7.5209999999999999</v>
      </c>
      <c r="J3" s="1">
        <v>33.75</v>
      </c>
      <c r="K3" s="1">
        <f>AVERAGE(H3:J3)</f>
        <v>21.963666666666665</v>
      </c>
      <c r="L3" s="1">
        <f>STDEV(H3:J3)/SQRT(2)</f>
        <v>9.4149399980385819</v>
      </c>
    </row>
    <row r="4" spans="1:12">
      <c r="A4" s="1" t="s">
        <v>474</v>
      </c>
      <c r="B4" s="1">
        <v>0.86700244599999998</v>
      </c>
      <c r="C4" s="1">
        <v>3.37487921</v>
      </c>
      <c r="D4" s="1">
        <f t="shared" si="0"/>
        <v>33.748792100000003</v>
      </c>
      <c r="F4" s="1">
        <v>2.5</v>
      </c>
      <c r="G4" s="1">
        <v>10</v>
      </c>
      <c r="H4" s="1">
        <v>68.150000000000006</v>
      </c>
      <c r="I4" s="1">
        <v>68.25</v>
      </c>
      <c r="J4" s="1">
        <v>73.569999999999993</v>
      </c>
      <c r="K4" s="1">
        <f t="shared" ref="K4:K8" si="1">AVERAGE(H4:J4)</f>
        <v>69.989999999999995</v>
      </c>
      <c r="L4" s="1">
        <f>STDEV(H4:J4)/SQRT(3)</f>
        <v>1.7902327595408709</v>
      </c>
    </row>
    <row r="5" spans="1:12">
      <c r="A5" s="1" t="s">
        <v>475</v>
      </c>
      <c r="B5" s="1">
        <v>2.5851470870000002</v>
      </c>
      <c r="C5" s="1">
        <v>6.8148690470000002</v>
      </c>
      <c r="D5" s="1">
        <f t="shared" si="0"/>
        <v>68.148690470000005</v>
      </c>
      <c r="F5" s="1">
        <v>5</v>
      </c>
      <c r="G5" s="1">
        <v>5</v>
      </c>
      <c r="H5" s="1">
        <v>10.113</v>
      </c>
      <c r="I5" s="1">
        <v>168.38800000000001</v>
      </c>
      <c r="J5" s="1">
        <v>67.891999999999996</v>
      </c>
      <c r="L5" s="1">
        <f>STDEV(H5:J5)/SQRT(3)</f>
        <v>46.24141630976861</v>
      </c>
    </row>
    <row r="6" spans="1:12">
      <c r="A6" s="1" t="s">
        <v>476</v>
      </c>
      <c r="B6" s="1">
        <v>0.73111402950000004</v>
      </c>
      <c r="C6" s="1">
        <v>6.8253261639999998</v>
      </c>
      <c r="D6" s="1">
        <f t="shared" si="0"/>
        <v>68.253261640000005</v>
      </c>
      <c r="F6" s="1">
        <v>5</v>
      </c>
      <c r="G6" s="1">
        <v>10</v>
      </c>
      <c r="H6" s="1">
        <v>83.6</v>
      </c>
      <c r="I6" s="1">
        <v>74.27</v>
      </c>
      <c r="J6" s="1">
        <v>72.540000000000006</v>
      </c>
      <c r="K6" s="1">
        <f t="shared" si="1"/>
        <v>76.803333333333342</v>
      </c>
      <c r="L6" s="1">
        <f t="shared" ref="L6:L8" si="2">STDEV(H6:J6)/SQRT(3)</f>
        <v>3.4348330058065066</v>
      </c>
    </row>
    <row r="7" spans="1:12">
      <c r="A7" s="1" t="s">
        <v>477</v>
      </c>
      <c r="B7" s="1">
        <v>1.998032563</v>
      </c>
      <c r="C7" s="1">
        <v>7.3569339129999998</v>
      </c>
      <c r="D7" s="1">
        <f t="shared" si="0"/>
        <v>73.569339130000003</v>
      </c>
      <c r="F7" s="1">
        <v>10</v>
      </c>
      <c r="G7" s="1">
        <v>5</v>
      </c>
      <c r="H7" s="1">
        <v>17.600000000000001</v>
      </c>
      <c r="I7" s="1">
        <v>38.01</v>
      </c>
      <c r="J7" s="1">
        <v>50.85</v>
      </c>
      <c r="K7" s="1">
        <f t="shared" si="1"/>
        <v>35.486666666666672</v>
      </c>
      <c r="L7" s="1">
        <f t="shared" si="2"/>
        <v>9.6810129176192596</v>
      </c>
    </row>
    <row r="8" spans="1:12">
      <c r="A8" s="69" t="s">
        <v>478</v>
      </c>
      <c r="B8" s="69">
        <v>42.062632309999998</v>
      </c>
      <c r="C8" s="69">
        <v>2.6264292389999999E-2</v>
      </c>
      <c r="D8" s="69">
        <f t="shared" si="0"/>
        <v>0.26264292389999999</v>
      </c>
      <c r="F8" s="1">
        <v>10</v>
      </c>
      <c r="G8" s="1">
        <v>10</v>
      </c>
      <c r="H8" s="1">
        <v>79.319999999999993</v>
      </c>
      <c r="I8" s="1">
        <v>84.97</v>
      </c>
      <c r="J8" s="1">
        <v>88.07</v>
      </c>
      <c r="K8" s="1">
        <f t="shared" si="1"/>
        <v>84.11999999999999</v>
      </c>
      <c r="L8" s="1">
        <f t="shared" si="2"/>
        <v>2.5614123708089909</v>
      </c>
    </row>
    <row r="9" spans="1:12">
      <c r="A9" s="69" t="s">
        <v>479</v>
      </c>
      <c r="B9" s="69">
        <v>0.62207590239999999</v>
      </c>
      <c r="C9" s="69">
        <v>17.484543030000001</v>
      </c>
      <c r="D9" s="69">
        <f t="shared" si="0"/>
        <v>174.8454303</v>
      </c>
    </row>
    <row r="10" spans="1:12">
      <c r="A10" s="69" t="s">
        <v>480</v>
      </c>
      <c r="B10" s="69">
        <v>3.5491433200000002</v>
      </c>
      <c r="C10" s="69">
        <v>5.9684166149999998</v>
      </c>
      <c r="D10" s="69">
        <f t="shared" si="0"/>
        <v>59.684166149999996</v>
      </c>
    </row>
    <row r="11" spans="1:12">
      <c r="A11" s="1" t="s">
        <v>481</v>
      </c>
      <c r="B11" s="1">
        <v>2.4473722840000001</v>
      </c>
      <c r="C11" s="1">
        <v>8.3603805619999996</v>
      </c>
      <c r="D11" s="1">
        <f t="shared" si="0"/>
        <v>83.603805620000003</v>
      </c>
    </row>
    <row r="12" spans="1:12">
      <c r="A12" s="1" t="s">
        <v>482</v>
      </c>
      <c r="B12" s="1">
        <v>1.2688450410000001</v>
      </c>
      <c r="C12" s="1">
        <v>7.427214771</v>
      </c>
      <c r="D12" s="1">
        <f t="shared" si="0"/>
        <v>74.272147709999999</v>
      </c>
    </row>
    <row r="13" spans="1:12">
      <c r="A13" s="1" t="s">
        <v>483</v>
      </c>
      <c r="B13" s="1">
        <v>1.46870593</v>
      </c>
      <c r="C13" s="1">
        <v>7.2540412180000002</v>
      </c>
      <c r="D13" s="1">
        <f t="shared" si="0"/>
        <v>72.540412180000004</v>
      </c>
    </row>
    <row r="14" spans="1:12">
      <c r="A14" s="1" t="s">
        <v>484</v>
      </c>
      <c r="B14" s="1">
        <v>2.3072512029999999</v>
      </c>
      <c r="C14" s="1">
        <v>1.760498047</v>
      </c>
      <c r="D14" s="1">
        <f t="shared" si="0"/>
        <v>17.604980470000001</v>
      </c>
    </row>
    <row r="15" spans="1:12">
      <c r="A15" s="1" t="s">
        <v>485</v>
      </c>
      <c r="B15" s="1">
        <v>2.260203432</v>
      </c>
      <c r="C15" s="1">
        <v>3.8011012119999998</v>
      </c>
      <c r="D15" s="1">
        <f t="shared" si="0"/>
        <v>38.011012119999997</v>
      </c>
    </row>
    <row r="16" spans="1:12">
      <c r="A16" s="1" t="s">
        <v>486</v>
      </c>
      <c r="B16" s="1">
        <v>1.382342553</v>
      </c>
      <c r="C16" s="1">
        <v>5.0853471460000002</v>
      </c>
      <c r="D16" s="1">
        <f t="shared" si="0"/>
        <v>50.853471460000002</v>
      </c>
    </row>
    <row r="17" spans="1:17">
      <c r="A17" s="1" t="s">
        <v>487</v>
      </c>
      <c r="B17" s="1">
        <v>1.1381407729999999</v>
      </c>
      <c r="C17" s="1">
        <v>7.9317303810000004</v>
      </c>
      <c r="D17" s="1">
        <f t="shared" si="0"/>
        <v>79.317303809999999</v>
      </c>
      <c r="P17" s="1" t="s">
        <v>496</v>
      </c>
      <c r="Q17" s="1">
        <f>8.1491/6.4777</f>
        <v>1.2580236812448864</v>
      </c>
    </row>
    <row r="18" spans="1:17">
      <c r="A18" s="1" t="s">
        <v>488</v>
      </c>
      <c r="B18" s="1">
        <v>1.5306228129999999</v>
      </c>
      <c r="C18" s="1">
        <v>8.497464269</v>
      </c>
      <c r="D18" s="1">
        <f t="shared" si="0"/>
        <v>84.974642689999996</v>
      </c>
      <c r="P18" s="1" t="s">
        <v>497</v>
      </c>
      <c r="Q18" s="1">
        <f>7.6803/6.4777</f>
        <v>1.1856523148648441</v>
      </c>
    </row>
    <row r="19" spans="1:17">
      <c r="A19" s="1" t="s">
        <v>489</v>
      </c>
      <c r="B19" s="1">
        <v>2.2443044310000002</v>
      </c>
      <c r="C19" s="1">
        <v>8.8069530559999993</v>
      </c>
      <c r="D19" s="1">
        <f t="shared" si="0"/>
        <v>88.06953055999999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4AEA9-3D83-A446-81E6-192723612828}">
  <dimension ref="A1:U62"/>
  <sheetViews>
    <sheetView topLeftCell="L45" zoomScale="70" zoomScaleNormal="70" workbookViewId="0">
      <selection activeCell="E68" sqref="E68"/>
    </sheetView>
  </sheetViews>
  <sheetFormatPr baseColWidth="10" defaultColWidth="14.5" defaultRowHeight="15.75" customHeight="1"/>
  <cols>
    <col min="1" max="1" width="17" style="32" bestFit="1" customWidth="1"/>
    <col min="2" max="6" width="14.5" style="32"/>
    <col min="7" max="7" width="19.1640625" style="32" customWidth="1"/>
    <col min="8" max="14" width="14.5" style="32"/>
    <col min="15" max="15" width="20" style="32" customWidth="1"/>
    <col min="16" max="16384" width="14.5" style="32"/>
  </cols>
  <sheetData>
    <row r="1" spans="1:21" ht="15.75" customHeight="1">
      <c r="A1" s="68">
        <v>43432</v>
      </c>
      <c r="N1" s="56"/>
    </row>
    <row r="2" spans="1:21" ht="15.75" customHeight="1" thickBot="1">
      <c r="A2" s="37"/>
      <c r="B2" s="37" t="s">
        <v>353</v>
      </c>
      <c r="C2" s="37" t="s">
        <v>354</v>
      </c>
      <c r="D2" s="37" t="s">
        <v>355</v>
      </c>
      <c r="E2" s="37" t="s">
        <v>356</v>
      </c>
      <c r="F2" s="37" t="s">
        <v>357</v>
      </c>
      <c r="G2" s="37" t="s">
        <v>358</v>
      </c>
      <c r="H2" s="37" t="s">
        <v>42</v>
      </c>
      <c r="O2" s="37"/>
      <c r="P2" s="37"/>
      <c r="Q2" s="37"/>
      <c r="R2" s="37"/>
      <c r="S2" s="37"/>
      <c r="T2" s="37"/>
      <c r="U2" s="37"/>
    </row>
    <row r="3" spans="1:21" ht="15.75" customHeight="1">
      <c r="A3" s="42" t="s">
        <v>359</v>
      </c>
      <c r="B3" s="41" t="s">
        <v>360</v>
      </c>
      <c r="C3" s="41">
        <v>0</v>
      </c>
      <c r="D3" s="41">
        <v>49</v>
      </c>
      <c r="E3" s="41">
        <v>48</v>
      </c>
      <c r="F3" s="41" t="s">
        <v>361</v>
      </c>
      <c r="G3" s="41" t="s">
        <v>362</v>
      </c>
      <c r="H3" s="32">
        <f>AVERAGE(G3:G4)</f>
        <v>80000</v>
      </c>
      <c r="J3" s="32" t="s">
        <v>463</v>
      </c>
      <c r="N3" s="52"/>
      <c r="O3" s="51"/>
      <c r="P3" s="51"/>
      <c r="Q3" s="51"/>
      <c r="R3" s="51"/>
      <c r="S3" s="51"/>
      <c r="T3" s="55"/>
    </row>
    <row r="4" spans="1:21" ht="15.75" customHeight="1">
      <c r="A4" s="38"/>
      <c r="B4" s="37" t="s">
        <v>365</v>
      </c>
      <c r="C4" s="37">
        <v>0</v>
      </c>
      <c r="D4" s="37">
        <v>8</v>
      </c>
      <c r="E4" s="37">
        <v>0</v>
      </c>
      <c r="F4" s="37">
        <v>8</v>
      </c>
      <c r="G4" s="36">
        <f>F4*10^4</f>
        <v>80000</v>
      </c>
      <c r="J4" s="32" t="s">
        <v>462</v>
      </c>
      <c r="N4" s="48"/>
      <c r="O4" s="47"/>
      <c r="P4" s="47"/>
      <c r="Q4" s="47"/>
      <c r="R4" s="47"/>
      <c r="S4" s="47"/>
      <c r="T4" s="49"/>
    </row>
    <row r="5" spans="1:21" ht="15.75" customHeight="1" thickBot="1">
      <c r="A5" s="38"/>
      <c r="B5" s="37" t="s">
        <v>360</v>
      </c>
      <c r="C5" s="37">
        <v>2</v>
      </c>
      <c r="D5" s="37">
        <v>49</v>
      </c>
      <c r="E5" s="37">
        <v>48</v>
      </c>
      <c r="F5" s="37" t="s">
        <v>361</v>
      </c>
      <c r="G5" s="36" t="s">
        <v>379</v>
      </c>
      <c r="H5" s="32">
        <f>AVERAGE(G5:G6)</f>
        <v>91000</v>
      </c>
      <c r="N5" s="45"/>
      <c r="O5" s="44"/>
      <c r="P5" s="44"/>
      <c r="Q5" s="44"/>
      <c r="R5" s="44"/>
      <c r="S5" s="44"/>
      <c r="T5" s="54"/>
    </row>
    <row r="6" spans="1:21" ht="15.75" customHeight="1">
      <c r="A6" s="38"/>
      <c r="B6" s="37" t="s">
        <v>365</v>
      </c>
      <c r="C6" s="37">
        <v>2</v>
      </c>
      <c r="D6" s="37">
        <v>8</v>
      </c>
      <c r="E6" s="37">
        <v>1</v>
      </c>
      <c r="F6" s="37">
        <v>9.1</v>
      </c>
      <c r="G6" s="36">
        <f>9.1*10^4</f>
        <v>91000</v>
      </c>
      <c r="N6" s="52"/>
      <c r="O6" s="51"/>
      <c r="P6" s="51"/>
      <c r="Q6" s="51"/>
      <c r="R6" s="51"/>
      <c r="S6" s="51"/>
      <c r="T6" s="46"/>
    </row>
    <row r="7" spans="1:21" ht="15.75" customHeight="1">
      <c r="A7" s="38"/>
      <c r="B7" s="37" t="s">
        <v>360</v>
      </c>
      <c r="C7" s="37">
        <v>4</v>
      </c>
      <c r="D7" s="37">
        <v>49</v>
      </c>
      <c r="E7" s="37">
        <v>48</v>
      </c>
      <c r="F7" s="37" t="s">
        <v>361</v>
      </c>
      <c r="G7" s="36" t="s">
        <v>379</v>
      </c>
      <c r="H7" s="32">
        <f>AVERAGE(G7:G8)</f>
        <v>161000</v>
      </c>
      <c r="N7" s="48"/>
      <c r="O7" s="47"/>
      <c r="P7" s="47"/>
      <c r="Q7" s="47"/>
      <c r="R7" s="47"/>
      <c r="S7" s="47"/>
      <c r="T7" s="49"/>
    </row>
    <row r="8" spans="1:21" ht="15.75" customHeight="1">
      <c r="A8" s="38"/>
      <c r="B8" s="37" t="s">
        <v>365</v>
      </c>
      <c r="C8" s="37">
        <v>4</v>
      </c>
      <c r="D8" s="37">
        <v>16</v>
      </c>
      <c r="E8" s="37">
        <v>0</v>
      </c>
      <c r="F8" s="37" t="s">
        <v>461</v>
      </c>
      <c r="G8" s="36">
        <f>16.1*10^4</f>
        <v>161000</v>
      </c>
      <c r="N8" s="48"/>
      <c r="O8" s="47"/>
      <c r="P8" s="47"/>
      <c r="Q8" s="47"/>
      <c r="R8" s="47"/>
      <c r="S8" s="47"/>
      <c r="T8" s="46"/>
    </row>
    <row r="9" spans="1:21" ht="15.75" customHeight="1">
      <c r="A9" s="38"/>
      <c r="B9" s="37" t="s">
        <v>360</v>
      </c>
      <c r="C9" s="37">
        <v>8</v>
      </c>
      <c r="D9" s="37">
        <v>49</v>
      </c>
      <c r="E9" s="37">
        <v>48</v>
      </c>
      <c r="F9" s="37" t="s">
        <v>361</v>
      </c>
      <c r="G9" s="36" t="s">
        <v>379</v>
      </c>
      <c r="H9" s="32">
        <f>AVERAGE(G9:G10)</f>
        <v>30000</v>
      </c>
      <c r="N9" s="48"/>
      <c r="O9" s="47"/>
      <c r="P9" s="47"/>
      <c r="Q9" s="47"/>
      <c r="R9" s="47"/>
      <c r="S9" s="47"/>
      <c r="T9" s="46"/>
    </row>
    <row r="10" spans="1:21" ht="15.75" customHeight="1" thickBot="1">
      <c r="A10" s="35"/>
      <c r="B10" s="34" t="s">
        <v>365</v>
      </c>
      <c r="C10" s="37">
        <v>8</v>
      </c>
      <c r="D10" s="34">
        <v>3</v>
      </c>
      <c r="E10" s="34">
        <v>0</v>
      </c>
      <c r="F10" s="34">
        <v>3</v>
      </c>
      <c r="G10" s="36">
        <f>F10*10^4</f>
        <v>30000</v>
      </c>
      <c r="N10" s="48"/>
      <c r="O10" s="47"/>
      <c r="P10" s="47"/>
      <c r="Q10" s="47"/>
      <c r="R10" s="47"/>
      <c r="S10" s="47"/>
      <c r="T10" s="49"/>
    </row>
    <row r="11" spans="1:21" ht="15.75" customHeight="1" thickBot="1">
      <c r="A11" s="42" t="s">
        <v>378</v>
      </c>
      <c r="B11" s="41" t="s">
        <v>380</v>
      </c>
      <c r="C11" s="41">
        <v>0</v>
      </c>
      <c r="D11" s="41"/>
      <c r="E11" s="41"/>
      <c r="F11" s="37"/>
      <c r="G11" s="36" t="s">
        <v>379</v>
      </c>
      <c r="H11" s="32">
        <f>AVERAGE(G11:G13)</f>
        <v>20000</v>
      </c>
      <c r="N11" s="48"/>
      <c r="O11" s="47"/>
      <c r="P11" s="47"/>
      <c r="Q11" s="47"/>
      <c r="R11" s="47"/>
      <c r="S11" s="47"/>
      <c r="T11" s="46"/>
    </row>
    <row r="12" spans="1:21" ht="15.75" customHeight="1">
      <c r="A12" s="38"/>
      <c r="B12" s="37" t="s">
        <v>360</v>
      </c>
      <c r="C12" s="37">
        <v>0</v>
      </c>
      <c r="D12" s="37">
        <v>49</v>
      </c>
      <c r="E12" s="37">
        <v>48</v>
      </c>
      <c r="F12" s="41" t="s">
        <v>361</v>
      </c>
      <c r="G12" s="36" t="s">
        <v>460</v>
      </c>
      <c r="N12" s="48"/>
      <c r="O12" s="47"/>
      <c r="P12" s="47"/>
      <c r="Q12" s="47"/>
      <c r="R12" s="47"/>
      <c r="S12" s="47"/>
      <c r="T12" s="49"/>
    </row>
    <row r="13" spans="1:21" ht="15.75" customHeight="1">
      <c r="A13" s="38"/>
      <c r="B13" s="37" t="s">
        <v>365</v>
      </c>
      <c r="C13" s="37">
        <v>0</v>
      </c>
      <c r="D13" s="37">
        <v>1</v>
      </c>
      <c r="E13" s="37">
        <v>1</v>
      </c>
      <c r="F13" s="37">
        <v>2</v>
      </c>
      <c r="G13" s="36">
        <f>F13*10^4</f>
        <v>20000</v>
      </c>
      <c r="N13" s="48"/>
      <c r="O13" s="47"/>
      <c r="P13" s="47"/>
      <c r="Q13" s="47"/>
      <c r="R13" s="47"/>
      <c r="S13" s="47"/>
      <c r="T13" s="46"/>
    </row>
    <row r="14" spans="1:21" ht="15.75" customHeight="1">
      <c r="A14" s="38"/>
      <c r="B14" s="37" t="s">
        <v>380</v>
      </c>
      <c r="C14" s="37">
        <v>2</v>
      </c>
      <c r="D14" s="37">
        <v>46</v>
      </c>
      <c r="E14" s="37">
        <v>14</v>
      </c>
      <c r="F14" s="37">
        <v>74.400000000000006</v>
      </c>
      <c r="G14" s="36">
        <v>74.400000000000006</v>
      </c>
      <c r="H14" s="32">
        <f>AVERAGE(G14:G16)</f>
        <v>67.2</v>
      </c>
      <c r="N14" s="48"/>
      <c r="O14" s="47"/>
      <c r="P14" s="47"/>
      <c r="Q14" s="47"/>
      <c r="R14" s="47"/>
      <c r="S14" s="47"/>
      <c r="T14" s="46"/>
    </row>
    <row r="15" spans="1:21" ht="15.75" customHeight="1">
      <c r="A15" s="38"/>
      <c r="B15" s="37" t="s">
        <v>360</v>
      </c>
      <c r="C15" s="37">
        <v>2</v>
      </c>
      <c r="D15" s="37">
        <v>6</v>
      </c>
      <c r="E15" s="37">
        <v>0</v>
      </c>
      <c r="F15" s="37">
        <v>6</v>
      </c>
      <c r="G15" s="36">
        <f>F15*10^1</f>
        <v>60</v>
      </c>
      <c r="N15" s="48"/>
      <c r="O15" s="47"/>
      <c r="P15" s="47"/>
      <c r="Q15" s="47"/>
      <c r="R15" s="47"/>
      <c r="S15" s="47"/>
      <c r="T15" s="46"/>
    </row>
    <row r="16" spans="1:21" ht="15.75" customHeight="1" thickBot="1">
      <c r="A16" s="38"/>
      <c r="B16" s="37" t="s">
        <v>365</v>
      </c>
      <c r="C16" s="37">
        <v>2</v>
      </c>
      <c r="D16" s="37">
        <v>0</v>
      </c>
      <c r="E16" s="37">
        <v>0</v>
      </c>
      <c r="F16" s="37" t="s">
        <v>387</v>
      </c>
      <c r="G16" s="36" t="s">
        <v>387</v>
      </c>
      <c r="N16" s="45"/>
      <c r="O16" s="44"/>
      <c r="P16" s="44"/>
      <c r="Q16" s="44"/>
      <c r="R16" s="44"/>
      <c r="S16" s="44"/>
      <c r="T16" s="43"/>
    </row>
    <row r="17" spans="1:20" ht="15.75" customHeight="1">
      <c r="A17" s="38"/>
      <c r="B17" s="37" t="s">
        <v>380</v>
      </c>
      <c r="C17" s="37">
        <v>4</v>
      </c>
      <c r="D17" s="37">
        <v>0</v>
      </c>
      <c r="E17" s="37">
        <v>0</v>
      </c>
      <c r="F17" s="37">
        <v>0</v>
      </c>
      <c r="G17" s="36">
        <v>0</v>
      </c>
      <c r="H17" s="32">
        <f>AVERAGE(G17:G19)</f>
        <v>0</v>
      </c>
      <c r="N17" s="52"/>
      <c r="O17" s="51"/>
      <c r="P17" s="51"/>
      <c r="Q17" s="51"/>
      <c r="R17" s="51"/>
      <c r="S17" s="51"/>
      <c r="T17" s="50"/>
    </row>
    <row r="18" spans="1:20" ht="15.75" customHeight="1">
      <c r="A18" s="38"/>
      <c r="B18" s="37" t="s">
        <v>360</v>
      </c>
      <c r="C18" s="37">
        <v>4</v>
      </c>
      <c r="D18" s="37">
        <v>0</v>
      </c>
      <c r="E18" s="37">
        <v>0</v>
      </c>
      <c r="F18" s="37" t="s">
        <v>387</v>
      </c>
      <c r="G18" s="36" t="s">
        <v>387</v>
      </c>
      <c r="N18" s="48"/>
      <c r="O18" s="47"/>
      <c r="P18" s="47"/>
      <c r="Q18" s="47"/>
      <c r="R18" s="47"/>
      <c r="S18" s="47"/>
      <c r="T18" s="49"/>
    </row>
    <row r="19" spans="1:20" ht="15.75" customHeight="1">
      <c r="A19" s="38"/>
      <c r="B19" s="37" t="s">
        <v>365</v>
      </c>
      <c r="C19" s="37">
        <v>4</v>
      </c>
      <c r="D19" s="37">
        <v>0</v>
      </c>
      <c r="E19" s="37">
        <v>0</v>
      </c>
      <c r="F19" s="37" t="s">
        <v>387</v>
      </c>
      <c r="G19" s="36" t="s">
        <v>387</v>
      </c>
      <c r="N19" s="48"/>
      <c r="O19" s="47"/>
      <c r="P19" s="47"/>
      <c r="Q19" s="47"/>
      <c r="R19" s="47"/>
      <c r="S19" s="47"/>
      <c r="T19" s="46"/>
    </row>
    <row r="20" spans="1:20" ht="15.75" customHeight="1">
      <c r="A20" s="38"/>
      <c r="B20" s="37" t="s">
        <v>380</v>
      </c>
      <c r="C20" s="37">
        <v>8</v>
      </c>
      <c r="D20" s="37">
        <v>0</v>
      </c>
      <c r="E20" s="37">
        <v>0</v>
      </c>
      <c r="F20" s="37">
        <v>0</v>
      </c>
      <c r="G20" s="36">
        <v>0</v>
      </c>
      <c r="H20" s="32">
        <f>AVERAGE(G20:G22)</f>
        <v>0</v>
      </c>
      <c r="N20" s="48"/>
      <c r="O20" s="47"/>
      <c r="P20" s="47"/>
      <c r="Q20" s="47"/>
      <c r="R20" s="47"/>
      <c r="S20" s="47"/>
      <c r="T20" s="46"/>
    </row>
    <row r="21" spans="1:20" ht="15.75" customHeight="1">
      <c r="A21" s="38"/>
      <c r="B21" s="37" t="s">
        <v>360</v>
      </c>
      <c r="C21" s="37">
        <v>8</v>
      </c>
      <c r="D21" s="37">
        <v>0</v>
      </c>
      <c r="E21" s="37">
        <v>0</v>
      </c>
      <c r="F21" s="37" t="s">
        <v>387</v>
      </c>
      <c r="G21" s="36" t="s">
        <v>387</v>
      </c>
      <c r="N21" s="48"/>
      <c r="O21" s="47"/>
      <c r="P21" s="47"/>
      <c r="Q21" s="47"/>
      <c r="R21" s="47"/>
      <c r="S21" s="47"/>
      <c r="T21" s="49"/>
    </row>
    <row r="22" spans="1:20" ht="15.75" customHeight="1">
      <c r="A22" s="38"/>
      <c r="B22" s="37" t="s">
        <v>365</v>
      </c>
      <c r="C22" s="37">
        <v>8</v>
      </c>
      <c r="D22" s="37">
        <v>0</v>
      </c>
      <c r="E22" s="37">
        <v>0</v>
      </c>
      <c r="F22" s="37" t="s">
        <v>387</v>
      </c>
      <c r="G22" s="36" t="s">
        <v>387</v>
      </c>
      <c r="N22" s="48"/>
      <c r="O22" s="47"/>
      <c r="P22" s="47"/>
      <c r="Q22" s="47"/>
      <c r="R22" s="47"/>
      <c r="S22" s="47"/>
      <c r="T22" s="49"/>
    </row>
    <row r="23" spans="1:20" ht="15.75" customHeight="1">
      <c r="A23" s="38"/>
      <c r="B23" s="37"/>
      <c r="C23" s="37"/>
      <c r="D23" s="37"/>
      <c r="E23" s="37"/>
      <c r="F23" s="37"/>
      <c r="G23" s="36"/>
      <c r="N23" s="48"/>
      <c r="O23" s="47"/>
      <c r="P23" s="47"/>
      <c r="Q23" s="47"/>
      <c r="R23" s="47"/>
      <c r="S23" s="47"/>
      <c r="T23" s="49"/>
    </row>
    <row r="24" spans="1:20" ht="15.75" customHeight="1">
      <c r="A24" s="38"/>
      <c r="B24" s="37"/>
      <c r="C24" s="37"/>
      <c r="D24" s="37"/>
      <c r="E24" s="37"/>
      <c r="F24" s="37"/>
      <c r="G24" s="36"/>
      <c r="N24" s="48"/>
      <c r="O24" s="47"/>
      <c r="P24" s="47"/>
      <c r="Q24" s="47"/>
      <c r="R24" s="47"/>
      <c r="S24" s="47"/>
      <c r="T24" s="46"/>
    </row>
    <row r="25" spans="1:20" ht="15.75" customHeight="1">
      <c r="A25" s="38"/>
      <c r="B25" s="37"/>
      <c r="C25" s="37"/>
      <c r="D25" s="37"/>
      <c r="E25" s="37"/>
      <c r="F25" s="37"/>
      <c r="G25" s="36"/>
      <c r="N25" s="48"/>
      <c r="O25" s="47"/>
      <c r="P25" s="47"/>
      <c r="Q25" s="47"/>
      <c r="R25" s="47"/>
      <c r="S25" s="47"/>
      <c r="T25" s="46"/>
    </row>
    <row r="26" spans="1:20" ht="15.75" customHeight="1">
      <c r="A26" s="38"/>
      <c r="B26" s="37"/>
      <c r="C26" s="37"/>
      <c r="D26" s="37"/>
      <c r="E26" s="37"/>
      <c r="F26" s="37"/>
      <c r="G26" s="36"/>
      <c r="N26" s="48"/>
      <c r="O26" s="47"/>
      <c r="P26" s="47"/>
      <c r="Q26" s="47"/>
      <c r="R26" s="47"/>
      <c r="S26" s="47"/>
      <c r="T26" s="46"/>
    </row>
    <row r="27" spans="1:20" ht="15.75" customHeight="1" thickBot="1">
      <c r="A27" s="38"/>
      <c r="B27" s="37"/>
      <c r="C27" s="37"/>
      <c r="D27" s="37"/>
      <c r="E27" s="37"/>
      <c r="F27" s="37"/>
      <c r="G27" s="36"/>
      <c r="N27" s="45"/>
      <c r="O27" s="44"/>
      <c r="P27" s="44"/>
      <c r="Q27" s="44"/>
      <c r="R27" s="44"/>
      <c r="S27" s="44"/>
      <c r="T27" s="43"/>
    </row>
    <row r="28" spans="1:20" ht="15.75" customHeight="1">
      <c r="A28" s="38"/>
      <c r="B28" s="37"/>
      <c r="C28" s="37"/>
      <c r="D28" s="37"/>
      <c r="E28" s="37"/>
      <c r="F28" s="37"/>
      <c r="G28" s="36"/>
    </row>
    <row r="29" spans="1:20" ht="15.75" customHeight="1">
      <c r="A29" s="38"/>
      <c r="B29" s="37"/>
      <c r="C29" s="37"/>
      <c r="D29" s="37"/>
      <c r="E29" s="37"/>
      <c r="F29" s="37"/>
      <c r="G29" s="36"/>
    </row>
    <row r="30" spans="1:20" ht="15.75" customHeight="1">
      <c r="A30" s="38"/>
      <c r="B30" s="37"/>
      <c r="C30" s="37"/>
      <c r="D30" s="37"/>
      <c r="E30" s="37"/>
      <c r="F30" s="37"/>
      <c r="G30" s="36"/>
    </row>
    <row r="31" spans="1:20" ht="15.75" customHeight="1" thickBot="1">
      <c r="A31" s="35"/>
      <c r="B31" s="34"/>
      <c r="C31" s="34"/>
      <c r="D31" s="34"/>
      <c r="E31" s="34"/>
      <c r="F31" s="34"/>
      <c r="G31" s="33"/>
    </row>
    <row r="32" spans="1:20" ht="15.75" customHeight="1">
      <c r="A32" s="42" t="s">
        <v>377</v>
      </c>
      <c r="B32" s="41" t="s">
        <v>380</v>
      </c>
      <c r="C32" s="41">
        <v>0</v>
      </c>
      <c r="D32" s="41"/>
      <c r="E32" s="41"/>
      <c r="F32" s="37"/>
      <c r="G32" s="36" t="s">
        <v>379</v>
      </c>
      <c r="H32" s="32">
        <f>AVERAGE(G32:G34)</f>
        <v>120000</v>
      </c>
    </row>
    <row r="33" spans="1:14" ht="15.75" customHeight="1">
      <c r="A33" s="38"/>
      <c r="B33" s="37" t="s">
        <v>360</v>
      </c>
      <c r="C33" s="37">
        <v>0</v>
      </c>
      <c r="D33" s="37">
        <v>49</v>
      </c>
      <c r="E33" s="37">
        <v>48</v>
      </c>
      <c r="F33" s="36" t="s">
        <v>361</v>
      </c>
      <c r="G33" s="36" t="s">
        <v>379</v>
      </c>
    </row>
    <row r="34" spans="1:14" ht="15.75" customHeight="1">
      <c r="A34" s="38"/>
      <c r="B34" s="37" t="s">
        <v>365</v>
      </c>
      <c r="C34" s="37">
        <v>0</v>
      </c>
      <c r="D34" s="37">
        <v>12</v>
      </c>
      <c r="E34" s="37">
        <v>0</v>
      </c>
      <c r="F34" s="37">
        <v>12</v>
      </c>
      <c r="G34" s="36">
        <f>F34*10^4</f>
        <v>120000</v>
      </c>
    </row>
    <row r="35" spans="1:14" ht="15.75" customHeight="1">
      <c r="A35" s="38"/>
      <c r="B35" s="37" t="s">
        <v>380</v>
      </c>
      <c r="C35" s="37">
        <v>2</v>
      </c>
      <c r="D35" s="37">
        <v>8</v>
      </c>
      <c r="E35" s="37">
        <v>2</v>
      </c>
      <c r="F35" s="37">
        <v>10.199999999999999</v>
      </c>
      <c r="G35" s="36">
        <f>F35</f>
        <v>10.199999999999999</v>
      </c>
      <c r="H35" s="32">
        <f>AVERAGE(G35:G37)</f>
        <v>10.199999999999999</v>
      </c>
    </row>
    <row r="36" spans="1:14" ht="15.75" customHeight="1">
      <c r="A36" s="38"/>
      <c r="B36" s="37" t="s">
        <v>360</v>
      </c>
      <c r="C36" s="37">
        <v>2</v>
      </c>
      <c r="D36" s="37">
        <v>0</v>
      </c>
      <c r="E36" s="37">
        <v>0</v>
      </c>
      <c r="F36" s="37" t="s">
        <v>387</v>
      </c>
      <c r="G36" s="36" t="s">
        <v>387</v>
      </c>
    </row>
    <row r="37" spans="1:14" ht="15.75" customHeight="1">
      <c r="A37" s="38"/>
      <c r="B37" s="37" t="s">
        <v>365</v>
      </c>
      <c r="C37" s="37">
        <v>2</v>
      </c>
      <c r="D37" s="37">
        <v>0</v>
      </c>
      <c r="E37" s="37">
        <v>0</v>
      </c>
      <c r="F37" s="37" t="s">
        <v>387</v>
      </c>
      <c r="G37" s="36" t="s">
        <v>387</v>
      </c>
    </row>
    <row r="38" spans="1:14" ht="15.75" customHeight="1">
      <c r="A38" s="38"/>
      <c r="B38" s="37" t="s">
        <v>380</v>
      </c>
      <c r="C38" s="37">
        <v>4</v>
      </c>
      <c r="D38" s="37">
        <v>0</v>
      </c>
      <c r="E38" s="37">
        <v>0</v>
      </c>
      <c r="F38" s="37">
        <v>0</v>
      </c>
      <c r="G38" s="36">
        <v>0</v>
      </c>
      <c r="H38" s="32">
        <f>AVERAGE(G38:G40)</f>
        <v>0</v>
      </c>
    </row>
    <row r="39" spans="1:14" ht="15.75" customHeight="1">
      <c r="A39" s="38"/>
      <c r="B39" s="37" t="s">
        <v>360</v>
      </c>
      <c r="C39" s="37">
        <v>4</v>
      </c>
      <c r="D39" s="37">
        <v>0</v>
      </c>
      <c r="E39" s="37">
        <v>0</v>
      </c>
      <c r="F39" s="37" t="s">
        <v>387</v>
      </c>
      <c r="G39" s="36" t="s">
        <v>387</v>
      </c>
    </row>
    <row r="40" spans="1:14" ht="15.75" customHeight="1">
      <c r="A40" s="38"/>
      <c r="B40" s="37" t="s">
        <v>365</v>
      </c>
      <c r="C40" s="37">
        <v>4</v>
      </c>
      <c r="D40" s="37">
        <v>0</v>
      </c>
      <c r="E40" s="37">
        <v>0</v>
      </c>
      <c r="F40" s="37" t="s">
        <v>387</v>
      </c>
      <c r="G40" s="36" t="s">
        <v>387</v>
      </c>
      <c r="M40" s="40"/>
      <c r="N40" s="39"/>
    </row>
    <row r="41" spans="1:14" ht="13">
      <c r="A41" s="38"/>
      <c r="B41" s="37" t="s">
        <v>380</v>
      </c>
      <c r="C41" s="37">
        <v>8</v>
      </c>
      <c r="D41" s="37">
        <v>0</v>
      </c>
      <c r="E41" s="37">
        <v>0</v>
      </c>
      <c r="F41" s="37">
        <v>0</v>
      </c>
      <c r="G41" s="36">
        <v>0</v>
      </c>
      <c r="H41" s="32">
        <f>AVERAGE(G41:G43)</f>
        <v>0</v>
      </c>
      <c r="N41" s="39"/>
    </row>
    <row r="42" spans="1:14" ht="13">
      <c r="A42" s="38"/>
      <c r="B42" s="37" t="s">
        <v>360</v>
      </c>
      <c r="C42" s="37">
        <v>8</v>
      </c>
      <c r="D42" s="37">
        <v>0</v>
      </c>
      <c r="E42" s="37">
        <v>0</v>
      </c>
      <c r="F42" s="37">
        <v>0</v>
      </c>
      <c r="G42" s="36" t="s">
        <v>387</v>
      </c>
      <c r="N42" s="39"/>
    </row>
    <row r="43" spans="1:14" ht="13">
      <c r="A43" s="38"/>
      <c r="B43" s="37" t="s">
        <v>365</v>
      </c>
      <c r="C43" s="37">
        <v>8</v>
      </c>
      <c r="D43" s="37">
        <v>0</v>
      </c>
      <c r="E43" s="37">
        <v>0</v>
      </c>
      <c r="F43" s="37">
        <v>0</v>
      </c>
      <c r="G43" s="36" t="s">
        <v>387</v>
      </c>
      <c r="N43" s="39"/>
    </row>
    <row r="44" spans="1:14" ht="13">
      <c r="A44" s="38"/>
      <c r="B44" s="37"/>
      <c r="C44" s="37"/>
      <c r="D44" s="37"/>
      <c r="E44" s="37"/>
      <c r="F44" s="37"/>
      <c r="G44" s="36"/>
      <c r="N44" s="39"/>
    </row>
    <row r="45" spans="1:14" ht="13">
      <c r="A45" s="38"/>
      <c r="B45" s="37"/>
      <c r="C45" s="37"/>
      <c r="D45" s="37"/>
      <c r="E45" s="37"/>
      <c r="F45" s="37"/>
      <c r="G45" s="36"/>
      <c r="M45" s="39"/>
      <c r="N45" s="39"/>
    </row>
    <row r="46" spans="1:14" ht="13">
      <c r="A46" s="38"/>
      <c r="B46" s="37"/>
      <c r="C46" s="37"/>
      <c r="D46" s="37"/>
      <c r="E46" s="37"/>
      <c r="F46" s="37"/>
      <c r="G46" s="36"/>
      <c r="N46" s="39"/>
    </row>
    <row r="47" spans="1:14" ht="13">
      <c r="A47" s="38"/>
      <c r="B47" s="37"/>
      <c r="C47" s="37"/>
      <c r="D47" s="37"/>
      <c r="E47" s="37"/>
      <c r="F47" s="37"/>
      <c r="G47" s="36"/>
      <c r="N47" s="39"/>
    </row>
    <row r="48" spans="1:14" ht="13">
      <c r="A48" s="38"/>
      <c r="B48" s="37"/>
      <c r="C48" s="37"/>
      <c r="D48" s="37"/>
      <c r="E48" s="37"/>
      <c r="F48" s="37"/>
      <c r="G48" s="36"/>
      <c r="N48" s="39"/>
    </row>
    <row r="49" spans="1:14" ht="13">
      <c r="A49" s="38"/>
      <c r="B49" s="37"/>
      <c r="C49" s="37"/>
      <c r="D49" s="37"/>
      <c r="E49" s="37"/>
      <c r="F49" s="37"/>
      <c r="G49" s="36"/>
      <c r="N49" s="39"/>
    </row>
    <row r="50" spans="1:14" ht="13">
      <c r="A50" s="38"/>
      <c r="B50" s="37"/>
      <c r="C50" s="37"/>
      <c r="D50" s="37"/>
      <c r="E50" s="37"/>
      <c r="F50" s="37"/>
      <c r="G50" s="36"/>
      <c r="N50" s="39"/>
    </row>
    <row r="51" spans="1:14" ht="13">
      <c r="A51" s="38"/>
      <c r="B51" s="37"/>
      <c r="C51" s="37"/>
      <c r="D51" s="37"/>
      <c r="E51" s="37"/>
      <c r="F51" s="37"/>
      <c r="G51" s="36"/>
    </row>
    <row r="52" spans="1:14" ht="14" thickBot="1">
      <c r="A52" s="35"/>
      <c r="B52" s="34"/>
      <c r="C52" s="34"/>
      <c r="D52" s="34"/>
      <c r="E52" s="34"/>
      <c r="F52" s="34"/>
      <c r="G52" s="33"/>
    </row>
    <row r="55" spans="1:14" ht="15.75" customHeight="1">
      <c r="A55" s="32" t="s">
        <v>369</v>
      </c>
      <c r="I55" s="32" t="s">
        <v>459</v>
      </c>
    </row>
    <row r="58" spans="1:14" ht="15.75" customHeight="1">
      <c r="B58" s="32" t="s">
        <v>359</v>
      </c>
      <c r="C58" s="32" t="s">
        <v>370</v>
      </c>
      <c r="D58" s="32" t="s">
        <v>378</v>
      </c>
      <c r="E58" s="32" t="s">
        <v>370</v>
      </c>
      <c r="F58" s="32" t="s">
        <v>377</v>
      </c>
      <c r="G58" s="32" t="s">
        <v>370</v>
      </c>
      <c r="H58" s="32" t="s">
        <v>42</v>
      </c>
      <c r="I58" s="32" t="s">
        <v>276</v>
      </c>
    </row>
    <row r="59" spans="1:14" ht="15.75" customHeight="1">
      <c r="A59" s="32">
        <v>0</v>
      </c>
      <c r="B59" s="32">
        <f>H3</f>
        <v>80000</v>
      </c>
      <c r="C59" s="32">
        <f>LOG($B$59)-LOG(B59)</f>
        <v>0</v>
      </c>
      <c r="D59" s="32">
        <f>H11</f>
        <v>20000</v>
      </c>
      <c r="E59" s="32">
        <f>LOG($D$59)-LOG(D59)</f>
        <v>0</v>
      </c>
      <c r="F59" s="32">
        <f>H32</f>
        <v>120000</v>
      </c>
      <c r="G59" s="32">
        <f>LOG($F$59)-LOG(F59)</f>
        <v>0</v>
      </c>
      <c r="H59" s="32">
        <f>AVERAGE(E59,G59)</f>
        <v>0</v>
      </c>
      <c r="I59" s="32">
        <f>STDEV(E59,G59)/SQRT(2)</f>
        <v>0</v>
      </c>
    </row>
    <row r="60" spans="1:14" ht="15.75" customHeight="1">
      <c r="A60" s="32">
        <v>2</v>
      </c>
      <c r="B60" s="32">
        <f>H5</f>
        <v>91000</v>
      </c>
      <c r="C60" s="32">
        <f>LOG($B$59)-LOG(B60)</f>
        <v>-5.5951405329150106E-2</v>
      </c>
      <c r="D60" s="32">
        <f>H14</f>
        <v>67.2</v>
      </c>
      <c r="E60" s="32">
        <f>LOG($D$59)-LOG(D60)</f>
        <v>2.4736607226101559</v>
      </c>
      <c r="F60" s="32">
        <f>H35</f>
        <v>10.199999999999999</v>
      </c>
      <c r="G60" s="32">
        <f>LOG($F$59)-LOG(F60)</f>
        <v>4.0705810742857071</v>
      </c>
      <c r="H60" s="32">
        <f>AVERAGE(E60,G60)</f>
        <v>3.2721208984479313</v>
      </c>
      <c r="I60" s="32">
        <f>STDEV(E60,G60)/SQRT(2)</f>
        <v>0.79846017583777551</v>
      </c>
    </row>
    <row r="61" spans="1:14" ht="15.75" customHeight="1">
      <c r="A61" s="32">
        <v>4</v>
      </c>
      <c r="B61" s="32">
        <f>H7</f>
        <v>161000</v>
      </c>
      <c r="C61" s="32">
        <f>LOG($B$59)-LOG(B61)</f>
        <v>-0.30373588903990623</v>
      </c>
      <c r="D61" s="32">
        <v>1</v>
      </c>
      <c r="E61" s="32">
        <f>LOG($D$59)-LOG(D61)</f>
        <v>4.3010299956639813</v>
      </c>
      <c r="F61" s="32">
        <v>1</v>
      </c>
      <c r="G61" s="32">
        <f>LOG($F$59)-LOG(F61)</f>
        <v>5.0791812460476251</v>
      </c>
      <c r="H61" s="32">
        <f>AVERAGE(E61,G61)</f>
        <v>4.6901056208558032</v>
      </c>
      <c r="I61" s="32">
        <f>STDEV(E61,G61)/SQRT(2)</f>
        <v>0.38907562519182187</v>
      </c>
    </row>
    <row r="62" spans="1:14" ht="15.75" customHeight="1">
      <c r="A62" s="32">
        <v>8</v>
      </c>
      <c r="B62" s="32">
        <f>H9</f>
        <v>30000</v>
      </c>
      <c r="C62" s="32">
        <f>LOG($B$59)-LOG(B62)</f>
        <v>0.42596873227228116</v>
      </c>
      <c r="D62" s="32">
        <v>1</v>
      </c>
      <c r="E62" s="32">
        <f>LOG($D$59)-LOG(D62)</f>
        <v>4.3010299956639813</v>
      </c>
      <c r="F62" s="32">
        <v>1</v>
      </c>
      <c r="G62" s="32">
        <f>LOG($F$59)-LOG(F62)</f>
        <v>5.0791812460476251</v>
      </c>
      <c r="H62" s="32">
        <f>AVERAGE(E62,G62)</f>
        <v>4.6901056208558032</v>
      </c>
      <c r="I62" s="32">
        <f>STDEV(E62,G62)/SQRT(2)</f>
        <v>0.38907562519182187</v>
      </c>
    </row>
  </sheetData>
  <pageMargins left="0.7" right="0.7" top="0.75" bottom="0.75" header="0.3" footer="0.3"/>
  <pageSetup orientation="portrait" horizontalDpi="4294967292" verticalDpi="429496729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A4DF6-FA1D-8B43-815F-145FA3F38EF3}">
  <dimension ref="A1:P36"/>
  <sheetViews>
    <sheetView zoomScale="70" zoomScaleNormal="70" workbookViewId="0">
      <selection activeCell="F17" sqref="F17"/>
    </sheetView>
  </sheetViews>
  <sheetFormatPr baseColWidth="10" defaultColWidth="10.6640625" defaultRowHeight="16"/>
  <cols>
    <col min="1" max="1" width="14.33203125" customWidth="1"/>
    <col min="2" max="2" width="23.5" customWidth="1"/>
    <col min="3" max="10" width="10.6640625" customWidth="1"/>
    <col min="11" max="11" width="17.6640625" bestFit="1" customWidth="1"/>
    <col min="12" max="12" width="10.6640625" customWidth="1"/>
    <col min="13" max="13" width="27" bestFit="1" customWidth="1"/>
    <col min="14" max="14" width="28.33203125" bestFit="1" customWidth="1"/>
  </cols>
  <sheetData>
    <row r="1" spans="1:16">
      <c r="A1" s="10" t="s">
        <v>458</v>
      </c>
      <c r="B1" s="10"/>
      <c r="C1" s="10"/>
      <c r="D1" s="10"/>
      <c r="E1" s="10"/>
      <c r="F1" s="10"/>
      <c r="G1" s="10"/>
      <c r="H1" s="10"/>
      <c r="I1" s="10"/>
      <c r="J1" s="10"/>
    </row>
    <row r="2" spans="1:16">
      <c r="A2" s="10"/>
      <c r="B2" s="10">
        <v>0.5</v>
      </c>
      <c r="C2" s="10"/>
      <c r="D2" s="10"/>
      <c r="G2" s="10">
        <v>1</v>
      </c>
      <c r="H2" s="10"/>
      <c r="I2" s="10"/>
      <c r="L2" s="10">
        <v>1.5</v>
      </c>
      <c r="M2" s="10"/>
      <c r="N2" s="10"/>
    </row>
    <row r="3" spans="1:16">
      <c r="A3" s="10"/>
      <c r="B3" s="10" t="s">
        <v>22</v>
      </c>
      <c r="C3" s="10" t="s">
        <v>21</v>
      </c>
      <c r="D3" s="10" t="s">
        <v>20</v>
      </c>
      <c r="E3" s="67" t="s">
        <v>42</v>
      </c>
      <c r="F3" s="67" t="s">
        <v>276</v>
      </c>
      <c r="G3" s="10" t="s">
        <v>22</v>
      </c>
      <c r="H3" s="10" t="s">
        <v>21</v>
      </c>
      <c r="I3" s="10" t="s">
        <v>20</v>
      </c>
      <c r="J3" s="67" t="s">
        <v>42</v>
      </c>
      <c r="K3" s="67" t="s">
        <v>276</v>
      </c>
      <c r="L3" s="10" t="s">
        <v>22</v>
      </c>
      <c r="M3" s="10" t="s">
        <v>21</v>
      </c>
      <c r="N3" s="10" t="s">
        <v>20</v>
      </c>
      <c r="O3" s="67" t="s">
        <v>42</v>
      </c>
      <c r="P3" s="67" t="s">
        <v>276</v>
      </c>
    </row>
    <row r="4" spans="1:16">
      <c r="A4" s="10">
        <v>0</v>
      </c>
      <c r="B4" s="10" t="s">
        <v>190</v>
      </c>
      <c r="C4" s="10" t="s">
        <v>190</v>
      </c>
      <c r="D4" s="10" t="s">
        <v>190</v>
      </c>
      <c r="E4">
        <v>0</v>
      </c>
      <c r="F4">
        <v>0</v>
      </c>
      <c r="G4" s="10">
        <v>0.70640844589999996</v>
      </c>
      <c r="H4" s="10">
        <v>0.26311458780000002</v>
      </c>
      <c r="I4" s="10">
        <v>0.57009427989999995</v>
      </c>
      <c r="J4">
        <v>0</v>
      </c>
      <c r="K4">
        <v>0</v>
      </c>
      <c r="L4" s="10" t="s">
        <v>190</v>
      </c>
      <c r="M4" s="10" t="s">
        <v>190</v>
      </c>
      <c r="N4" s="10" t="s">
        <v>190</v>
      </c>
      <c r="O4">
        <v>0</v>
      </c>
      <c r="P4">
        <v>0</v>
      </c>
    </row>
    <row r="5" spans="1:16">
      <c r="A5" s="10">
        <v>5</v>
      </c>
      <c r="B5" t="s">
        <v>190</v>
      </c>
      <c r="C5">
        <v>23.011820830000001</v>
      </c>
      <c r="D5">
        <v>16.791628119999999</v>
      </c>
      <c r="E5">
        <f>AVERAGE(B5:D5)</f>
        <v>19.901724475000002</v>
      </c>
      <c r="F5">
        <f>STDEV(B5:D5)/SQRT(3)</f>
        <v>2.539383040213278</v>
      </c>
      <c r="G5" s="10">
        <v>51.81232189</v>
      </c>
      <c r="H5" s="10">
        <v>22.808632830000001</v>
      </c>
      <c r="I5" s="10">
        <v>7.9303572860000004</v>
      </c>
      <c r="J5">
        <f>AVERAGE(G5:I5)</f>
        <v>27.517104002</v>
      </c>
      <c r="K5">
        <f>STDEV(G5:I5)/SQRT(3)</f>
        <v>12.884538278622214</v>
      </c>
      <c r="L5" s="10">
        <v>13.332519229999999</v>
      </c>
      <c r="M5" s="10">
        <v>41.367161100000004</v>
      </c>
      <c r="N5" s="10">
        <v>53.161052339999998</v>
      </c>
      <c r="O5">
        <f>AVERAGE(L5:N5)</f>
        <v>35.953577556666666</v>
      </c>
      <c r="P5">
        <f>STDEV(L5:N5)/SQRT(3)</f>
        <v>11.811832732604463</v>
      </c>
    </row>
    <row r="6" spans="1:16">
      <c r="A6" s="10">
        <v>10</v>
      </c>
      <c r="B6">
        <v>141.46758589999999</v>
      </c>
      <c r="C6">
        <v>68.267827150000002</v>
      </c>
      <c r="D6">
        <v>103.0653217</v>
      </c>
      <c r="E6">
        <f>AVERAGE(B6:D6)</f>
        <v>104.26691158333331</v>
      </c>
      <c r="F6">
        <f>STDEV(B6:D6)/SQRT(3)</f>
        <v>21.139489381647429</v>
      </c>
      <c r="G6" s="10">
        <v>154.6995756</v>
      </c>
      <c r="H6" s="10">
        <v>101.36639349999999</v>
      </c>
      <c r="I6" s="10">
        <v>126.98266459999999</v>
      </c>
      <c r="J6">
        <f>AVERAGE(G6:I6)</f>
        <v>127.68287789999999</v>
      </c>
      <c r="K6">
        <f>STDEV(G6:I6)/SQRT(3)</f>
        <v>15.39994374694338</v>
      </c>
      <c r="L6" s="10">
        <v>192.36844579999999</v>
      </c>
      <c r="M6" s="10">
        <v>259.7713703</v>
      </c>
      <c r="N6" s="10">
        <v>273.94225990000001</v>
      </c>
      <c r="O6">
        <f>AVERAGE(L6:N6)</f>
        <v>242.02735866666663</v>
      </c>
      <c r="P6">
        <f>STDEV(L6:N6)/SQRT(3)</f>
        <v>25.164189160645588</v>
      </c>
    </row>
    <row r="7" spans="1:16">
      <c r="A7" s="10">
        <v>20</v>
      </c>
      <c r="B7">
        <v>277.20207349999998</v>
      </c>
      <c r="C7">
        <v>159.3561977</v>
      </c>
      <c r="D7">
        <v>142.67914500000001</v>
      </c>
      <c r="E7">
        <f>AVERAGE(B7:D7)</f>
        <v>193.07913873333334</v>
      </c>
      <c r="F7">
        <f>STDEV(B7:D7)/SQRT(3)</f>
        <v>42.336084439507303</v>
      </c>
      <c r="G7" s="10">
        <v>343.51957050000004</v>
      </c>
      <c r="H7" s="10">
        <v>176.52580810000001</v>
      </c>
      <c r="I7" s="10">
        <v>230.50986410000002</v>
      </c>
      <c r="J7">
        <f>AVERAGE(G7:I7)</f>
        <v>250.1850809</v>
      </c>
      <c r="K7">
        <f>STDEV(G7:I7)/SQRT(3)</f>
        <v>49.200490469175115</v>
      </c>
      <c r="L7" t="s">
        <v>190</v>
      </c>
      <c r="M7">
        <v>408.96068500000001</v>
      </c>
      <c r="N7" s="10">
        <v>340.44494569999995</v>
      </c>
      <c r="O7">
        <f>AVERAGE(L7:N7)</f>
        <v>374.70281534999998</v>
      </c>
      <c r="P7">
        <f>STDEV(L7:N7)/SQRT(3)</f>
        <v>27.971433439092745</v>
      </c>
    </row>
    <row r="8" spans="1:16">
      <c r="A8" s="10">
        <v>30</v>
      </c>
      <c r="B8">
        <v>437.44127589999999</v>
      </c>
      <c r="C8">
        <v>293.25450560000002</v>
      </c>
      <c r="D8">
        <v>218.7895824</v>
      </c>
      <c r="E8">
        <f>AVERAGE(B8:D8)</f>
        <v>316.49512129999999</v>
      </c>
      <c r="F8">
        <f>STDEV(B8:D8)/SQRT(3)</f>
        <v>64.180047343887225</v>
      </c>
      <c r="G8">
        <v>379.44116079999998</v>
      </c>
      <c r="H8" s="10">
        <v>395.32721700000002</v>
      </c>
      <c r="I8">
        <v>371.3393648</v>
      </c>
      <c r="J8">
        <f>AVERAGE(G8:I8)</f>
        <v>382.03591420000004</v>
      </c>
      <c r="K8">
        <f>STDEV(G8:I8)/SQRT(3)</f>
        <v>7.0451832764750275</v>
      </c>
      <c r="L8" s="10">
        <v>432.3633418</v>
      </c>
      <c r="M8">
        <v>401.29083870000005</v>
      </c>
      <c r="N8">
        <v>445.74992829999997</v>
      </c>
      <c r="O8">
        <f>AVERAGE(L8:N8)</f>
        <v>426.46803626666662</v>
      </c>
      <c r="P8">
        <f>STDEV(L8:N8)/SQRT(3)</f>
        <v>13.1683792031482</v>
      </c>
    </row>
    <row r="11" spans="1:16" ht="17" thickBot="1">
      <c r="N11" s="13"/>
    </row>
    <row r="12" spans="1:16" ht="16" customHeight="1" thickBot="1">
      <c r="K12" s="74" t="s">
        <v>457</v>
      </c>
      <c r="L12" s="75"/>
      <c r="M12" s="75"/>
      <c r="N12" s="66"/>
    </row>
    <row r="13" spans="1:16" ht="52" thickBot="1">
      <c r="K13" s="65" t="s">
        <v>456</v>
      </c>
      <c r="L13" s="64" t="s">
        <v>455</v>
      </c>
      <c r="M13" s="63" t="s">
        <v>454</v>
      </c>
    </row>
    <row r="14" spans="1:16" ht="17" thickBot="1">
      <c r="K14" s="65">
        <v>0.5</v>
      </c>
      <c r="L14" s="64">
        <v>1</v>
      </c>
      <c r="M14" s="63">
        <v>1</v>
      </c>
      <c r="N14" s="62"/>
    </row>
    <row r="15" spans="1:16" ht="17" thickBot="1">
      <c r="K15" s="65">
        <v>1</v>
      </c>
      <c r="L15" s="64">
        <v>2</v>
      </c>
      <c r="M15" s="63">
        <v>1.23</v>
      </c>
      <c r="N15" s="62"/>
    </row>
    <row r="16" spans="1:16" ht="17" thickBot="1">
      <c r="K16" s="65">
        <v>1.5</v>
      </c>
      <c r="L16" s="64">
        <v>3</v>
      </c>
      <c r="M16" s="63">
        <v>1.58</v>
      </c>
      <c r="N16" s="62"/>
    </row>
    <row r="17" spans="1:14">
      <c r="N17" s="13"/>
    </row>
    <row r="18" spans="1:14">
      <c r="A18" t="s">
        <v>38</v>
      </c>
      <c r="B18" t="s">
        <v>453</v>
      </c>
      <c r="N18" s="62"/>
    </row>
    <row r="19" spans="1:14">
      <c r="A19" t="s">
        <v>452</v>
      </c>
      <c r="N19" s="13"/>
    </row>
    <row r="20" spans="1:14">
      <c r="A20" t="s">
        <v>451</v>
      </c>
      <c r="N20" s="13"/>
    </row>
    <row r="21" spans="1:14">
      <c r="A21" t="s">
        <v>450</v>
      </c>
      <c r="N21" s="13"/>
    </row>
    <row r="22" spans="1:14">
      <c r="A22" t="s">
        <v>449</v>
      </c>
      <c r="N22" s="13"/>
    </row>
    <row r="23" spans="1:14">
      <c r="A23" t="s">
        <v>448</v>
      </c>
      <c r="N23" s="13"/>
    </row>
    <row r="24" spans="1:14">
      <c r="A24" t="s">
        <v>447</v>
      </c>
      <c r="N24" s="13"/>
    </row>
    <row r="25" spans="1:14">
      <c r="A25" t="s">
        <v>446</v>
      </c>
    </row>
    <row r="26" spans="1:14">
      <c r="A26" t="s">
        <v>445</v>
      </c>
    </row>
    <row r="27" spans="1:14">
      <c r="A27" t="s">
        <v>444</v>
      </c>
    </row>
    <row r="28" spans="1:14">
      <c r="A28" t="s">
        <v>443</v>
      </c>
    </row>
    <row r="29" spans="1:14">
      <c r="A29" t="s">
        <v>442</v>
      </c>
    </row>
    <row r="30" spans="1:14">
      <c r="A30" t="s">
        <v>441</v>
      </c>
    </row>
    <row r="31" spans="1:14">
      <c r="A31" t="s">
        <v>440</v>
      </c>
    </row>
    <row r="32" spans="1:14">
      <c r="A32" t="s">
        <v>439</v>
      </c>
    </row>
    <row r="33" spans="1:1">
      <c r="A33" t="s">
        <v>438</v>
      </c>
    </row>
    <row r="34" spans="1:1">
      <c r="A34" t="s">
        <v>437</v>
      </c>
    </row>
    <row r="35" spans="1:1">
      <c r="A35" t="s">
        <v>436</v>
      </c>
    </row>
    <row r="36" spans="1:1">
      <c r="A36" t="s">
        <v>435</v>
      </c>
    </row>
  </sheetData>
  <mergeCells count="1">
    <mergeCell ref="K12:M12"/>
  </mergeCells>
  <pageMargins left="0.7" right="0.7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9A50-EBEB-CD48-9878-6C64F9C8E0CB}">
  <dimension ref="A1:U87"/>
  <sheetViews>
    <sheetView topLeftCell="P3" zoomScaleNormal="100" workbookViewId="0">
      <selection activeCell="AA37" sqref="AA37"/>
    </sheetView>
  </sheetViews>
  <sheetFormatPr baseColWidth="10" defaultRowHeight="16"/>
  <sheetData>
    <row r="1" spans="1:21">
      <c r="A1" t="s">
        <v>38</v>
      </c>
      <c r="B1" t="s">
        <v>37</v>
      </c>
      <c r="C1" t="s">
        <v>36</v>
      </c>
      <c r="D1" t="s">
        <v>39</v>
      </c>
      <c r="G1" s="76" t="s">
        <v>260</v>
      </c>
      <c r="H1" s="76"/>
      <c r="I1" s="76"/>
      <c r="J1" s="76"/>
      <c r="K1" s="76"/>
      <c r="L1" s="76" t="s">
        <v>261</v>
      </c>
      <c r="M1" s="76"/>
      <c r="N1" s="76"/>
      <c r="O1" s="76"/>
      <c r="P1" s="76"/>
      <c r="Q1" s="76" t="s">
        <v>262</v>
      </c>
      <c r="R1" s="76"/>
      <c r="S1" s="76"/>
      <c r="T1" s="76"/>
      <c r="U1" s="76"/>
    </row>
    <row r="2" spans="1:21">
      <c r="A2" t="s">
        <v>263</v>
      </c>
      <c r="B2">
        <v>13.87947984</v>
      </c>
      <c r="C2">
        <v>9.8408991000000001E-2</v>
      </c>
      <c r="D2">
        <f>C2*1</f>
        <v>9.8408991000000001E-2</v>
      </c>
      <c r="F2" t="s">
        <v>41</v>
      </c>
      <c r="G2" t="s">
        <v>22</v>
      </c>
      <c r="H2" t="s">
        <v>21</v>
      </c>
      <c r="I2" t="s">
        <v>20</v>
      </c>
      <c r="J2" t="s">
        <v>264</v>
      </c>
      <c r="K2" t="s">
        <v>265</v>
      </c>
      <c r="L2" t="s">
        <v>22</v>
      </c>
      <c r="M2" t="s">
        <v>21</v>
      </c>
      <c r="N2" t="s">
        <v>20</v>
      </c>
      <c r="O2" t="s">
        <v>264</v>
      </c>
      <c r="P2" t="s">
        <v>265</v>
      </c>
      <c r="Q2" t="s">
        <v>22</v>
      </c>
      <c r="R2" t="s">
        <v>21</v>
      </c>
      <c r="S2" t="s">
        <v>20</v>
      </c>
      <c r="T2" t="s">
        <v>264</v>
      </c>
      <c r="U2" t="s">
        <v>265</v>
      </c>
    </row>
    <row r="3" spans="1:21">
      <c r="A3" t="s">
        <v>266</v>
      </c>
      <c r="B3">
        <v>4.627749111</v>
      </c>
      <c r="C3">
        <v>0.84330396600000002</v>
      </c>
      <c r="D3">
        <f t="shared" ref="D3:D8" si="0">C3*100</f>
        <v>84.3303966</v>
      </c>
      <c r="F3">
        <v>0</v>
      </c>
      <c r="G3">
        <v>9.8408991000000001E-2</v>
      </c>
      <c r="H3">
        <v>0.13915792399999999</v>
      </c>
      <c r="I3">
        <v>0.45560050899999999</v>
      </c>
      <c r="J3">
        <f>(G3+H3+I3)/3</f>
        <v>0.231055808</v>
      </c>
      <c r="K3">
        <v>0.47176386300000001</v>
      </c>
      <c r="L3">
        <v>-0.219604834</v>
      </c>
      <c r="M3">
        <v>-0.19375388700000001</v>
      </c>
      <c r="N3">
        <v>0.28710302999999998</v>
      </c>
      <c r="O3">
        <f>(L3+M3+N3)/3</f>
        <v>-4.2085230333333355E-2</v>
      </c>
      <c r="P3">
        <v>-0.44558145799999999</v>
      </c>
      <c r="Q3">
        <v>-9.4254999999999999E-3</v>
      </c>
      <c r="R3">
        <v>0.13148709</v>
      </c>
      <c r="S3">
        <v>0.18547002300000001</v>
      </c>
      <c r="T3">
        <f>(Q3+R3+S3)/3</f>
        <v>0.10251053766666667</v>
      </c>
      <c r="U3">
        <v>0.280864224</v>
      </c>
    </row>
    <row r="4" spans="1:21">
      <c r="A4" t="s">
        <v>267</v>
      </c>
      <c r="B4">
        <v>3.2835830000000001</v>
      </c>
      <c r="C4">
        <v>0.98348102999999998</v>
      </c>
      <c r="D4">
        <f t="shared" si="0"/>
        <v>98.348102999999995</v>
      </c>
      <c r="F4">
        <v>20</v>
      </c>
      <c r="G4">
        <v>84.3303966</v>
      </c>
      <c r="H4">
        <v>92.941880499999996</v>
      </c>
      <c r="I4">
        <v>78.022360700000007</v>
      </c>
      <c r="J4">
        <f t="shared" ref="J4:J9" si="1">(G4+H4+I4)/3</f>
        <v>85.098212599999997</v>
      </c>
      <c r="K4">
        <v>4.1062091000000002E-2</v>
      </c>
      <c r="L4">
        <v>107.98865809999999</v>
      </c>
      <c r="M4">
        <v>139.58195470000001</v>
      </c>
      <c r="N4">
        <v>193.01376400000001</v>
      </c>
      <c r="O4">
        <f t="shared" ref="O4:O9" si="2">(L4+M4+N4)/3</f>
        <v>146.86145893333332</v>
      </c>
      <c r="P4">
        <v>-0.424677042</v>
      </c>
      <c r="Q4">
        <v>182.10600980000001</v>
      </c>
      <c r="R4">
        <v>997.95067139999992</v>
      </c>
      <c r="S4">
        <v>173.02819970000002</v>
      </c>
      <c r="T4">
        <f t="shared" ref="T4:T9" si="3">(Q4+R4+S4)/3</f>
        <v>451.02829363333331</v>
      </c>
      <c r="U4">
        <v>0.67161072799999999</v>
      </c>
    </row>
    <row r="5" spans="1:21">
      <c r="A5" t="s">
        <v>268</v>
      </c>
      <c r="B5">
        <v>2.6805818979999998</v>
      </c>
      <c r="C5">
        <v>2.497616641</v>
      </c>
      <c r="D5">
        <f t="shared" si="0"/>
        <v>249.76166409999999</v>
      </c>
      <c r="F5">
        <v>40</v>
      </c>
      <c r="G5">
        <v>98.348102999999995</v>
      </c>
      <c r="H5">
        <v>263.12164990000002</v>
      </c>
      <c r="I5">
        <v>224.42656500000001</v>
      </c>
      <c r="J5">
        <f t="shared" si="1"/>
        <v>195.29877263333333</v>
      </c>
      <c r="K5">
        <v>0.14033657699999999</v>
      </c>
      <c r="L5">
        <v>249.3954817</v>
      </c>
      <c r="M5">
        <v>326.27043830000002</v>
      </c>
      <c r="N5">
        <v>375.08513260000001</v>
      </c>
      <c r="O5">
        <f t="shared" si="2"/>
        <v>316.91701753333336</v>
      </c>
      <c r="P5">
        <v>-0.41715539099999999</v>
      </c>
      <c r="Q5">
        <v>296.31230690000001</v>
      </c>
      <c r="R5">
        <v>434.97893399999998</v>
      </c>
      <c r="S5">
        <v>333.0594231</v>
      </c>
      <c r="T5">
        <f t="shared" si="3"/>
        <v>354.7835546666667</v>
      </c>
      <c r="U5">
        <v>0.90559224500000002</v>
      </c>
    </row>
    <row r="6" spans="1:21">
      <c r="A6" t="s">
        <v>269</v>
      </c>
      <c r="B6">
        <v>0.458725094</v>
      </c>
      <c r="C6">
        <v>3.3119868370000001</v>
      </c>
      <c r="D6">
        <f t="shared" si="0"/>
        <v>331.1986837</v>
      </c>
      <c r="F6">
        <v>60</v>
      </c>
      <c r="G6">
        <v>249.76166409999999</v>
      </c>
      <c r="H6">
        <v>351.94578860000001</v>
      </c>
      <c r="I6">
        <v>334.9120226</v>
      </c>
      <c r="J6">
        <f t="shared" si="1"/>
        <v>312.20649176666666</v>
      </c>
      <c r="K6">
        <v>4.4240017999999999E-2</v>
      </c>
      <c r="L6">
        <v>445.09764140000004</v>
      </c>
      <c r="M6">
        <v>507.16331480000002</v>
      </c>
      <c r="N6">
        <v>532.06385899999998</v>
      </c>
      <c r="O6">
        <f t="shared" si="2"/>
        <v>494.77493840000005</v>
      </c>
      <c r="P6">
        <v>-0.396709863</v>
      </c>
      <c r="Q6">
        <v>442.80122759999995</v>
      </c>
      <c r="R6">
        <v>446.75507420000002</v>
      </c>
      <c r="S6">
        <v>430.92244040000003</v>
      </c>
      <c r="T6">
        <f t="shared" si="3"/>
        <v>440.15958073333331</v>
      </c>
      <c r="U6">
        <v>0.806600977</v>
      </c>
    </row>
    <row r="7" spans="1:21">
      <c r="A7" t="s">
        <v>270</v>
      </c>
      <c r="B7">
        <v>0.62597320999999995</v>
      </c>
      <c r="C7">
        <v>4.1707815909999999</v>
      </c>
      <c r="D7">
        <f t="shared" si="0"/>
        <v>417.07815909999999</v>
      </c>
      <c r="F7">
        <v>80</v>
      </c>
      <c r="G7">
        <v>331.1986837</v>
      </c>
      <c r="H7">
        <v>475.66763470000001</v>
      </c>
      <c r="I7">
        <v>372.28247329999999</v>
      </c>
      <c r="J7">
        <f t="shared" si="1"/>
        <v>393.04959723333332</v>
      </c>
      <c r="K7">
        <v>4.2817175999999998E-2</v>
      </c>
      <c r="L7">
        <v>505.4103255</v>
      </c>
      <c r="M7">
        <v>498.22788530000003</v>
      </c>
      <c r="N7">
        <v>562.01776490000009</v>
      </c>
      <c r="O7">
        <f t="shared" si="2"/>
        <v>521.88532523333333</v>
      </c>
      <c r="P7">
        <v>-0.39905947400000003</v>
      </c>
      <c r="Q7">
        <v>494.77422380000002</v>
      </c>
      <c r="R7">
        <v>464.83079299999997</v>
      </c>
      <c r="S7">
        <v>398.58159999999998</v>
      </c>
      <c r="T7">
        <f t="shared" si="3"/>
        <v>452.72887226666666</v>
      </c>
      <c r="U7">
        <v>0.78048258999999998</v>
      </c>
    </row>
    <row r="8" spans="1:21">
      <c r="A8" t="s">
        <v>271</v>
      </c>
      <c r="B8">
        <v>1.6243701589999999</v>
      </c>
      <c r="C8">
        <v>3.9580884250000001</v>
      </c>
      <c r="D8">
        <f t="shared" si="0"/>
        <v>395.80884250000003</v>
      </c>
      <c r="F8">
        <v>100</v>
      </c>
      <c r="G8">
        <v>417.07815909999999</v>
      </c>
      <c r="H8">
        <v>399.17390069999999</v>
      </c>
      <c r="I8">
        <v>459.59939459999998</v>
      </c>
      <c r="J8">
        <f t="shared" si="1"/>
        <v>425.28381813333334</v>
      </c>
      <c r="K8">
        <v>4.1883088999999998E-2</v>
      </c>
      <c r="L8">
        <v>508.53925960000004</v>
      </c>
      <c r="M8">
        <v>489.08847729999997</v>
      </c>
      <c r="N8">
        <v>530.7684319</v>
      </c>
      <c r="O8">
        <f t="shared" si="2"/>
        <v>509.46538959999998</v>
      </c>
      <c r="P8">
        <v>-0.32604626399999997</v>
      </c>
      <c r="Q8">
        <v>392.38358290000002</v>
      </c>
      <c r="R8">
        <v>390.60437939999997</v>
      </c>
      <c r="S8">
        <v>484.73957109999998</v>
      </c>
      <c r="T8">
        <f t="shared" si="3"/>
        <v>422.57584446666664</v>
      </c>
      <c r="U8">
        <v>4.3155788739999998</v>
      </c>
    </row>
    <row r="9" spans="1:21">
      <c r="A9" t="s">
        <v>272</v>
      </c>
      <c r="B9">
        <v>47.479944879999998</v>
      </c>
      <c r="C9">
        <v>0.13915792399999999</v>
      </c>
      <c r="D9">
        <f>C9*1</f>
        <v>0.13915792399999999</v>
      </c>
      <c r="F9">
        <v>120</v>
      </c>
      <c r="G9">
        <v>395.80884250000003</v>
      </c>
      <c r="H9">
        <v>486.45841939999997</v>
      </c>
      <c r="I9">
        <v>451.40499710000006</v>
      </c>
      <c r="J9">
        <f t="shared" si="1"/>
        <v>444.55741966666665</v>
      </c>
      <c r="K9">
        <v>8.2068631000000003E-2</v>
      </c>
      <c r="L9">
        <v>496.20658869999994</v>
      </c>
      <c r="M9">
        <v>507.90877090000004</v>
      </c>
      <c r="N9">
        <v>565.52642600000001</v>
      </c>
      <c r="O9">
        <f t="shared" si="2"/>
        <v>523.21392853333327</v>
      </c>
      <c r="P9">
        <v>8.2443010000000008E-3</v>
      </c>
      <c r="Q9">
        <v>432.06669010000002</v>
      </c>
      <c r="R9">
        <v>567.21790170000008</v>
      </c>
      <c r="S9">
        <v>507.22512149999994</v>
      </c>
      <c r="T9">
        <f t="shared" si="3"/>
        <v>502.16990443333333</v>
      </c>
      <c r="U9">
        <v>0.88327011300000002</v>
      </c>
    </row>
    <row r="10" spans="1:21">
      <c r="A10" t="s">
        <v>273</v>
      </c>
      <c r="B10">
        <v>1.1685511399999999</v>
      </c>
      <c r="C10">
        <v>0.92941880499999996</v>
      </c>
      <c r="D10">
        <f t="shared" ref="D10:D15" si="4">C10*100</f>
        <v>92.941880499999996</v>
      </c>
    </row>
    <row r="11" spans="1:21">
      <c r="A11" t="s">
        <v>274</v>
      </c>
      <c r="B11">
        <v>9.3329602289999993</v>
      </c>
      <c r="C11">
        <v>2.6312164990000002</v>
      </c>
      <c r="D11">
        <f t="shared" si="4"/>
        <v>263.12164990000002</v>
      </c>
    </row>
    <row r="12" spans="1:21">
      <c r="A12" t="s">
        <v>275</v>
      </c>
      <c r="B12">
        <v>0.85620112199999998</v>
      </c>
      <c r="C12">
        <v>3.5194578860000001</v>
      </c>
      <c r="D12">
        <f t="shared" si="4"/>
        <v>351.94578860000001</v>
      </c>
      <c r="G12" s="76" t="s">
        <v>276</v>
      </c>
      <c r="H12" s="76"/>
      <c r="I12" s="76"/>
      <c r="L12" t="s">
        <v>277</v>
      </c>
      <c r="M12" t="s">
        <v>278</v>
      </c>
      <c r="N12" t="s">
        <v>279</v>
      </c>
    </row>
    <row r="13" spans="1:21">
      <c r="A13" t="s">
        <v>280</v>
      </c>
      <c r="B13">
        <v>1.8050510070000001</v>
      </c>
      <c r="C13">
        <v>4.756676347</v>
      </c>
      <c r="D13">
        <f t="shared" si="4"/>
        <v>475.66763470000001</v>
      </c>
      <c r="F13" t="s">
        <v>41</v>
      </c>
      <c r="G13" t="s">
        <v>277</v>
      </c>
      <c r="H13" t="s">
        <v>278</v>
      </c>
      <c r="I13" t="s">
        <v>279</v>
      </c>
      <c r="K13">
        <v>0</v>
      </c>
      <c r="L13">
        <v>0.231055808</v>
      </c>
      <c r="M13">
        <v>-4.2085230333333355E-2</v>
      </c>
      <c r="N13">
        <v>0.10251053766666667</v>
      </c>
    </row>
    <row r="14" spans="1:21">
      <c r="A14" t="s">
        <v>281</v>
      </c>
      <c r="B14">
        <v>0.77864003500000001</v>
      </c>
      <c r="C14">
        <v>3.9917390070000001</v>
      </c>
      <c r="D14">
        <f t="shared" si="4"/>
        <v>399.17390069999999</v>
      </c>
      <c r="F14">
        <v>0</v>
      </c>
      <c r="G14">
        <f t="shared" ref="G14:G20" si="5">(STDEV(G3:I3))/(SQRT(COUNT(G3:I3)))</f>
        <v>0.11288690645293956</v>
      </c>
      <c r="H14">
        <f t="shared" ref="H14:H20" si="6">(STDEV(L3:N3))/(SQRT(COUNT(L3:N3)))</f>
        <v>0.16476321486825071</v>
      </c>
      <c r="I14">
        <f t="shared" ref="I14:I20" si="7">(STDEV(Q3:S3))/(SQRT(COUNT(Q3:S3)))</f>
        <v>5.8097035667940028E-2</v>
      </c>
      <c r="K14">
        <v>20</v>
      </c>
      <c r="L14">
        <v>85.098212599999997</v>
      </c>
      <c r="M14">
        <v>146.86145893333332</v>
      </c>
      <c r="N14">
        <v>451.02829363333331</v>
      </c>
    </row>
    <row r="15" spans="1:21">
      <c r="A15" t="s">
        <v>282</v>
      </c>
      <c r="B15">
        <v>0.62650178099999998</v>
      </c>
      <c r="C15">
        <v>4.8645841939999999</v>
      </c>
      <c r="D15">
        <f t="shared" si="4"/>
        <v>486.45841939999997</v>
      </c>
      <c r="F15">
        <v>20</v>
      </c>
      <c r="G15">
        <f t="shared" si="5"/>
        <v>4.3239709304850766</v>
      </c>
      <c r="H15">
        <f t="shared" si="6"/>
        <v>24.813037868151135</v>
      </c>
      <c r="I15">
        <f t="shared" si="7"/>
        <v>273.47374470901303</v>
      </c>
      <c r="K15">
        <v>40</v>
      </c>
      <c r="L15">
        <v>195.29877263333333</v>
      </c>
      <c r="M15">
        <v>316.91701753333336</v>
      </c>
      <c r="N15">
        <v>354.7835546666667</v>
      </c>
    </row>
    <row r="16" spans="1:21">
      <c r="A16" t="s">
        <v>283</v>
      </c>
      <c r="B16">
        <v>8.2213323519999992</v>
      </c>
      <c r="C16">
        <v>0.45560050899999999</v>
      </c>
      <c r="D16">
        <f>C16*1</f>
        <v>0.45560050899999999</v>
      </c>
      <c r="F16">
        <v>40</v>
      </c>
      <c r="G16">
        <f t="shared" si="5"/>
        <v>49.745692127119149</v>
      </c>
      <c r="H16">
        <f t="shared" si="6"/>
        <v>36.583634528158754</v>
      </c>
      <c r="I16">
        <f t="shared" si="7"/>
        <v>41.477149480434612</v>
      </c>
      <c r="K16">
        <v>60</v>
      </c>
      <c r="L16">
        <v>312.20649176666666</v>
      </c>
      <c r="M16">
        <v>494.77493840000005</v>
      </c>
      <c r="N16">
        <v>440.15958073333331</v>
      </c>
    </row>
    <row r="17" spans="1:14">
      <c r="A17" t="s">
        <v>284</v>
      </c>
      <c r="B17">
        <v>1.5549658900000001</v>
      </c>
      <c r="C17">
        <v>0.78022360700000004</v>
      </c>
      <c r="D17">
        <f t="shared" ref="D17:D22" si="8">C17*100</f>
        <v>78.022360700000007</v>
      </c>
      <c r="F17">
        <v>60</v>
      </c>
      <c r="G17">
        <f t="shared" si="5"/>
        <v>31.607249552254466</v>
      </c>
      <c r="H17">
        <f t="shared" si="6"/>
        <v>25.857846348086124</v>
      </c>
      <c r="I17">
        <f t="shared" si="7"/>
        <v>4.7575132470424348</v>
      </c>
      <c r="K17">
        <v>80</v>
      </c>
      <c r="L17">
        <v>393.04959723333332</v>
      </c>
      <c r="M17">
        <v>521.88532523333333</v>
      </c>
      <c r="N17">
        <v>452.72887226666666</v>
      </c>
    </row>
    <row r="18" spans="1:14">
      <c r="A18" t="s">
        <v>285</v>
      </c>
      <c r="B18">
        <v>0.97003254900000002</v>
      </c>
      <c r="C18">
        <v>2.24426565</v>
      </c>
      <c r="D18">
        <f t="shared" si="8"/>
        <v>224.42656500000001</v>
      </c>
      <c r="F18">
        <v>80</v>
      </c>
      <c r="G18">
        <f t="shared" si="5"/>
        <v>42.977802519079304</v>
      </c>
      <c r="H18">
        <f t="shared" si="6"/>
        <v>20.173054610921199</v>
      </c>
      <c r="I18">
        <f t="shared" si="7"/>
        <v>28.420049158173509</v>
      </c>
      <c r="K18">
        <v>100</v>
      </c>
      <c r="L18">
        <v>425.28381813333334</v>
      </c>
      <c r="M18">
        <v>509.46538959999998</v>
      </c>
      <c r="N18">
        <v>422.57584446666664</v>
      </c>
    </row>
    <row r="19" spans="1:14">
      <c r="A19" t="s">
        <v>286</v>
      </c>
      <c r="B19">
        <v>0.76277447899999995</v>
      </c>
      <c r="C19">
        <v>3.3491202260000001</v>
      </c>
      <c r="D19">
        <f t="shared" si="8"/>
        <v>334.9120226</v>
      </c>
      <c r="F19">
        <v>100</v>
      </c>
      <c r="G19">
        <f t="shared" si="5"/>
        <v>17.919353675037389</v>
      </c>
      <c r="H19">
        <f t="shared" si="6"/>
        <v>12.040874019317021</v>
      </c>
      <c r="I19">
        <f t="shared" si="7"/>
        <v>31.086106612555621</v>
      </c>
      <c r="K19">
        <v>120</v>
      </c>
      <c r="L19">
        <v>444.55741966666665</v>
      </c>
      <c r="M19">
        <v>523.21392853333327</v>
      </c>
      <c r="N19">
        <v>502.16990443333333</v>
      </c>
    </row>
    <row r="20" spans="1:14">
      <c r="A20" t="s">
        <v>287</v>
      </c>
      <c r="B20">
        <v>0.86202220900000004</v>
      </c>
      <c r="C20">
        <v>3.7228247329999999</v>
      </c>
      <c r="D20">
        <f t="shared" si="8"/>
        <v>372.28247329999999</v>
      </c>
      <c r="F20">
        <v>120</v>
      </c>
      <c r="G20">
        <f t="shared" si="5"/>
        <v>26.391308137127101</v>
      </c>
      <c r="H20">
        <f t="shared" si="6"/>
        <v>21.424252989392699</v>
      </c>
      <c r="I20">
        <f t="shared" si="7"/>
        <v>39.096585161752266</v>
      </c>
    </row>
    <row r="21" spans="1:14">
      <c r="A21" t="s">
        <v>288</v>
      </c>
      <c r="B21">
        <v>0.34153456500000001</v>
      </c>
      <c r="C21">
        <v>4.5959939460000001</v>
      </c>
      <c r="D21">
        <f t="shared" si="8"/>
        <v>459.59939459999998</v>
      </c>
    </row>
    <row r="22" spans="1:14">
      <c r="A22" t="s">
        <v>289</v>
      </c>
      <c r="B22">
        <v>1.1998212109999999</v>
      </c>
      <c r="C22">
        <v>4.5140499710000004</v>
      </c>
      <c r="D22">
        <f t="shared" si="8"/>
        <v>451.40499710000006</v>
      </c>
      <c r="G22" s="76" t="s">
        <v>276</v>
      </c>
      <c r="H22" s="76"/>
      <c r="I22" s="76"/>
    </row>
    <row r="23" spans="1:14">
      <c r="A23" t="s">
        <v>290</v>
      </c>
      <c r="B23">
        <v>14.64719829</v>
      </c>
      <c r="C23">
        <v>0.47176386300000001</v>
      </c>
      <c r="D23">
        <f t="shared" ref="D23:D29" si="9">C23*1</f>
        <v>0.47176386300000001</v>
      </c>
      <c r="F23" t="s">
        <v>41</v>
      </c>
      <c r="G23" t="s">
        <v>277</v>
      </c>
      <c r="H23" t="s">
        <v>278</v>
      </c>
      <c r="I23" t="s">
        <v>279</v>
      </c>
    </row>
    <row r="24" spans="1:14">
      <c r="A24" t="s">
        <v>291</v>
      </c>
      <c r="B24">
        <v>20.454040339999999</v>
      </c>
      <c r="C24">
        <v>4.1062091000000002E-2</v>
      </c>
      <c r="D24">
        <f t="shared" si="9"/>
        <v>4.1062091000000002E-2</v>
      </c>
      <c r="F24">
        <v>0</v>
      </c>
      <c r="G24">
        <v>0.11288690645293956</v>
      </c>
      <c r="H24">
        <v>0.16476321486825071</v>
      </c>
      <c r="I24">
        <v>5.8097035667940028E-2</v>
      </c>
    </row>
    <row r="25" spans="1:14">
      <c r="A25" t="s">
        <v>292</v>
      </c>
      <c r="B25">
        <v>19.060541270000002</v>
      </c>
      <c r="C25">
        <v>0.14033657699999999</v>
      </c>
      <c r="D25">
        <f t="shared" si="9"/>
        <v>0.14033657699999999</v>
      </c>
      <c r="F25">
        <v>20</v>
      </c>
      <c r="G25">
        <v>4.3239709304850766</v>
      </c>
      <c r="H25">
        <v>24.813037868151135</v>
      </c>
      <c r="I25">
        <v>273.47374470901303</v>
      </c>
    </row>
    <row r="26" spans="1:14">
      <c r="A26" t="s">
        <v>293</v>
      </c>
      <c r="B26">
        <v>182.66048499999999</v>
      </c>
      <c r="C26">
        <v>4.4240017999999999E-2</v>
      </c>
      <c r="D26">
        <f t="shared" si="9"/>
        <v>4.4240017999999999E-2</v>
      </c>
      <c r="F26">
        <v>40</v>
      </c>
      <c r="G26">
        <v>49.745692127119149</v>
      </c>
      <c r="H26">
        <v>36.583634528158754</v>
      </c>
      <c r="I26">
        <v>41.477149480434612</v>
      </c>
    </row>
    <row r="27" spans="1:14">
      <c r="A27" t="s">
        <v>294</v>
      </c>
      <c r="B27">
        <v>404.05987329999999</v>
      </c>
      <c r="C27">
        <v>4.2817175999999998E-2</v>
      </c>
      <c r="D27">
        <f t="shared" si="9"/>
        <v>4.2817175999999998E-2</v>
      </c>
      <c r="F27">
        <v>60</v>
      </c>
      <c r="G27">
        <v>31.607249552254466</v>
      </c>
      <c r="H27">
        <v>25.857846348086124</v>
      </c>
      <c r="I27">
        <v>4.7575132470424348</v>
      </c>
    </row>
    <row r="28" spans="1:14">
      <c r="A28" t="s">
        <v>295</v>
      </c>
      <c r="B28">
        <v>127.5731821</v>
      </c>
      <c r="C28">
        <v>4.1883088999999998E-2</v>
      </c>
      <c r="D28">
        <f t="shared" si="9"/>
        <v>4.1883088999999998E-2</v>
      </c>
      <c r="F28">
        <v>80</v>
      </c>
      <c r="G28">
        <v>42.977802519079304</v>
      </c>
      <c r="H28">
        <v>20.173054610921199</v>
      </c>
      <c r="I28">
        <v>28.420049158173509</v>
      </c>
    </row>
    <row r="29" spans="1:14">
      <c r="A29" t="s">
        <v>296</v>
      </c>
      <c r="B29">
        <v>48.930727349999998</v>
      </c>
      <c r="C29">
        <v>8.2068631000000003E-2</v>
      </c>
      <c r="D29">
        <f t="shared" si="9"/>
        <v>8.2068631000000003E-2</v>
      </c>
      <c r="F29">
        <v>100</v>
      </c>
      <c r="G29">
        <v>17.919353675037389</v>
      </c>
      <c r="H29">
        <v>12.040874019317021</v>
      </c>
      <c r="I29">
        <v>31.086106612555621</v>
      </c>
    </row>
    <row r="30" spans="1:14">
      <c r="F30">
        <v>120</v>
      </c>
      <c r="G30">
        <v>26.391308137127101</v>
      </c>
      <c r="H30">
        <v>21.424252989392699</v>
      </c>
      <c r="I30">
        <v>39.096585161752266</v>
      </c>
    </row>
    <row r="31" spans="1:14">
      <c r="A31" t="s">
        <v>297</v>
      </c>
      <c r="B31">
        <v>82.372343799999996</v>
      </c>
      <c r="C31">
        <v>-0.219604834</v>
      </c>
      <c r="D31">
        <f>C31*1</f>
        <v>-0.219604834</v>
      </c>
    </row>
    <row r="32" spans="1:14">
      <c r="A32" t="s">
        <v>298</v>
      </c>
      <c r="B32">
        <v>30.993455229999999</v>
      </c>
      <c r="C32">
        <v>1.079886581</v>
      </c>
      <c r="D32">
        <f t="shared" ref="D32:D37" si="10">C32*100</f>
        <v>107.98865809999999</v>
      </c>
    </row>
    <row r="33" spans="1:4">
      <c r="A33" t="s">
        <v>299</v>
      </c>
      <c r="B33">
        <v>4.8408757480000002</v>
      </c>
      <c r="C33">
        <v>2.4939548170000001</v>
      </c>
      <c r="D33">
        <f t="shared" si="10"/>
        <v>249.3954817</v>
      </c>
    </row>
    <row r="34" spans="1:4">
      <c r="A34" t="s">
        <v>300</v>
      </c>
      <c r="B34">
        <v>1.80516356</v>
      </c>
      <c r="C34">
        <v>4.4509764140000003</v>
      </c>
      <c r="D34">
        <f t="shared" si="10"/>
        <v>445.09764140000004</v>
      </c>
    </row>
    <row r="35" spans="1:4">
      <c r="A35" t="s">
        <v>301</v>
      </c>
      <c r="B35">
        <v>3.876036166</v>
      </c>
      <c r="C35">
        <v>5.0541032550000002</v>
      </c>
      <c r="D35">
        <f t="shared" si="10"/>
        <v>505.4103255</v>
      </c>
    </row>
    <row r="36" spans="1:4">
      <c r="A36" t="s">
        <v>302</v>
      </c>
      <c r="B36">
        <v>4.1158663569999998</v>
      </c>
      <c r="C36">
        <v>5.0853925960000002</v>
      </c>
      <c r="D36">
        <f t="shared" si="10"/>
        <v>508.53925960000004</v>
      </c>
    </row>
    <row r="37" spans="1:4">
      <c r="A37" t="s">
        <v>303</v>
      </c>
      <c r="B37">
        <v>5.913928877</v>
      </c>
      <c r="C37">
        <v>4.9620658869999996</v>
      </c>
      <c r="D37">
        <f t="shared" si="10"/>
        <v>496.20658869999994</v>
      </c>
    </row>
    <row r="38" spans="1:4">
      <c r="A38" t="s">
        <v>304</v>
      </c>
      <c r="B38">
        <v>83.950788160000002</v>
      </c>
      <c r="C38">
        <v>-0.19375388700000001</v>
      </c>
      <c r="D38">
        <f>C38*1</f>
        <v>-0.19375388700000001</v>
      </c>
    </row>
    <row r="39" spans="1:4">
      <c r="A39" t="s">
        <v>305</v>
      </c>
      <c r="B39">
        <v>12.832152779999999</v>
      </c>
      <c r="C39">
        <v>1.3958195470000001</v>
      </c>
      <c r="D39">
        <f t="shared" ref="D39:D44" si="11">C39*100</f>
        <v>139.58195470000001</v>
      </c>
    </row>
    <row r="40" spans="1:4">
      <c r="A40" t="s">
        <v>306</v>
      </c>
      <c r="B40">
        <v>9.3570651419999997</v>
      </c>
      <c r="C40">
        <v>3.262704383</v>
      </c>
      <c r="D40">
        <f t="shared" si="11"/>
        <v>326.27043830000002</v>
      </c>
    </row>
    <row r="41" spans="1:4">
      <c r="A41" t="s">
        <v>307</v>
      </c>
      <c r="B41">
        <v>1.6185438329999999</v>
      </c>
      <c r="C41">
        <v>5.0716331480000001</v>
      </c>
      <c r="D41">
        <f t="shared" si="11"/>
        <v>507.16331480000002</v>
      </c>
    </row>
    <row r="42" spans="1:4">
      <c r="A42" t="s">
        <v>308</v>
      </c>
      <c r="B42">
        <v>1.815547273</v>
      </c>
      <c r="C42">
        <v>4.9822788530000004</v>
      </c>
      <c r="D42">
        <f t="shared" si="11"/>
        <v>498.22788530000003</v>
      </c>
    </row>
    <row r="43" spans="1:4">
      <c r="A43" t="s">
        <v>309</v>
      </c>
      <c r="B43">
        <v>3.4569851749999998</v>
      </c>
      <c r="C43">
        <v>4.8908847729999998</v>
      </c>
      <c r="D43">
        <f t="shared" si="11"/>
        <v>489.08847729999997</v>
      </c>
    </row>
    <row r="44" spans="1:4">
      <c r="A44" t="s">
        <v>310</v>
      </c>
      <c r="B44">
        <v>4.8041027720000002</v>
      </c>
      <c r="C44">
        <v>5.0790877090000004</v>
      </c>
      <c r="D44">
        <f t="shared" si="11"/>
        <v>507.90877090000004</v>
      </c>
    </row>
    <row r="45" spans="1:4">
      <c r="A45" t="s">
        <v>311</v>
      </c>
      <c r="B45">
        <v>19.05047648</v>
      </c>
      <c r="C45">
        <v>0.28710302999999998</v>
      </c>
      <c r="D45">
        <f>C45*1</f>
        <v>0.28710302999999998</v>
      </c>
    </row>
    <row r="46" spans="1:4">
      <c r="A46" t="s">
        <v>312</v>
      </c>
      <c r="B46">
        <v>4.9453803130000002</v>
      </c>
      <c r="C46">
        <v>1.9301376400000001</v>
      </c>
      <c r="D46">
        <f t="shared" ref="D46:D51" si="12">C46*100</f>
        <v>193.01376400000001</v>
      </c>
    </row>
    <row r="47" spans="1:4">
      <c r="A47" t="s">
        <v>313</v>
      </c>
      <c r="B47">
        <v>2.4633981899999999</v>
      </c>
      <c r="C47">
        <v>3.7508513259999998</v>
      </c>
      <c r="D47">
        <f t="shared" si="12"/>
        <v>375.08513260000001</v>
      </c>
    </row>
    <row r="48" spans="1:4">
      <c r="A48" t="s">
        <v>314</v>
      </c>
      <c r="B48">
        <v>4.9339204929999996</v>
      </c>
      <c r="C48">
        <v>5.3206385899999997</v>
      </c>
      <c r="D48">
        <f t="shared" si="12"/>
        <v>532.06385899999998</v>
      </c>
    </row>
    <row r="49" spans="1:4">
      <c r="A49" t="s">
        <v>315</v>
      </c>
      <c r="B49">
        <v>3.1649041740000001</v>
      </c>
      <c r="C49">
        <v>5.6201776490000004</v>
      </c>
      <c r="D49">
        <f t="shared" si="12"/>
        <v>562.01776490000009</v>
      </c>
    </row>
    <row r="50" spans="1:4">
      <c r="A50" t="s">
        <v>316</v>
      </c>
      <c r="B50">
        <v>4.2371372850000002</v>
      </c>
      <c r="C50">
        <v>5.3076843189999998</v>
      </c>
      <c r="D50">
        <f t="shared" si="12"/>
        <v>530.7684319</v>
      </c>
    </row>
    <row r="51" spans="1:4">
      <c r="A51" t="s">
        <v>317</v>
      </c>
      <c r="B51">
        <v>2.0597035959999999</v>
      </c>
      <c r="C51">
        <v>5.65526426</v>
      </c>
      <c r="D51">
        <f t="shared" si="12"/>
        <v>565.52642600000001</v>
      </c>
    </row>
    <row r="52" spans="1:4">
      <c r="A52" t="s">
        <v>318</v>
      </c>
      <c r="B52">
        <v>2266.2094189999998</v>
      </c>
      <c r="C52">
        <v>-0.44558145799999999</v>
      </c>
      <c r="D52">
        <f t="shared" ref="D52:D58" si="13">C52*1</f>
        <v>-0.44558145799999999</v>
      </c>
    </row>
    <row r="53" spans="1:4">
      <c r="A53" t="s">
        <v>319</v>
      </c>
      <c r="B53">
        <v>590.7153611</v>
      </c>
      <c r="C53">
        <v>-0.424677042</v>
      </c>
      <c r="D53">
        <f t="shared" si="13"/>
        <v>-0.424677042</v>
      </c>
    </row>
    <row r="54" spans="1:4">
      <c r="A54" t="s">
        <v>320</v>
      </c>
      <c r="B54">
        <v>418.36967129999999</v>
      </c>
      <c r="C54">
        <v>-0.41715539099999999</v>
      </c>
      <c r="D54">
        <f t="shared" si="13"/>
        <v>-0.41715539099999999</v>
      </c>
    </row>
    <row r="55" spans="1:4">
      <c r="A55" t="s">
        <v>321</v>
      </c>
      <c r="B55">
        <v>357.94593379999998</v>
      </c>
      <c r="C55">
        <v>-0.396709863</v>
      </c>
      <c r="D55">
        <f t="shared" si="13"/>
        <v>-0.396709863</v>
      </c>
    </row>
    <row r="56" spans="1:4">
      <c r="A56" t="s">
        <v>322</v>
      </c>
      <c r="B56">
        <v>264.94895789999998</v>
      </c>
      <c r="C56">
        <v>-0.39905947400000003</v>
      </c>
      <c r="D56">
        <f t="shared" si="13"/>
        <v>-0.39905947400000003</v>
      </c>
    </row>
    <row r="57" spans="1:4">
      <c r="A57" t="s">
        <v>323</v>
      </c>
      <c r="B57">
        <v>75.320028600000001</v>
      </c>
      <c r="C57">
        <v>-0.32604626399999997</v>
      </c>
      <c r="D57">
        <f t="shared" si="13"/>
        <v>-0.32604626399999997</v>
      </c>
    </row>
    <row r="58" spans="1:4">
      <c r="A58" t="s">
        <v>324</v>
      </c>
      <c r="B58">
        <v>21.399014810000001</v>
      </c>
      <c r="C58">
        <v>8.2443010000000008E-3</v>
      </c>
      <c r="D58">
        <f t="shared" si="13"/>
        <v>8.2443010000000008E-3</v>
      </c>
    </row>
    <row r="60" spans="1:4">
      <c r="A60" t="s">
        <v>325</v>
      </c>
      <c r="B60">
        <v>17.972743560000001</v>
      </c>
      <c r="C60">
        <v>-9.4254999999999999E-3</v>
      </c>
      <c r="D60">
        <f>C60*1</f>
        <v>-9.4254999999999999E-3</v>
      </c>
    </row>
    <row r="61" spans="1:4">
      <c r="A61" t="s">
        <v>326</v>
      </c>
      <c r="B61">
        <v>0.68435317399999995</v>
      </c>
      <c r="C61">
        <v>1.821060098</v>
      </c>
      <c r="D61">
        <f t="shared" ref="D61:D66" si="14">C61*100</f>
        <v>182.10600980000001</v>
      </c>
    </row>
    <row r="62" spans="1:4">
      <c r="A62" t="s">
        <v>327</v>
      </c>
      <c r="B62">
        <v>0.58217907999999996</v>
      </c>
      <c r="C62">
        <v>2.9631230689999999</v>
      </c>
      <c r="D62">
        <f t="shared" si="14"/>
        <v>296.31230690000001</v>
      </c>
    </row>
    <row r="63" spans="1:4">
      <c r="A63" t="s">
        <v>328</v>
      </c>
      <c r="B63">
        <v>4.4367018000000001E-2</v>
      </c>
      <c r="C63">
        <v>4.4280122759999996</v>
      </c>
      <c r="D63">
        <f t="shared" si="14"/>
        <v>442.80122759999995</v>
      </c>
    </row>
    <row r="64" spans="1:4">
      <c r="A64" t="s">
        <v>329</v>
      </c>
      <c r="B64">
        <v>1.03004742</v>
      </c>
      <c r="C64">
        <v>4.947742238</v>
      </c>
      <c r="D64">
        <f t="shared" si="14"/>
        <v>494.77422380000002</v>
      </c>
    </row>
    <row r="65" spans="1:4">
      <c r="A65" t="s">
        <v>330</v>
      </c>
      <c r="B65">
        <v>0.50235708400000001</v>
      </c>
      <c r="C65">
        <v>3.9238358290000002</v>
      </c>
      <c r="D65">
        <f t="shared" si="14"/>
        <v>392.38358290000002</v>
      </c>
    </row>
    <row r="66" spans="1:4">
      <c r="A66" t="s">
        <v>331</v>
      </c>
      <c r="B66">
        <v>0.45375651</v>
      </c>
      <c r="C66">
        <v>4.3206669010000001</v>
      </c>
      <c r="D66">
        <f t="shared" si="14"/>
        <v>432.06669010000002</v>
      </c>
    </row>
    <row r="67" spans="1:4">
      <c r="A67" t="s">
        <v>332</v>
      </c>
      <c r="B67">
        <v>3.946088155</v>
      </c>
      <c r="C67">
        <v>0.13148709</v>
      </c>
      <c r="D67">
        <f>C67*1</f>
        <v>0.13148709</v>
      </c>
    </row>
    <row r="68" spans="1:4">
      <c r="A68" t="s">
        <v>333</v>
      </c>
      <c r="B68">
        <v>0.54467606599999996</v>
      </c>
      <c r="C68">
        <v>9.9795067139999993</v>
      </c>
      <c r="D68" s="11">
        <f t="shared" ref="D68:D73" si="15">C68*100</f>
        <v>997.95067139999992</v>
      </c>
    </row>
    <row r="69" spans="1:4">
      <c r="A69" t="s">
        <v>334</v>
      </c>
      <c r="B69">
        <v>0.49636413499999998</v>
      </c>
      <c r="C69">
        <v>4.3497893400000001</v>
      </c>
      <c r="D69">
        <f t="shared" si="15"/>
        <v>434.97893399999998</v>
      </c>
    </row>
    <row r="70" spans="1:4">
      <c r="A70" t="s">
        <v>335</v>
      </c>
      <c r="B70">
        <v>0.47378636299999999</v>
      </c>
      <c r="C70">
        <v>4.4675507420000002</v>
      </c>
      <c r="D70">
        <f t="shared" si="15"/>
        <v>446.75507420000002</v>
      </c>
    </row>
    <row r="71" spans="1:4">
      <c r="A71" t="s">
        <v>336</v>
      </c>
      <c r="B71">
        <v>1.1333430710000001</v>
      </c>
      <c r="C71">
        <v>4.6483079299999996</v>
      </c>
      <c r="D71">
        <f t="shared" si="15"/>
        <v>464.83079299999997</v>
      </c>
    </row>
    <row r="72" spans="1:4">
      <c r="A72" t="s">
        <v>337</v>
      </c>
      <c r="B72">
        <v>0.59851511999999996</v>
      </c>
      <c r="C72">
        <v>3.9060437939999999</v>
      </c>
      <c r="D72">
        <f t="shared" si="15"/>
        <v>390.60437939999997</v>
      </c>
    </row>
    <row r="73" spans="1:4">
      <c r="A73" t="s">
        <v>338</v>
      </c>
      <c r="B73">
        <v>0.50799876899999996</v>
      </c>
      <c r="C73">
        <v>5.6721790170000004</v>
      </c>
      <c r="D73">
        <f t="shared" si="15"/>
        <v>567.21790170000008</v>
      </c>
    </row>
    <row r="74" spans="1:4">
      <c r="A74" t="s">
        <v>339</v>
      </c>
      <c r="B74">
        <v>4.0560568589999999</v>
      </c>
      <c r="C74">
        <v>0.18547002300000001</v>
      </c>
      <c r="D74">
        <f>C74*1</f>
        <v>0.18547002300000001</v>
      </c>
    </row>
    <row r="75" spans="1:4">
      <c r="A75" t="s">
        <v>340</v>
      </c>
      <c r="B75">
        <v>2.257918868</v>
      </c>
      <c r="C75">
        <v>1.7302819970000001</v>
      </c>
      <c r="D75">
        <f t="shared" ref="D75:D80" si="16">C75*100</f>
        <v>173.02819970000002</v>
      </c>
    </row>
    <row r="76" spans="1:4">
      <c r="A76" t="s">
        <v>341</v>
      </c>
      <c r="B76">
        <v>0.81274921499999997</v>
      </c>
      <c r="C76">
        <v>3.3305942310000001</v>
      </c>
      <c r="D76">
        <f t="shared" si="16"/>
        <v>333.0594231</v>
      </c>
    </row>
    <row r="77" spans="1:4">
      <c r="A77" t="s">
        <v>342</v>
      </c>
      <c r="B77">
        <v>0.51876524400000001</v>
      </c>
      <c r="C77">
        <v>4.3092244040000001</v>
      </c>
      <c r="D77">
        <f t="shared" si="16"/>
        <v>430.92244040000003</v>
      </c>
    </row>
    <row r="78" spans="1:4">
      <c r="A78" t="s">
        <v>343</v>
      </c>
      <c r="B78">
        <v>0.88399894599999995</v>
      </c>
      <c r="C78">
        <v>3.9858159999999998</v>
      </c>
      <c r="D78">
        <f t="shared" si="16"/>
        <v>398.58159999999998</v>
      </c>
    </row>
    <row r="79" spans="1:4">
      <c r="A79" t="s">
        <v>344</v>
      </c>
      <c r="B79">
        <v>1.2569835009999999</v>
      </c>
      <c r="C79">
        <v>4.8473957109999999</v>
      </c>
      <c r="D79">
        <f t="shared" si="16"/>
        <v>484.73957109999998</v>
      </c>
    </row>
    <row r="80" spans="1:4">
      <c r="A80" t="s">
        <v>345</v>
      </c>
      <c r="B80">
        <v>1.235228276</v>
      </c>
      <c r="C80">
        <v>5.0722512149999996</v>
      </c>
      <c r="D80">
        <f t="shared" si="16"/>
        <v>507.22512149999994</v>
      </c>
    </row>
    <row r="81" spans="1:4">
      <c r="A81" t="s">
        <v>346</v>
      </c>
      <c r="B81">
        <v>3.858806446</v>
      </c>
      <c r="C81">
        <v>0.280864224</v>
      </c>
      <c r="D81">
        <f t="shared" ref="D81:D87" si="17">C81*1</f>
        <v>0.280864224</v>
      </c>
    </row>
    <row r="82" spans="1:4">
      <c r="A82" t="s">
        <v>347</v>
      </c>
      <c r="B82">
        <v>2.7826529780000002</v>
      </c>
      <c r="C82">
        <v>0.67161072799999999</v>
      </c>
      <c r="D82">
        <f t="shared" si="17"/>
        <v>0.67161072799999999</v>
      </c>
    </row>
    <row r="83" spans="1:4">
      <c r="A83" t="s">
        <v>348</v>
      </c>
      <c r="B83">
        <v>5.6825083770000004</v>
      </c>
      <c r="C83">
        <v>0.90559224500000002</v>
      </c>
      <c r="D83">
        <f t="shared" si="17"/>
        <v>0.90559224500000002</v>
      </c>
    </row>
    <row r="84" spans="1:4">
      <c r="A84" t="s">
        <v>349</v>
      </c>
      <c r="B84">
        <v>0.91708780700000003</v>
      </c>
      <c r="C84">
        <v>0.806600977</v>
      </c>
      <c r="D84">
        <f t="shared" si="17"/>
        <v>0.806600977</v>
      </c>
    </row>
    <row r="85" spans="1:4">
      <c r="A85" t="s">
        <v>350</v>
      </c>
      <c r="B85">
        <v>0.45757718400000003</v>
      </c>
      <c r="C85">
        <v>0.78048258999999998</v>
      </c>
      <c r="D85">
        <f t="shared" si="17"/>
        <v>0.78048258999999998</v>
      </c>
    </row>
    <row r="86" spans="1:4">
      <c r="A86" t="s">
        <v>351</v>
      </c>
      <c r="B86">
        <v>0.71830409799999995</v>
      </c>
      <c r="C86">
        <v>4.3155788739999998</v>
      </c>
      <c r="D86">
        <f t="shared" si="17"/>
        <v>4.3155788739999998</v>
      </c>
    </row>
    <row r="87" spans="1:4">
      <c r="A87" t="s">
        <v>352</v>
      </c>
      <c r="B87">
        <v>1.354710729</v>
      </c>
      <c r="C87">
        <v>0.88327011300000002</v>
      </c>
      <c r="D87">
        <f t="shared" si="17"/>
        <v>0.88327011300000002</v>
      </c>
    </row>
  </sheetData>
  <mergeCells count="5">
    <mergeCell ref="G1:K1"/>
    <mergeCell ref="L1:P1"/>
    <mergeCell ref="Q1:U1"/>
    <mergeCell ref="G12:I12"/>
    <mergeCell ref="G22:I22"/>
  </mergeCells>
  <pageMargins left="0.75" right="0.75" top="1" bottom="1" header="0.5" footer="0.5"/>
  <pageSetup orientation="portrait" horizontalDpi="4294967292" verticalDpi="429496729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E956E-9C82-D747-B797-4827C0549BDA}">
  <dimension ref="A1:U65"/>
  <sheetViews>
    <sheetView topLeftCell="O45" workbookViewId="0">
      <selection activeCell="O70" sqref="O70"/>
    </sheetView>
  </sheetViews>
  <sheetFormatPr baseColWidth="10" defaultColWidth="14.5" defaultRowHeight="15.75" customHeight="1"/>
  <cols>
    <col min="1" max="1" width="17" style="32" bestFit="1" customWidth="1"/>
    <col min="2" max="6" width="14.5" style="32"/>
    <col min="7" max="7" width="19.1640625" style="32" customWidth="1"/>
    <col min="8" max="14" width="14.5" style="32"/>
    <col min="15" max="15" width="20" style="32" customWidth="1"/>
    <col min="16" max="16384" width="14.5" style="32"/>
  </cols>
  <sheetData>
    <row r="1" spans="1:21" ht="15.75" customHeight="1">
      <c r="A1" s="57">
        <v>42844</v>
      </c>
      <c r="N1" s="56">
        <v>42852</v>
      </c>
    </row>
    <row r="2" spans="1:21" ht="15.75" customHeight="1" thickBot="1">
      <c r="A2" s="37"/>
      <c r="B2" s="37" t="s">
        <v>353</v>
      </c>
      <c r="C2" s="37" t="s">
        <v>10</v>
      </c>
      <c r="D2" s="37" t="s">
        <v>355</v>
      </c>
      <c r="E2" s="37" t="s">
        <v>356</v>
      </c>
      <c r="F2" s="37" t="s">
        <v>357</v>
      </c>
      <c r="G2" s="37" t="s">
        <v>358</v>
      </c>
      <c r="H2" s="37" t="s">
        <v>42</v>
      </c>
      <c r="O2" s="37" t="s">
        <v>353</v>
      </c>
      <c r="P2" s="37" t="s">
        <v>389</v>
      </c>
      <c r="Q2" s="37" t="s">
        <v>355</v>
      </c>
      <c r="R2" s="37" t="s">
        <v>356</v>
      </c>
      <c r="S2" s="37" t="s">
        <v>357</v>
      </c>
      <c r="T2" s="37" t="s">
        <v>358</v>
      </c>
      <c r="U2" s="37" t="s">
        <v>42</v>
      </c>
    </row>
    <row r="3" spans="1:21" ht="15.75" customHeight="1">
      <c r="A3" s="42" t="s">
        <v>359</v>
      </c>
      <c r="B3" s="41" t="s">
        <v>360</v>
      </c>
      <c r="C3" s="41">
        <v>0</v>
      </c>
      <c r="D3" s="41">
        <v>46</v>
      </c>
      <c r="E3" s="41">
        <v>26</v>
      </c>
      <c r="F3" s="41">
        <v>250</v>
      </c>
      <c r="G3" s="53">
        <f>F3*10^1</f>
        <v>2500</v>
      </c>
      <c r="H3" s="32">
        <f>AVERAGE(G3:G4)</f>
        <v>74250</v>
      </c>
      <c r="N3" s="52" t="s">
        <v>359</v>
      </c>
      <c r="O3" s="51" t="s">
        <v>365</v>
      </c>
      <c r="P3" s="51">
        <v>0</v>
      </c>
      <c r="Q3" s="51">
        <v>23</v>
      </c>
      <c r="R3" s="51">
        <v>5</v>
      </c>
      <c r="S3" s="51">
        <v>36.799999999999997</v>
      </c>
      <c r="T3" s="55">
        <f>S3*10^4</f>
        <v>368000</v>
      </c>
      <c r="U3" s="32">
        <f>T3</f>
        <v>368000</v>
      </c>
    </row>
    <row r="4" spans="1:21" ht="15.75" customHeight="1">
      <c r="A4" s="38"/>
      <c r="B4" s="37" t="s">
        <v>365</v>
      </c>
      <c r="C4" s="37">
        <v>0</v>
      </c>
      <c r="D4" s="37">
        <v>12</v>
      </c>
      <c r="E4" s="37">
        <v>1</v>
      </c>
      <c r="F4" s="37">
        <v>14.6</v>
      </c>
      <c r="G4" s="36">
        <f>F4*10^4</f>
        <v>146000</v>
      </c>
      <c r="N4" s="48"/>
      <c r="O4" s="47" t="s">
        <v>365</v>
      </c>
      <c r="P4" s="47">
        <v>4</v>
      </c>
      <c r="Q4" s="47">
        <v>14</v>
      </c>
      <c r="R4" s="47">
        <v>5</v>
      </c>
      <c r="S4" s="47">
        <v>22.1</v>
      </c>
      <c r="T4" s="49">
        <f>S4*10^4</f>
        <v>221000</v>
      </c>
      <c r="U4" s="32">
        <f>T4</f>
        <v>221000</v>
      </c>
    </row>
    <row r="5" spans="1:21" ht="15.75" customHeight="1" thickBot="1">
      <c r="A5" s="38"/>
      <c r="B5" s="37" t="s">
        <v>360</v>
      </c>
      <c r="C5" s="37">
        <v>20</v>
      </c>
      <c r="D5" s="37">
        <v>49</v>
      </c>
      <c r="E5" s="37">
        <v>48</v>
      </c>
      <c r="F5" s="37" t="s">
        <v>361</v>
      </c>
      <c r="G5" s="36" t="s">
        <v>379</v>
      </c>
      <c r="H5" s="32">
        <f>AVERAGE(G5:G6)</f>
        <v>1317000</v>
      </c>
      <c r="N5" s="45"/>
      <c r="O5" s="44" t="s">
        <v>365</v>
      </c>
      <c r="P5" s="44">
        <v>8</v>
      </c>
      <c r="Q5" s="44">
        <v>19</v>
      </c>
      <c r="R5" s="44">
        <v>7</v>
      </c>
      <c r="S5" s="44">
        <v>32.4</v>
      </c>
      <c r="T5" s="54">
        <f>S5*10^4</f>
        <v>324000</v>
      </c>
      <c r="U5" s="32">
        <f>T5</f>
        <v>324000</v>
      </c>
    </row>
    <row r="6" spans="1:21" ht="15.75" customHeight="1">
      <c r="A6" s="38"/>
      <c r="B6" s="37" t="s">
        <v>365</v>
      </c>
      <c r="C6" s="37">
        <v>20</v>
      </c>
      <c r="D6" s="37">
        <v>43</v>
      </c>
      <c r="E6" s="37">
        <v>14</v>
      </c>
      <c r="F6" s="37">
        <v>131.69999999999999</v>
      </c>
      <c r="G6" s="36">
        <f>F6*10^4</f>
        <v>1317000</v>
      </c>
      <c r="N6" s="52" t="s">
        <v>378</v>
      </c>
      <c r="O6" s="51" t="s">
        <v>360</v>
      </c>
      <c r="P6" s="51">
        <v>0</v>
      </c>
      <c r="Q6" s="51">
        <v>49</v>
      </c>
      <c r="R6" s="51">
        <v>48</v>
      </c>
      <c r="S6" s="51" t="s">
        <v>361</v>
      </c>
      <c r="T6" s="46" t="s">
        <v>379</v>
      </c>
      <c r="U6" s="32">
        <f>AVERAGE(T6:T7)</f>
        <v>279000</v>
      </c>
    </row>
    <row r="7" spans="1:21" ht="15.75" customHeight="1">
      <c r="A7" s="38"/>
      <c r="B7" s="37" t="s">
        <v>360</v>
      </c>
      <c r="C7" s="37">
        <v>40</v>
      </c>
      <c r="D7" s="37">
        <v>49</v>
      </c>
      <c r="E7" s="37">
        <v>48</v>
      </c>
      <c r="F7" s="37" t="s">
        <v>361</v>
      </c>
      <c r="G7" s="36" t="s">
        <v>379</v>
      </c>
      <c r="H7" s="32">
        <f>AVERAGE(G7:G8)</f>
        <v>2382000</v>
      </c>
      <c r="N7" s="48"/>
      <c r="O7" s="47" t="s">
        <v>365</v>
      </c>
      <c r="P7" s="47">
        <v>0</v>
      </c>
      <c r="Q7" s="47">
        <v>21</v>
      </c>
      <c r="R7" s="47">
        <v>1</v>
      </c>
      <c r="S7" s="47">
        <v>27.9</v>
      </c>
      <c r="T7" s="49">
        <f>S7*10^4</f>
        <v>279000</v>
      </c>
    </row>
    <row r="8" spans="1:21" ht="15.75" customHeight="1">
      <c r="A8" s="38"/>
      <c r="B8" s="37" t="s">
        <v>365</v>
      </c>
      <c r="C8" s="37">
        <v>40</v>
      </c>
      <c r="D8" s="37">
        <v>48</v>
      </c>
      <c r="E8" s="37">
        <v>11</v>
      </c>
      <c r="F8" s="37">
        <v>238.2</v>
      </c>
      <c r="G8" s="36">
        <f>F8*10^4</f>
        <v>2382000</v>
      </c>
      <c r="N8" s="48"/>
      <c r="O8" s="47" t="s">
        <v>380</v>
      </c>
      <c r="P8" s="47">
        <v>2</v>
      </c>
      <c r="Q8" s="47">
        <v>49</v>
      </c>
      <c r="R8" s="47">
        <v>48</v>
      </c>
      <c r="S8" s="47" t="s">
        <v>361</v>
      </c>
      <c r="T8" s="46" t="s">
        <v>361</v>
      </c>
      <c r="U8" s="32">
        <f>AVERAGE(T8:T10)</f>
        <v>41000</v>
      </c>
    </row>
    <row r="9" spans="1:21" ht="15.75" customHeight="1">
      <c r="A9" s="38"/>
      <c r="B9" s="37" t="s">
        <v>360</v>
      </c>
      <c r="C9" s="37">
        <v>60</v>
      </c>
      <c r="D9" s="37">
        <v>49</v>
      </c>
      <c r="E9" s="37">
        <v>48</v>
      </c>
      <c r="F9" s="37" t="s">
        <v>361</v>
      </c>
      <c r="G9" s="36" t="s">
        <v>379</v>
      </c>
      <c r="H9" s="32">
        <f>AVERAGE(G9:G10)</f>
        <v>1019000</v>
      </c>
      <c r="N9" s="48"/>
      <c r="O9" s="47" t="s">
        <v>360</v>
      </c>
      <c r="P9" s="47">
        <v>2</v>
      </c>
      <c r="Q9" s="47">
        <v>49</v>
      </c>
      <c r="R9" s="47">
        <v>48</v>
      </c>
      <c r="S9" s="47" t="s">
        <v>361</v>
      </c>
      <c r="T9" s="46" t="s">
        <v>379</v>
      </c>
    </row>
    <row r="10" spans="1:21" ht="15.75" customHeight="1" thickBot="1">
      <c r="A10" s="35"/>
      <c r="B10" s="34" t="s">
        <v>365</v>
      </c>
      <c r="C10" s="34">
        <v>60</v>
      </c>
      <c r="D10" s="34">
        <v>43</v>
      </c>
      <c r="E10" s="34">
        <v>5</v>
      </c>
      <c r="F10" s="34">
        <v>101.9</v>
      </c>
      <c r="G10" s="36">
        <f>F10*10^4</f>
        <v>1019000</v>
      </c>
      <c r="N10" s="48"/>
      <c r="O10" s="47" t="s">
        <v>365</v>
      </c>
      <c r="P10" s="47">
        <v>2</v>
      </c>
      <c r="Q10" s="47">
        <v>3</v>
      </c>
      <c r="R10" s="47">
        <v>1</v>
      </c>
      <c r="S10" s="47">
        <v>4.0999999999999996</v>
      </c>
      <c r="T10" s="49">
        <f>S10*10^4</f>
        <v>41000</v>
      </c>
    </row>
    <row r="11" spans="1:21" ht="15.75" customHeight="1">
      <c r="A11" s="42" t="s">
        <v>378</v>
      </c>
      <c r="B11" s="41" t="s">
        <v>380</v>
      </c>
      <c r="C11" s="41">
        <v>0</v>
      </c>
      <c r="D11" s="41" t="s">
        <v>381</v>
      </c>
      <c r="E11" s="41" t="s">
        <v>381</v>
      </c>
      <c r="F11" s="41" t="s">
        <v>381</v>
      </c>
      <c r="G11" s="53" t="s">
        <v>381</v>
      </c>
      <c r="H11" s="32">
        <f>AVERAGE(G11:G13)</f>
        <v>1941556</v>
      </c>
      <c r="N11" s="48"/>
      <c r="O11" s="47" t="s">
        <v>380</v>
      </c>
      <c r="P11" s="47">
        <v>4</v>
      </c>
      <c r="Q11" s="47">
        <v>0</v>
      </c>
      <c r="R11" s="47">
        <v>0</v>
      </c>
      <c r="S11" s="47" t="s">
        <v>387</v>
      </c>
      <c r="T11" s="46" t="s">
        <v>387</v>
      </c>
      <c r="U11" s="32">
        <f>AVERAGE(T11:T13)</f>
        <v>31</v>
      </c>
    </row>
    <row r="12" spans="1:21" ht="15.75" customHeight="1">
      <c r="A12" s="38"/>
      <c r="B12" s="37" t="s">
        <v>360</v>
      </c>
      <c r="C12" s="37">
        <v>0</v>
      </c>
      <c r="D12" s="37">
        <v>48</v>
      </c>
      <c r="E12" s="37">
        <v>48</v>
      </c>
      <c r="F12" s="37">
        <v>1011.2</v>
      </c>
      <c r="G12" s="36">
        <f>F12*10^1</f>
        <v>10112</v>
      </c>
      <c r="N12" s="48"/>
      <c r="O12" s="47" t="s">
        <v>360</v>
      </c>
      <c r="P12" s="47">
        <v>4</v>
      </c>
      <c r="Q12" s="47">
        <v>3</v>
      </c>
      <c r="R12" s="47">
        <v>0</v>
      </c>
      <c r="S12" s="47">
        <v>3.1</v>
      </c>
      <c r="T12" s="49">
        <f>S12*10</f>
        <v>31</v>
      </c>
    </row>
    <row r="13" spans="1:21" ht="15.75" customHeight="1">
      <c r="A13" s="38"/>
      <c r="B13" s="37" t="s">
        <v>365</v>
      </c>
      <c r="C13" s="37">
        <v>0</v>
      </c>
      <c r="D13" s="37">
        <v>49</v>
      </c>
      <c r="E13" s="37">
        <v>22</v>
      </c>
      <c r="F13" s="37">
        <v>387.3</v>
      </c>
      <c r="G13" s="36">
        <f>F13*10^4</f>
        <v>3873000</v>
      </c>
      <c r="N13" s="48"/>
      <c r="O13" s="47" t="s">
        <v>365</v>
      </c>
      <c r="P13" s="47">
        <v>4</v>
      </c>
      <c r="Q13" s="47">
        <v>0</v>
      </c>
      <c r="R13" s="47">
        <v>0</v>
      </c>
      <c r="S13" s="47" t="s">
        <v>387</v>
      </c>
      <c r="T13" s="46" t="s">
        <v>386</v>
      </c>
    </row>
    <row r="14" spans="1:21" ht="15.75" customHeight="1">
      <c r="A14" s="38"/>
      <c r="B14" s="37" t="s">
        <v>380</v>
      </c>
      <c r="C14" s="37">
        <v>10</v>
      </c>
      <c r="D14" s="37">
        <v>49</v>
      </c>
      <c r="E14" s="37">
        <v>48</v>
      </c>
      <c r="F14" s="37" t="s">
        <v>361</v>
      </c>
      <c r="G14" s="36" t="s">
        <v>361</v>
      </c>
      <c r="H14" s="32">
        <f>AVERAGE(G14:G16)</f>
        <v>1153000</v>
      </c>
      <c r="N14" s="48"/>
      <c r="O14" s="47" t="s">
        <v>380</v>
      </c>
      <c r="P14" s="47">
        <v>8</v>
      </c>
      <c r="Q14" s="47">
        <v>0</v>
      </c>
      <c r="R14" s="47">
        <v>0</v>
      </c>
      <c r="S14" s="47" t="s">
        <v>387</v>
      </c>
      <c r="T14" s="46" t="s">
        <v>387</v>
      </c>
      <c r="U14" s="32" t="e">
        <f>AVERAGE(T14:T16)</f>
        <v>#DIV/0!</v>
      </c>
    </row>
    <row r="15" spans="1:21" ht="15.75" customHeight="1">
      <c r="A15" s="38"/>
      <c r="B15" s="37" t="s">
        <v>360</v>
      </c>
      <c r="C15" s="37">
        <v>10</v>
      </c>
      <c r="D15" s="37">
        <v>49</v>
      </c>
      <c r="E15" s="37">
        <v>48</v>
      </c>
      <c r="F15" s="37" t="s">
        <v>361</v>
      </c>
      <c r="G15" s="36" t="s">
        <v>379</v>
      </c>
      <c r="N15" s="48"/>
      <c r="O15" s="47" t="s">
        <v>360</v>
      </c>
      <c r="P15" s="47">
        <v>8</v>
      </c>
      <c r="Q15" s="47">
        <v>0</v>
      </c>
      <c r="R15" s="47">
        <v>0</v>
      </c>
      <c r="S15" s="47" t="s">
        <v>387</v>
      </c>
      <c r="T15" s="46" t="s">
        <v>388</v>
      </c>
    </row>
    <row r="16" spans="1:21" ht="15.75" customHeight="1" thickBot="1">
      <c r="A16" s="38"/>
      <c r="B16" s="37" t="s">
        <v>365</v>
      </c>
      <c r="C16" s="37">
        <v>10</v>
      </c>
      <c r="D16" s="37">
        <v>41</v>
      </c>
      <c r="E16" s="37">
        <v>16</v>
      </c>
      <c r="F16" s="37">
        <v>115.3</v>
      </c>
      <c r="G16" s="36">
        <f>F16*10^4</f>
        <v>1153000</v>
      </c>
      <c r="N16" s="45"/>
      <c r="O16" s="44" t="s">
        <v>365</v>
      </c>
      <c r="P16" s="44">
        <v>8</v>
      </c>
      <c r="Q16" s="44">
        <v>0</v>
      </c>
      <c r="R16" s="44">
        <v>0</v>
      </c>
      <c r="S16" s="44" t="s">
        <v>387</v>
      </c>
      <c r="T16" s="43" t="s">
        <v>386</v>
      </c>
    </row>
    <row r="17" spans="1:21" ht="15.75" customHeight="1">
      <c r="A17" s="38"/>
      <c r="B17" s="37" t="s">
        <v>380</v>
      </c>
      <c r="C17" s="37">
        <v>20</v>
      </c>
      <c r="D17" s="37">
        <v>49</v>
      </c>
      <c r="E17" s="37">
        <v>48</v>
      </c>
      <c r="F17" s="37" t="s">
        <v>361</v>
      </c>
      <c r="G17" s="36" t="s">
        <v>361</v>
      </c>
      <c r="H17" s="32">
        <f>AVERAGE(G17:G19)</f>
        <v>2603000</v>
      </c>
      <c r="N17" s="52" t="s">
        <v>377</v>
      </c>
      <c r="O17" s="51" t="s">
        <v>360</v>
      </c>
      <c r="P17" s="51">
        <v>0</v>
      </c>
      <c r="Q17" s="51">
        <v>49</v>
      </c>
      <c r="R17" s="51">
        <v>48</v>
      </c>
      <c r="S17" s="51" t="s">
        <v>361</v>
      </c>
      <c r="T17" s="50" t="s">
        <v>379</v>
      </c>
      <c r="U17" s="32">
        <f>AVERAGE(T17:T19)</f>
        <v>594000</v>
      </c>
    </row>
    <row r="18" spans="1:21" ht="15.75" customHeight="1">
      <c r="A18" s="38"/>
      <c r="B18" s="37" t="s">
        <v>360</v>
      </c>
      <c r="C18" s="37">
        <v>20</v>
      </c>
      <c r="D18" s="37">
        <v>49</v>
      </c>
      <c r="E18" s="37">
        <v>48</v>
      </c>
      <c r="F18" s="37" t="s">
        <v>361</v>
      </c>
      <c r="G18" s="36" t="s">
        <v>379</v>
      </c>
      <c r="N18" s="48"/>
      <c r="O18" s="47" t="s">
        <v>365</v>
      </c>
      <c r="P18" s="47">
        <v>0</v>
      </c>
      <c r="Q18" s="47">
        <v>34</v>
      </c>
      <c r="R18" s="47">
        <v>3</v>
      </c>
      <c r="S18" s="47">
        <v>59.4</v>
      </c>
      <c r="T18" s="49">
        <f>S18*10^4</f>
        <v>594000</v>
      </c>
    </row>
    <row r="19" spans="1:21" ht="15.75" customHeight="1">
      <c r="A19" s="38"/>
      <c r="B19" s="37" t="s">
        <v>365</v>
      </c>
      <c r="C19" s="37">
        <v>20</v>
      </c>
      <c r="D19" s="37">
        <v>48</v>
      </c>
      <c r="E19" s="37">
        <v>19</v>
      </c>
      <c r="F19" s="37">
        <v>260.3</v>
      </c>
      <c r="G19" s="36">
        <f>F19*10^4</f>
        <v>2603000</v>
      </c>
      <c r="N19" s="48"/>
      <c r="O19" s="47" t="s">
        <v>380</v>
      </c>
      <c r="P19" s="47">
        <v>2</v>
      </c>
      <c r="Q19" s="47">
        <v>49</v>
      </c>
      <c r="R19" s="47">
        <v>48</v>
      </c>
      <c r="S19" s="47" t="s">
        <v>361</v>
      </c>
      <c r="T19" s="46" t="s">
        <v>361</v>
      </c>
    </row>
    <row r="20" spans="1:21" ht="15.75" customHeight="1">
      <c r="A20" s="38"/>
      <c r="B20" s="37" t="s">
        <v>380</v>
      </c>
      <c r="C20" s="37">
        <v>30</v>
      </c>
      <c r="D20" s="37" t="s">
        <v>381</v>
      </c>
      <c r="E20" s="37" t="s">
        <v>381</v>
      </c>
      <c r="F20" s="37" t="s">
        <v>381</v>
      </c>
      <c r="G20" s="36" t="s">
        <v>381</v>
      </c>
      <c r="H20" s="32">
        <f>AVERAGE(G20:G22)</f>
        <v>1334000</v>
      </c>
      <c r="N20" s="48"/>
      <c r="O20" s="47" t="s">
        <v>360</v>
      </c>
      <c r="P20" s="47">
        <v>2</v>
      </c>
      <c r="Q20" s="47">
        <v>49</v>
      </c>
      <c r="R20" s="47">
        <v>48</v>
      </c>
      <c r="S20" s="47" t="s">
        <v>361</v>
      </c>
      <c r="T20" s="46" t="s">
        <v>379</v>
      </c>
      <c r="U20" s="32">
        <f>AVERAGE(T20:T22)</f>
        <v>37500.5</v>
      </c>
    </row>
    <row r="21" spans="1:21" ht="15.75" customHeight="1">
      <c r="A21" s="38"/>
      <c r="B21" s="37" t="s">
        <v>360</v>
      </c>
      <c r="C21" s="37">
        <v>30</v>
      </c>
      <c r="D21" s="37">
        <v>49</v>
      </c>
      <c r="E21" s="37">
        <v>48</v>
      </c>
      <c r="F21" s="37" t="s">
        <v>361</v>
      </c>
      <c r="G21" s="36" t="s">
        <v>379</v>
      </c>
      <c r="N21" s="48"/>
      <c r="O21" s="47" t="s">
        <v>365</v>
      </c>
      <c r="P21" s="47">
        <v>2</v>
      </c>
      <c r="Q21" s="47">
        <v>7</v>
      </c>
      <c r="R21" s="47">
        <v>0</v>
      </c>
      <c r="S21" s="47">
        <v>7.5</v>
      </c>
      <c r="T21" s="49">
        <f>S21*10^4</f>
        <v>75000</v>
      </c>
    </row>
    <row r="22" spans="1:21" ht="15.75" customHeight="1">
      <c r="A22" s="38"/>
      <c r="B22" s="37" t="s">
        <v>365</v>
      </c>
      <c r="C22" s="37">
        <v>30</v>
      </c>
      <c r="D22" s="37">
        <v>44</v>
      </c>
      <c r="E22" s="37">
        <v>12</v>
      </c>
      <c r="F22" s="37">
        <v>133.4</v>
      </c>
      <c r="G22" s="36">
        <f>F22*10^4</f>
        <v>1334000</v>
      </c>
      <c r="N22" s="48"/>
      <c r="O22" s="47" t="s">
        <v>380</v>
      </c>
      <c r="P22" s="47">
        <v>4</v>
      </c>
      <c r="Q22" s="47">
        <v>1</v>
      </c>
      <c r="R22" s="47">
        <v>0</v>
      </c>
      <c r="S22" s="47">
        <v>1</v>
      </c>
      <c r="T22" s="49">
        <f>S22*1</f>
        <v>1</v>
      </c>
    </row>
    <row r="23" spans="1:21" ht="15.75" customHeight="1">
      <c r="A23" s="38"/>
      <c r="B23" s="37" t="s">
        <v>380</v>
      </c>
      <c r="C23" s="37">
        <v>40</v>
      </c>
      <c r="D23" s="37">
        <v>49</v>
      </c>
      <c r="E23" s="37">
        <v>48</v>
      </c>
      <c r="F23" s="37" t="s">
        <v>361</v>
      </c>
      <c r="G23" s="36" t="s">
        <v>361</v>
      </c>
      <c r="H23" s="32">
        <f>AVERAGE(G23:G25)</f>
        <v>1274000</v>
      </c>
      <c r="N23" s="48"/>
      <c r="O23" s="47" t="s">
        <v>360</v>
      </c>
      <c r="P23" s="47">
        <v>4</v>
      </c>
      <c r="Q23" s="47">
        <v>3</v>
      </c>
      <c r="R23" s="47">
        <v>0</v>
      </c>
      <c r="S23" s="47">
        <v>3.1</v>
      </c>
      <c r="T23" s="49">
        <f>S23*10</f>
        <v>31</v>
      </c>
      <c r="U23" s="32">
        <f>AVERAGE(T23:T25)</f>
        <v>31</v>
      </c>
    </row>
    <row r="24" spans="1:21" ht="15.75" customHeight="1">
      <c r="A24" s="38"/>
      <c r="B24" s="37" t="s">
        <v>360</v>
      </c>
      <c r="C24" s="37">
        <v>40</v>
      </c>
      <c r="D24" s="37" t="s">
        <v>381</v>
      </c>
      <c r="E24" s="37" t="s">
        <v>381</v>
      </c>
      <c r="F24" s="37" t="s">
        <v>381</v>
      </c>
      <c r="G24" s="36" t="s">
        <v>381</v>
      </c>
      <c r="N24" s="48"/>
      <c r="O24" s="47" t="s">
        <v>365</v>
      </c>
      <c r="P24" s="47">
        <v>4</v>
      </c>
      <c r="Q24" s="47">
        <v>0</v>
      </c>
      <c r="R24" s="47">
        <v>0</v>
      </c>
      <c r="S24" s="47" t="s">
        <v>387</v>
      </c>
      <c r="T24" s="46" t="s">
        <v>386</v>
      </c>
    </row>
    <row r="25" spans="1:21" ht="15.75" customHeight="1">
      <c r="A25" s="38"/>
      <c r="B25" s="37" t="s">
        <v>365</v>
      </c>
      <c r="C25" s="37">
        <v>40</v>
      </c>
      <c r="D25" s="37">
        <v>45</v>
      </c>
      <c r="E25" s="37">
        <v>8</v>
      </c>
      <c r="F25" s="37">
        <v>127.4</v>
      </c>
      <c r="G25" s="36">
        <f>F25*10^4</f>
        <v>1274000</v>
      </c>
      <c r="N25" s="48"/>
      <c r="O25" s="47" t="s">
        <v>380</v>
      </c>
      <c r="P25" s="47">
        <v>8</v>
      </c>
      <c r="Q25" s="47">
        <v>0</v>
      </c>
      <c r="R25" s="47">
        <v>0</v>
      </c>
      <c r="S25" s="47" t="s">
        <v>387</v>
      </c>
      <c r="T25" s="46" t="s">
        <v>387</v>
      </c>
    </row>
    <row r="26" spans="1:21" ht="15.75" customHeight="1">
      <c r="A26" s="38"/>
      <c r="B26" s="37" t="s">
        <v>380</v>
      </c>
      <c r="C26" s="37">
        <v>50</v>
      </c>
      <c r="D26" s="37">
        <v>49</v>
      </c>
      <c r="E26" s="37">
        <v>48</v>
      </c>
      <c r="F26" s="37" t="s">
        <v>361</v>
      </c>
      <c r="G26" s="36" t="s">
        <v>361</v>
      </c>
      <c r="H26" s="32">
        <f>AVERAGE(G26:G28)</f>
        <v>1543056</v>
      </c>
      <c r="N26" s="48"/>
      <c r="O26" s="47" t="s">
        <v>360</v>
      </c>
      <c r="P26" s="47">
        <v>8</v>
      </c>
      <c r="Q26" s="47">
        <v>0</v>
      </c>
      <c r="R26" s="47">
        <v>0</v>
      </c>
      <c r="S26" s="47" t="s">
        <v>387</v>
      </c>
      <c r="T26" s="46" t="s">
        <v>388</v>
      </c>
      <c r="U26" s="32" t="e">
        <f>AVERAGE(T26:T28)</f>
        <v>#DIV/0!</v>
      </c>
    </row>
    <row r="27" spans="1:21" ht="15.75" customHeight="1" thickBot="1">
      <c r="A27" s="38"/>
      <c r="B27" s="37" t="s">
        <v>360</v>
      </c>
      <c r="C27" s="37">
        <v>50</v>
      </c>
      <c r="D27" s="37">
        <v>48</v>
      </c>
      <c r="E27" s="37">
        <v>48</v>
      </c>
      <c r="F27" s="37">
        <v>1011.2</v>
      </c>
      <c r="G27" s="36">
        <f>F27*10^1</f>
        <v>10112</v>
      </c>
      <c r="N27" s="45"/>
      <c r="O27" s="44" t="s">
        <v>365</v>
      </c>
      <c r="P27" s="44">
        <v>8</v>
      </c>
      <c r="Q27" s="44">
        <v>0</v>
      </c>
      <c r="R27" s="44">
        <v>0</v>
      </c>
      <c r="S27" s="44" t="s">
        <v>387</v>
      </c>
      <c r="T27" s="43" t="s">
        <v>386</v>
      </c>
    </row>
    <row r="28" spans="1:21" ht="15.75" customHeight="1">
      <c r="A28" s="38"/>
      <c r="B28" s="37" t="s">
        <v>365</v>
      </c>
      <c r="C28" s="37">
        <v>50</v>
      </c>
      <c r="D28" s="37">
        <v>49</v>
      </c>
      <c r="E28" s="37">
        <v>18</v>
      </c>
      <c r="F28" s="37">
        <v>307.60000000000002</v>
      </c>
      <c r="G28" s="36">
        <f>F28*10^4</f>
        <v>3076000</v>
      </c>
    </row>
    <row r="29" spans="1:21" ht="15.75" customHeight="1">
      <c r="A29" s="38"/>
      <c r="B29" s="37" t="s">
        <v>380</v>
      </c>
      <c r="C29" s="37">
        <v>60</v>
      </c>
      <c r="D29" s="37">
        <v>49</v>
      </c>
      <c r="E29" s="37">
        <v>48</v>
      </c>
      <c r="F29" s="37" t="s">
        <v>361</v>
      </c>
      <c r="G29" s="36" t="s">
        <v>361</v>
      </c>
      <c r="H29" s="32">
        <f>AVERAGE(G29:G31)</f>
        <v>1112000</v>
      </c>
    </row>
    <row r="30" spans="1:21" ht="15.75" customHeight="1">
      <c r="A30" s="38"/>
      <c r="B30" s="37" t="s">
        <v>360</v>
      </c>
      <c r="C30" s="37">
        <v>60</v>
      </c>
      <c r="D30" s="37">
        <v>49</v>
      </c>
      <c r="E30" s="37">
        <v>48</v>
      </c>
      <c r="F30" s="37" t="s">
        <v>361</v>
      </c>
      <c r="G30" s="36" t="s">
        <v>379</v>
      </c>
    </row>
    <row r="31" spans="1:21" ht="15.75" customHeight="1" thickBot="1">
      <c r="A31" s="35"/>
      <c r="B31" s="34" t="s">
        <v>365</v>
      </c>
      <c r="C31" s="34">
        <v>60</v>
      </c>
      <c r="D31" s="34">
        <v>43</v>
      </c>
      <c r="E31" s="34">
        <v>8</v>
      </c>
      <c r="F31" s="34">
        <v>111.2</v>
      </c>
      <c r="G31" s="33">
        <f>F31*10^4</f>
        <v>1112000</v>
      </c>
      <c r="O31" s="32" t="s">
        <v>359</v>
      </c>
      <c r="P31" s="32" t="s">
        <v>370</v>
      </c>
      <c r="Q31" s="32" t="s">
        <v>378</v>
      </c>
      <c r="R31" s="32" t="s">
        <v>370</v>
      </c>
      <c r="S31" s="32" t="s">
        <v>377</v>
      </c>
      <c r="T31" s="32" t="s">
        <v>370</v>
      </c>
      <c r="U31" s="32" t="s">
        <v>42</v>
      </c>
    </row>
    <row r="32" spans="1:21" ht="15.75" customHeight="1">
      <c r="A32" s="42" t="s">
        <v>377</v>
      </c>
      <c r="B32" s="41" t="s">
        <v>380</v>
      </c>
      <c r="C32" s="41">
        <v>0</v>
      </c>
      <c r="D32" s="41">
        <v>49</v>
      </c>
      <c r="E32" s="41">
        <v>48</v>
      </c>
      <c r="F32" s="37" t="s">
        <v>361</v>
      </c>
      <c r="G32" s="36" t="s">
        <v>361</v>
      </c>
      <c r="H32" s="32" t="e">
        <f>AVERAGE(G32:G34)</f>
        <v>#DIV/0!</v>
      </c>
      <c r="N32" s="32">
        <v>0</v>
      </c>
      <c r="O32" s="32">
        <f>U3</f>
        <v>368000</v>
      </c>
      <c r="P32" s="32">
        <f>LOG($O$32)-LOG(O32)</f>
        <v>0</v>
      </c>
      <c r="Q32" s="32">
        <f>U6</f>
        <v>279000</v>
      </c>
      <c r="R32" s="32">
        <f>LOG($Q$32)-LOG(Q32)</f>
        <v>0</v>
      </c>
      <c r="S32" s="32">
        <f>U17</f>
        <v>594000</v>
      </c>
      <c r="T32" s="32">
        <f>LOG($S$32)-LOG(S32)</f>
        <v>0</v>
      </c>
      <c r="U32" s="32">
        <f>AVERAGE(R32,T32)</f>
        <v>0</v>
      </c>
    </row>
    <row r="33" spans="1:21" ht="15.75" customHeight="1">
      <c r="A33" s="38"/>
      <c r="B33" s="37" t="s">
        <v>360</v>
      </c>
      <c r="C33" s="37">
        <v>0</v>
      </c>
      <c r="D33" s="37">
        <v>49</v>
      </c>
      <c r="E33" s="37">
        <v>48</v>
      </c>
      <c r="F33" s="37" t="s">
        <v>361</v>
      </c>
      <c r="G33" s="36" t="s">
        <v>379</v>
      </c>
      <c r="N33" s="32">
        <v>2</v>
      </c>
      <c r="Q33" s="32">
        <f>U8</f>
        <v>41000</v>
      </c>
      <c r="R33" s="32">
        <f>LOG($Q$32)-LOG(Q33)</f>
        <v>0.83282034655386195</v>
      </c>
      <c r="S33" s="32">
        <f>U20</f>
        <v>37500.5</v>
      </c>
      <c r="T33" s="32">
        <f>LOG($S$32)-LOG(S33)</f>
        <v>1.1997493866989863</v>
      </c>
      <c r="U33" s="32">
        <f>AVERAGE(R33,T33)</f>
        <v>1.0162848666264241</v>
      </c>
    </row>
    <row r="34" spans="1:21" ht="15.75" customHeight="1">
      <c r="A34" s="38"/>
      <c r="B34" s="37" t="s">
        <v>365</v>
      </c>
      <c r="C34" s="37">
        <v>0</v>
      </c>
      <c r="D34" s="37">
        <v>49</v>
      </c>
      <c r="E34" s="37">
        <v>48</v>
      </c>
      <c r="F34" s="37" t="s">
        <v>361</v>
      </c>
      <c r="G34" s="36" t="s">
        <v>385</v>
      </c>
      <c r="N34" s="32">
        <v>4</v>
      </c>
      <c r="O34" s="32">
        <f>U4</f>
        <v>221000</v>
      </c>
      <c r="P34" s="32">
        <f>LOG($O$32)-LOG(O34)</f>
        <v>0.22145554498840703</v>
      </c>
      <c r="Q34" s="32">
        <f>U11</f>
        <v>31</v>
      </c>
      <c r="R34" s="32">
        <f>LOG($Q$32)-LOG(Q34)</f>
        <v>3.9542425094393248</v>
      </c>
      <c r="S34" s="32">
        <f>U23</f>
        <v>31</v>
      </c>
      <c r="T34" s="32">
        <f>LOG($S$32)-LOG(S34)</f>
        <v>4.2824247511469213</v>
      </c>
      <c r="U34" s="32">
        <f>AVERAGE(R34,T34)</f>
        <v>4.1183336302931233</v>
      </c>
    </row>
    <row r="35" spans="1:21" ht="15.75" customHeight="1">
      <c r="A35" s="38"/>
      <c r="B35" s="37" t="s">
        <v>380</v>
      </c>
      <c r="C35" s="37">
        <v>10</v>
      </c>
      <c r="D35" s="37">
        <v>49</v>
      </c>
      <c r="E35" s="37">
        <v>48</v>
      </c>
      <c r="F35" s="37" t="s">
        <v>361</v>
      </c>
      <c r="G35" s="36" t="s">
        <v>361</v>
      </c>
      <c r="H35" s="32">
        <f>AVERAGE(G35:G37)</f>
        <v>1086000</v>
      </c>
      <c r="N35" s="32">
        <v>8</v>
      </c>
      <c r="O35" s="32">
        <f>U5</f>
        <v>324000</v>
      </c>
      <c r="P35" s="32">
        <f>LOG($O$32)-LOG(O35)</f>
        <v>5.530280846690605E-2</v>
      </c>
      <c r="Q35" s="32">
        <v>1</v>
      </c>
      <c r="R35" s="32">
        <f>LOG($Q$32)-LOG(Q35)</f>
        <v>5.4456042032735974</v>
      </c>
      <c r="S35" s="32">
        <v>1</v>
      </c>
      <c r="T35" s="32">
        <f>LOG($S$32)-LOG(S35)</f>
        <v>5.7737864449811935</v>
      </c>
      <c r="U35" s="32">
        <f>AVERAGE(R35,T35)</f>
        <v>5.6096953241273955</v>
      </c>
    </row>
    <row r="36" spans="1:21" ht="15.75" customHeight="1">
      <c r="A36" s="38"/>
      <c r="B36" s="37" t="s">
        <v>360</v>
      </c>
      <c r="C36" s="37">
        <v>10</v>
      </c>
      <c r="D36" s="37">
        <v>49</v>
      </c>
      <c r="E36" s="37">
        <v>48</v>
      </c>
      <c r="F36" s="37" t="s">
        <v>361</v>
      </c>
      <c r="G36" s="36" t="s">
        <v>379</v>
      </c>
    </row>
    <row r="37" spans="1:21" ht="15.75" customHeight="1">
      <c r="A37" s="38"/>
      <c r="B37" s="37" t="s">
        <v>365</v>
      </c>
      <c r="C37" s="37">
        <v>10</v>
      </c>
      <c r="D37" s="37">
        <v>44</v>
      </c>
      <c r="E37" s="37">
        <v>5</v>
      </c>
      <c r="F37" s="37">
        <v>108.6</v>
      </c>
      <c r="G37" s="36">
        <f>F37*10^4</f>
        <v>1086000</v>
      </c>
    </row>
    <row r="38" spans="1:21" ht="15.75" customHeight="1">
      <c r="A38" s="38"/>
      <c r="B38" s="37" t="s">
        <v>380</v>
      </c>
      <c r="C38" s="37">
        <v>20</v>
      </c>
      <c r="D38" s="37" t="s">
        <v>381</v>
      </c>
      <c r="E38" s="37" t="s">
        <v>381</v>
      </c>
      <c r="F38" s="37" t="s">
        <v>381</v>
      </c>
      <c r="G38" s="36" t="s">
        <v>381</v>
      </c>
      <c r="H38" s="32">
        <f>AVERAGE(G38:G40)</f>
        <v>2613000</v>
      </c>
      <c r="O38" s="32" t="s">
        <v>384</v>
      </c>
    </row>
    <row r="39" spans="1:21" ht="15.75" customHeight="1">
      <c r="A39" s="38"/>
      <c r="B39" s="37" t="s">
        <v>360</v>
      </c>
      <c r="C39" s="37">
        <v>20</v>
      </c>
      <c r="D39" s="37">
        <v>49</v>
      </c>
      <c r="E39" s="37">
        <v>48</v>
      </c>
      <c r="F39" s="37" t="s">
        <v>361</v>
      </c>
      <c r="G39" s="36" t="s">
        <v>379</v>
      </c>
    </row>
    <row r="40" spans="1:21" ht="15.75" customHeight="1">
      <c r="A40" s="38"/>
      <c r="B40" s="37" t="s">
        <v>365</v>
      </c>
      <c r="C40" s="37">
        <v>20</v>
      </c>
      <c r="D40" s="37">
        <v>49</v>
      </c>
      <c r="E40" s="37">
        <v>15</v>
      </c>
      <c r="F40" s="37">
        <v>261.3</v>
      </c>
      <c r="G40" s="36">
        <f>F40*10^4</f>
        <v>2613000</v>
      </c>
      <c r="J40" s="32" t="s">
        <v>371</v>
      </c>
      <c r="K40" s="32" t="s">
        <v>383</v>
      </c>
      <c r="L40" s="32" t="s">
        <v>382</v>
      </c>
      <c r="M40" s="40"/>
      <c r="N40" s="39" t="s">
        <v>226</v>
      </c>
    </row>
    <row r="41" spans="1:21" ht="13">
      <c r="A41" s="38"/>
      <c r="B41" s="37" t="s">
        <v>380</v>
      </c>
      <c r="C41" s="37">
        <v>30</v>
      </c>
      <c r="D41" s="37" t="s">
        <v>381</v>
      </c>
      <c r="E41" s="37" t="s">
        <v>381</v>
      </c>
      <c r="F41" s="37" t="s">
        <v>381</v>
      </c>
      <c r="G41" s="36" t="s">
        <v>381</v>
      </c>
      <c r="H41" s="32">
        <f>AVERAGE(G41:G43)</f>
        <v>4884000</v>
      </c>
      <c r="I41" s="32">
        <v>0</v>
      </c>
      <c r="J41" s="32">
        <v>0</v>
      </c>
      <c r="K41" s="32">
        <v>0</v>
      </c>
      <c r="L41" s="32">
        <v>0</v>
      </c>
      <c r="N41" s="39">
        <f>(STDEV(K41:L41))/(SQRT(COUNT(K41:L41)))</f>
        <v>0</v>
      </c>
    </row>
    <row r="42" spans="1:21" ht="13">
      <c r="A42" s="38"/>
      <c r="B42" s="37" t="s">
        <v>360</v>
      </c>
      <c r="C42" s="37">
        <v>30</v>
      </c>
      <c r="D42" s="37">
        <v>49</v>
      </c>
      <c r="E42" s="37">
        <v>48</v>
      </c>
      <c r="F42" s="37" t="s">
        <v>361</v>
      </c>
      <c r="G42" s="36" t="s">
        <v>379</v>
      </c>
      <c r="I42" s="32">
        <v>2</v>
      </c>
      <c r="K42" s="32">
        <v>0.83282034655386195</v>
      </c>
      <c r="L42" s="32">
        <v>1.1997493866989863</v>
      </c>
      <c r="N42" s="39">
        <f>(STDEV(K42:L42))/(SQRT(COUNT(K42:L42)))</f>
        <v>0.18346452007256248</v>
      </c>
    </row>
    <row r="43" spans="1:21" ht="13">
      <c r="A43" s="38"/>
      <c r="B43" s="37" t="s">
        <v>365</v>
      </c>
      <c r="C43" s="37">
        <v>30</v>
      </c>
      <c r="D43" s="37">
        <v>49</v>
      </c>
      <c r="E43" s="37">
        <v>26</v>
      </c>
      <c r="F43" s="37">
        <v>488.4</v>
      </c>
      <c r="G43" s="36">
        <f>F43*10^4</f>
        <v>4884000</v>
      </c>
      <c r="I43" s="32">
        <v>4</v>
      </c>
      <c r="J43" s="32">
        <v>0.22145554498840703</v>
      </c>
      <c r="K43" s="32">
        <v>3.9542425094393248</v>
      </c>
      <c r="L43" s="32">
        <v>4.2824247511469213</v>
      </c>
      <c r="N43" s="39">
        <f>(STDEV(K43:L43))/(SQRT(COUNT(K43:L43)))</f>
        <v>0.16409112085379826</v>
      </c>
    </row>
    <row r="44" spans="1:21" ht="13">
      <c r="A44" s="38"/>
      <c r="B44" s="37" t="s">
        <v>380</v>
      </c>
      <c r="C44" s="37">
        <v>40</v>
      </c>
      <c r="D44" s="37">
        <v>49</v>
      </c>
      <c r="E44" s="37">
        <v>48</v>
      </c>
      <c r="F44" s="37" t="s">
        <v>361</v>
      </c>
      <c r="G44" s="36" t="s">
        <v>361</v>
      </c>
      <c r="H44" s="32">
        <f>AVERAGE(G44:G46)</f>
        <v>3076000</v>
      </c>
      <c r="I44" s="32">
        <v>8</v>
      </c>
      <c r="J44" s="32">
        <v>5.530280846690605E-2</v>
      </c>
      <c r="K44" s="32">
        <v>5.4456042032735974</v>
      </c>
      <c r="L44" s="32">
        <v>5.7737864449811935</v>
      </c>
      <c r="N44" s="39">
        <f>(STDEV(K44:L44))/(SQRT(COUNT(K44:L44)))</f>
        <v>0.16409112085379807</v>
      </c>
    </row>
    <row r="45" spans="1:21" ht="13">
      <c r="A45" s="38"/>
      <c r="B45" s="37" t="s">
        <v>360</v>
      </c>
      <c r="C45" s="37">
        <v>40</v>
      </c>
      <c r="D45" s="37">
        <v>49</v>
      </c>
      <c r="E45" s="37">
        <v>48</v>
      </c>
      <c r="F45" s="37" t="s">
        <v>361</v>
      </c>
      <c r="G45" s="36" t="s">
        <v>379</v>
      </c>
      <c r="M45" s="39"/>
      <c r="N45" s="39"/>
    </row>
    <row r="46" spans="1:21" ht="13">
      <c r="A46" s="38"/>
      <c r="B46" s="37" t="s">
        <v>365</v>
      </c>
      <c r="C46" s="37">
        <v>40</v>
      </c>
      <c r="D46" s="37">
        <v>49</v>
      </c>
      <c r="E46" s="37">
        <v>18</v>
      </c>
      <c r="F46" s="37">
        <v>307.60000000000002</v>
      </c>
      <c r="G46" s="36">
        <f>F46*10^4</f>
        <v>3076000</v>
      </c>
      <c r="N46" s="39" t="s">
        <v>226</v>
      </c>
    </row>
    <row r="47" spans="1:21" ht="13">
      <c r="A47" s="38"/>
      <c r="B47" s="37" t="s">
        <v>380</v>
      </c>
      <c r="C47" s="37">
        <v>50</v>
      </c>
      <c r="D47" s="37">
        <v>49</v>
      </c>
      <c r="E47" s="37">
        <v>48</v>
      </c>
      <c r="F47" s="37" t="s">
        <v>361</v>
      </c>
      <c r="G47" s="36" t="s">
        <v>361</v>
      </c>
      <c r="H47" s="32">
        <f>AVERAGE(G47:G49)</f>
        <v>3255000</v>
      </c>
      <c r="N47" s="39">
        <v>0</v>
      </c>
    </row>
    <row r="48" spans="1:21" ht="13">
      <c r="A48" s="38"/>
      <c r="B48" s="37" t="s">
        <v>360</v>
      </c>
      <c r="C48" s="37">
        <v>50</v>
      </c>
      <c r="D48" s="37" t="s">
        <v>381</v>
      </c>
      <c r="E48" s="37" t="s">
        <v>381</v>
      </c>
      <c r="F48" s="37" t="s">
        <v>381</v>
      </c>
      <c r="G48" s="36" t="s">
        <v>381</v>
      </c>
      <c r="N48" s="39">
        <v>0.18346452007256248</v>
      </c>
    </row>
    <row r="49" spans="1:14" ht="13">
      <c r="A49" s="38"/>
      <c r="B49" s="37" t="s">
        <v>365</v>
      </c>
      <c r="C49" s="37">
        <v>50</v>
      </c>
      <c r="D49" s="37">
        <v>49</v>
      </c>
      <c r="E49" s="37">
        <v>19</v>
      </c>
      <c r="F49" s="37">
        <v>325.5</v>
      </c>
      <c r="G49" s="36">
        <f>F49*10^4</f>
        <v>3255000</v>
      </c>
      <c r="N49" s="39">
        <v>0.16409112085379826</v>
      </c>
    </row>
    <row r="50" spans="1:14" ht="13">
      <c r="A50" s="38"/>
      <c r="B50" s="37" t="s">
        <v>380</v>
      </c>
      <c r="C50" s="37">
        <v>60</v>
      </c>
      <c r="D50" s="37">
        <v>49</v>
      </c>
      <c r="E50" s="37">
        <v>48</v>
      </c>
      <c r="F50" s="37" t="s">
        <v>361</v>
      </c>
      <c r="G50" s="36" t="s">
        <v>361</v>
      </c>
      <c r="H50" s="32">
        <f>AVERAGE(G50:G52)</f>
        <v>1223000</v>
      </c>
      <c r="N50" s="39">
        <v>0.16409112085379807</v>
      </c>
    </row>
    <row r="51" spans="1:14" ht="13">
      <c r="A51" s="38"/>
      <c r="B51" s="37" t="s">
        <v>360</v>
      </c>
      <c r="C51" s="37">
        <v>60</v>
      </c>
      <c r="D51" s="37">
        <v>49</v>
      </c>
      <c r="E51" s="37">
        <v>48</v>
      </c>
      <c r="F51" s="37" t="s">
        <v>361</v>
      </c>
      <c r="G51" s="36" t="s">
        <v>379</v>
      </c>
    </row>
    <row r="52" spans="1:14" ht="14" thickBot="1">
      <c r="A52" s="35"/>
      <c r="B52" s="34" t="s">
        <v>365</v>
      </c>
      <c r="C52" s="34">
        <v>60</v>
      </c>
      <c r="D52" s="34">
        <v>44</v>
      </c>
      <c r="E52" s="34">
        <v>9</v>
      </c>
      <c r="F52" s="34">
        <v>122.3</v>
      </c>
      <c r="G52" s="33">
        <f>F52*10^4</f>
        <v>1223000</v>
      </c>
    </row>
    <row r="55" spans="1:14" ht="15.75" customHeight="1">
      <c r="A55" s="32" t="s">
        <v>369</v>
      </c>
    </row>
    <row r="58" spans="1:14" ht="15.75" customHeight="1">
      <c r="B58" s="32" t="s">
        <v>359</v>
      </c>
      <c r="C58" s="32" t="s">
        <v>370</v>
      </c>
      <c r="D58" s="32" t="s">
        <v>378</v>
      </c>
      <c r="E58" s="32" t="s">
        <v>370</v>
      </c>
      <c r="F58" s="32" t="s">
        <v>377</v>
      </c>
      <c r="G58" s="32" t="s">
        <v>370</v>
      </c>
    </row>
    <row r="59" spans="1:14" ht="15.75" customHeight="1">
      <c r="A59" s="32">
        <v>0</v>
      </c>
      <c r="B59" s="32">
        <f>H3</f>
        <v>74250</v>
      </c>
      <c r="C59" s="32">
        <f>LOG($B$59)-LOG(B59)</f>
        <v>0</v>
      </c>
      <c r="D59" s="32">
        <f>H11</f>
        <v>1941556</v>
      </c>
      <c r="E59" s="32">
        <f t="shared" ref="E59:E65" si="0">LOG($D$59)-LOG(D59)</f>
        <v>0</v>
      </c>
      <c r="F59" s="32" t="e">
        <f>H32</f>
        <v>#DIV/0!</v>
      </c>
      <c r="G59" s="32" t="s">
        <v>376</v>
      </c>
    </row>
    <row r="60" spans="1:14" ht="15.75" customHeight="1">
      <c r="A60" s="32">
        <v>10</v>
      </c>
      <c r="D60" s="32">
        <f>H14</f>
        <v>1153000</v>
      </c>
      <c r="E60" s="32">
        <f t="shared" si="0"/>
        <v>0.22632061405671955</v>
      </c>
      <c r="F60" s="32">
        <f>H35</f>
        <v>1086000</v>
      </c>
      <c r="G60" s="32">
        <f t="shared" ref="G60:G65" si="1">LOG($F$60)-LOG(F60)</f>
        <v>0</v>
      </c>
    </row>
    <row r="61" spans="1:14" ht="15.75" customHeight="1">
      <c r="A61" s="32">
        <v>20</v>
      </c>
      <c r="B61" s="32">
        <f>H5</f>
        <v>1317000</v>
      </c>
      <c r="C61" s="32">
        <f>LOG($B$59)-LOG(B61)</f>
        <v>-1.2488893169725337</v>
      </c>
      <c r="D61" s="32">
        <f>H17</f>
        <v>2603000</v>
      </c>
      <c r="E61" s="32">
        <f t="shared" si="0"/>
        <v>-0.12732424675781662</v>
      </c>
      <c r="F61" s="32">
        <f>H38</f>
        <v>2613000</v>
      </c>
      <c r="G61" s="32">
        <f t="shared" si="1"/>
        <v>-0.38130958447449714</v>
      </c>
    </row>
    <row r="62" spans="1:14" ht="15.75" customHeight="1">
      <c r="A62" s="32">
        <v>30</v>
      </c>
      <c r="D62" s="32">
        <f>H20</f>
        <v>1334000</v>
      </c>
      <c r="E62" s="32">
        <f t="shared" si="0"/>
        <v>0.16299409177088897</v>
      </c>
      <c r="F62" s="32">
        <f>H41</f>
        <v>4884000</v>
      </c>
      <c r="G62" s="32">
        <f t="shared" si="1"/>
        <v>-0.65294583002001616</v>
      </c>
    </row>
    <row r="63" spans="1:14" ht="15.75" customHeight="1">
      <c r="A63" s="32">
        <v>40</v>
      </c>
      <c r="B63" s="32">
        <f>H7</f>
        <v>2382000</v>
      </c>
      <c r="C63" s="32">
        <f>LOG($B$59)-LOG(B63)</f>
        <v>-1.5062452991575093</v>
      </c>
      <c r="D63" s="32">
        <f>H23</f>
        <v>1274000</v>
      </c>
      <c r="E63" s="32">
        <f t="shared" si="0"/>
        <v>0.18298049335208688</v>
      </c>
      <c r="F63" s="32">
        <f>H44</f>
        <v>3076000</v>
      </c>
      <c r="G63" s="32">
        <f t="shared" si="1"/>
        <v>-0.45215650587656508</v>
      </c>
    </row>
    <row r="64" spans="1:14" ht="15.75" customHeight="1">
      <c r="A64" s="32">
        <v>50</v>
      </c>
      <c r="D64" s="32">
        <f>H26</f>
        <v>1543056</v>
      </c>
      <c r="E64" s="32">
        <f t="shared" si="0"/>
        <v>9.9768233752517865E-2</v>
      </c>
      <c r="F64" s="32">
        <f>H47</f>
        <v>3255000</v>
      </c>
      <c r="G64" s="32">
        <f t="shared" si="1"/>
        <v>-0.47672116765138206</v>
      </c>
    </row>
    <row r="65" spans="1:7" ht="15.75" customHeight="1">
      <c r="A65" s="32">
        <v>60</v>
      </c>
      <c r="B65" s="32">
        <f>H9</f>
        <v>1019000</v>
      </c>
      <c r="C65" s="32">
        <f>LOG($B$59)-LOG(B65)</f>
        <v>-1.1374777260171767</v>
      </c>
      <c r="D65" s="32">
        <f>H29</f>
        <v>1112000</v>
      </c>
      <c r="E65" s="32">
        <f t="shared" si="0"/>
        <v>0.2420451341053802</v>
      </c>
      <c r="F65" s="32">
        <f>H50</f>
        <v>1223000</v>
      </c>
      <c r="G65" s="32">
        <f t="shared" si="1"/>
        <v>-5.1596631783456637E-2</v>
      </c>
    </row>
  </sheetData>
  <pageMargins left="0.7" right="0.7" top="0.75" bottom="0.75" header="0.3" footer="0.3"/>
  <pageSetup orientation="portrait" horizontalDpi="4294967292" verticalDpi="429496729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F88E-8459-134E-BD1F-8D581C9B9172}">
  <dimension ref="A2:E20"/>
  <sheetViews>
    <sheetView workbookViewId="0">
      <selection activeCell="D33" sqref="D33"/>
    </sheetView>
  </sheetViews>
  <sheetFormatPr baseColWidth="10" defaultRowHeight="16"/>
  <cols>
    <col min="1" max="1" width="14.6640625" customWidth="1"/>
    <col min="2" max="2" width="14.5" bestFit="1" customWidth="1"/>
    <col min="3" max="3" width="12" bestFit="1" customWidth="1"/>
  </cols>
  <sheetData>
    <row r="2" spans="1:5">
      <c r="B2" s="59" t="s">
        <v>430</v>
      </c>
    </row>
    <row r="3" spans="1:5">
      <c r="A3" s="59" t="s">
        <v>431</v>
      </c>
      <c r="B3" s="59">
        <v>0</v>
      </c>
      <c r="C3" s="59">
        <v>2</v>
      </c>
      <c r="D3" s="59">
        <v>4</v>
      </c>
      <c r="E3" s="59">
        <v>8</v>
      </c>
    </row>
    <row r="4" spans="1:5">
      <c r="A4" s="59" t="s">
        <v>432</v>
      </c>
      <c r="B4" s="59">
        <v>0</v>
      </c>
      <c r="C4" s="59">
        <v>0.62</v>
      </c>
      <c r="D4" s="59">
        <v>0.72</v>
      </c>
      <c r="E4" s="59">
        <v>1.18</v>
      </c>
    </row>
    <row r="5" spans="1:5">
      <c r="A5" s="59" t="s">
        <v>433</v>
      </c>
      <c r="B5" s="59">
        <v>0</v>
      </c>
      <c r="C5" s="59">
        <v>1.02</v>
      </c>
      <c r="D5" s="59">
        <v>4.12</v>
      </c>
      <c r="E5" s="59">
        <v>5.61</v>
      </c>
    </row>
    <row r="10" spans="1:5">
      <c r="A10" s="59" t="s">
        <v>431</v>
      </c>
      <c r="B10" s="59">
        <v>0</v>
      </c>
      <c r="C10" s="59">
        <v>2</v>
      </c>
      <c r="D10" s="59">
        <v>4</v>
      </c>
      <c r="E10" s="59">
        <v>8</v>
      </c>
    </row>
    <row r="11" spans="1:5">
      <c r="A11" s="59" t="s">
        <v>432</v>
      </c>
      <c r="B11" s="59">
        <v>0</v>
      </c>
    </row>
    <row r="12" spans="1:5">
      <c r="A12" s="59" t="s">
        <v>433</v>
      </c>
      <c r="B12" s="59">
        <v>0</v>
      </c>
    </row>
    <row r="15" spans="1:5">
      <c r="A15" s="77" t="s">
        <v>434</v>
      </c>
      <c r="B15" s="77"/>
      <c r="C15" s="77"/>
    </row>
    <row r="16" spans="1:5">
      <c r="A16" s="60" t="s">
        <v>430</v>
      </c>
      <c r="B16" s="60" t="s">
        <v>432</v>
      </c>
      <c r="C16" s="60" t="s">
        <v>433</v>
      </c>
    </row>
    <row r="17" spans="1:3">
      <c r="A17" s="61">
        <v>0</v>
      </c>
      <c r="B17" s="61">
        <v>0</v>
      </c>
      <c r="C17" s="61">
        <v>0</v>
      </c>
    </row>
    <row r="18" spans="1:3">
      <c r="A18" s="61">
        <v>2</v>
      </c>
      <c r="B18" s="60">
        <v>0.62</v>
      </c>
      <c r="C18" s="60">
        <v>1.02</v>
      </c>
    </row>
    <row r="19" spans="1:3">
      <c r="A19" s="61">
        <v>4</v>
      </c>
      <c r="B19" s="60">
        <v>0.72</v>
      </c>
      <c r="C19" s="60">
        <v>4.12</v>
      </c>
    </row>
    <row r="20" spans="1:3">
      <c r="A20" s="61">
        <v>8</v>
      </c>
      <c r="B20" s="60">
        <v>1.18</v>
      </c>
      <c r="C20" s="60">
        <v>5.61</v>
      </c>
    </row>
  </sheetData>
  <mergeCells count="1">
    <mergeCell ref="A15:C15"/>
  </mergeCells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45E05-8E17-D348-B0EB-1A1622B0D61A}">
  <dimension ref="A1:P35"/>
  <sheetViews>
    <sheetView topLeftCell="O1" zoomScaleNormal="100" workbookViewId="0">
      <selection activeCell="Y27" sqref="Y27"/>
    </sheetView>
  </sheetViews>
  <sheetFormatPr baseColWidth="10" defaultRowHeight="16"/>
  <cols>
    <col min="1" max="1" width="13.1640625" customWidth="1"/>
    <col min="2" max="2" width="12.6640625" customWidth="1"/>
    <col min="3" max="3" width="13" customWidth="1"/>
    <col min="4" max="6" width="12.1640625" customWidth="1"/>
    <col min="7" max="7" width="23.1640625" customWidth="1"/>
    <col min="8" max="9" width="16" customWidth="1"/>
    <col min="12" max="12" width="4.33203125" customWidth="1"/>
    <col min="13" max="13" width="12.1640625" customWidth="1"/>
    <col min="14" max="14" width="12.6640625" customWidth="1"/>
    <col min="15" max="15" width="12.1640625" customWidth="1"/>
    <col min="257" max="257" width="13.1640625" customWidth="1"/>
    <col min="258" max="258" width="12.6640625" customWidth="1"/>
    <col min="259" max="259" width="13" customWidth="1"/>
    <col min="260" max="262" width="12.1640625" customWidth="1"/>
    <col min="263" max="263" width="23.1640625" customWidth="1"/>
    <col min="264" max="265" width="16" customWidth="1"/>
    <col min="268" max="268" width="4.33203125" customWidth="1"/>
    <col min="269" max="269" width="12.1640625" customWidth="1"/>
    <col min="270" max="270" width="12.6640625" customWidth="1"/>
    <col min="271" max="271" width="12.1640625" customWidth="1"/>
    <col min="513" max="513" width="13.1640625" customWidth="1"/>
    <col min="514" max="514" width="12.6640625" customWidth="1"/>
    <col min="515" max="515" width="13" customWidth="1"/>
    <col min="516" max="518" width="12.1640625" customWidth="1"/>
    <col min="519" max="519" width="23.1640625" customWidth="1"/>
    <col min="520" max="521" width="16" customWidth="1"/>
    <col min="524" max="524" width="4.33203125" customWidth="1"/>
    <col min="525" max="525" width="12.1640625" customWidth="1"/>
    <col min="526" max="526" width="12.6640625" customWidth="1"/>
    <col min="527" max="527" width="12.1640625" customWidth="1"/>
    <col min="769" max="769" width="13.1640625" customWidth="1"/>
    <col min="770" max="770" width="12.6640625" customWidth="1"/>
    <col min="771" max="771" width="13" customWidth="1"/>
    <col min="772" max="774" width="12.1640625" customWidth="1"/>
    <col min="775" max="775" width="23.1640625" customWidth="1"/>
    <col min="776" max="777" width="16" customWidth="1"/>
    <col min="780" max="780" width="4.33203125" customWidth="1"/>
    <col min="781" max="781" width="12.1640625" customWidth="1"/>
    <col min="782" max="782" width="12.6640625" customWidth="1"/>
    <col min="783" max="783" width="12.1640625" customWidth="1"/>
    <col min="1025" max="1025" width="13.1640625" customWidth="1"/>
    <col min="1026" max="1026" width="12.6640625" customWidth="1"/>
    <col min="1027" max="1027" width="13" customWidth="1"/>
    <col min="1028" max="1030" width="12.1640625" customWidth="1"/>
    <col min="1031" max="1031" width="23.1640625" customWidth="1"/>
    <col min="1032" max="1033" width="16" customWidth="1"/>
    <col min="1036" max="1036" width="4.33203125" customWidth="1"/>
    <col min="1037" max="1037" width="12.1640625" customWidth="1"/>
    <col min="1038" max="1038" width="12.6640625" customWidth="1"/>
    <col min="1039" max="1039" width="12.1640625" customWidth="1"/>
    <col min="1281" max="1281" width="13.1640625" customWidth="1"/>
    <col min="1282" max="1282" width="12.6640625" customWidth="1"/>
    <col min="1283" max="1283" width="13" customWidth="1"/>
    <col min="1284" max="1286" width="12.1640625" customWidth="1"/>
    <col min="1287" max="1287" width="23.1640625" customWidth="1"/>
    <col min="1288" max="1289" width="16" customWidth="1"/>
    <col min="1292" max="1292" width="4.33203125" customWidth="1"/>
    <col min="1293" max="1293" width="12.1640625" customWidth="1"/>
    <col min="1294" max="1294" width="12.6640625" customWidth="1"/>
    <col min="1295" max="1295" width="12.1640625" customWidth="1"/>
    <col min="1537" max="1537" width="13.1640625" customWidth="1"/>
    <col min="1538" max="1538" width="12.6640625" customWidth="1"/>
    <col min="1539" max="1539" width="13" customWidth="1"/>
    <col min="1540" max="1542" width="12.1640625" customWidth="1"/>
    <col min="1543" max="1543" width="23.1640625" customWidth="1"/>
    <col min="1544" max="1545" width="16" customWidth="1"/>
    <col min="1548" max="1548" width="4.33203125" customWidth="1"/>
    <col min="1549" max="1549" width="12.1640625" customWidth="1"/>
    <col min="1550" max="1550" width="12.6640625" customWidth="1"/>
    <col min="1551" max="1551" width="12.1640625" customWidth="1"/>
    <col min="1793" max="1793" width="13.1640625" customWidth="1"/>
    <col min="1794" max="1794" width="12.6640625" customWidth="1"/>
    <col min="1795" max="1795" width="13" customWidth="1"/>
    <col min="1796" max="1798" width="12.1640625" customWidth="1"/>
    <col min="1799" max="1799" width="23.1640625" customWidth="1"/>
    <col min="1800" max="1801" width="16" customWidth="1"/>
    <col min="1804" max="1804" width="4.33203125" customWidth="1"/>
    <col min="1805" max="1805" width="12.1640625" customWidth="1"/>
    <col min="1806" max="1806" width="12.6640625" customWidth="1"/>
    <col min="1807" max="1807" width="12.1640625" customWidth="1"/>
    <col min="2049" max="2049" width="13.1640625" customWidth="1"/>
    <col min="2050" max="2050" width="12.6640625" customWidth="1"/>
    <col min="2051" max="2051" width="13" customWidth="1"/>
    <col min="2052" max="2054" width="12.1640625" customWidth="1"/>
    <col min="2055" max="2055" width="23.1640625" customWidth="1"/>
    <col min="2056" max="2057" width="16" customWidth="1"/>
    <col min="2060" max="2060" width="4.33203125" customWidth="1"/>
    <col min="2061" max="2061" width="12.1640625" customWidth="1"/>
    <col min="2062" max="2062" width="12.6640625" customWidth="1"/>
    <col min="2063" max="2063" width="12.1640625" customWidth="1"/>
    <col min="2305" max="2305" width="13.1640625" customWidth="1"/>
    <col min="2306" max="2306" width="12.6640625" customWidth="1"/>
    <col min="2307" max="2307" width="13" customWidth="1"/>
    <col min="2308" max="2310" width="12.1640625" customWidth="1"/>
    <col min="2311" max="2311" width="23.1640625" customWidth="1"/>
    <col min="2312" max="2313" width="16" customWidth="1"/>
    <col min="2316" max="2316" width="4.33203125" customWidth="1"/>
    <col min="2317" max="2317" width="12.1640625" customWidth="1"/>
    <col min="2318" max="2318" width="12.6640625" customWidth="1"/>
    <col min="2319" max="2319" width="12.1640625" customWidth="1"/>
    <col min="2561" max="2561" width="13.1640625" customWidth="1"/>
    <col min="2562" max="2562" width="12.6640625" customWidth="1"/>
    <col min="2563" max="2563" width="13" customWidth="1"/>
    <col min="2564" max="2566" width="12.1640625" customWidth="1"/>
    <col min="2567" max="2567" width="23.1640625" customWidth="1"/>
    <col min="2568" max="2569" width="16" customWidth="1"/>
    <col min="2572" max="2572" width="4.33203125" customWidth="1"/>
    <col min="2573" max="2573" width="12.1640625" customWidth="1"/>
    <col min="2574" max="2574" width="12.6640625" customWidth="1"/>
    <col min="2575" max="2575" width="12.1640625" customWidth="1"/>
    <col min="2817" max="2817" width="13.1640625" customWidth="1"/>
    <col min="2818" max="2818" width="12.6640625" customWidth="1"/>
    <col min="2819" max="2819" width="13" customWidth="1"/>
    <col min="2820" max="2822" width="12.1640625" customWidth="1"/>
    <col min="2823" max="2823" width="23.1640625" customWidth="1"/>
    <col min="2824" max="2825" width="16" customWidth="1"/>
    <col min="2828" max="2828" width="4.33203125" customWidth="1"/>
    <col min="2829" max="2829" width="12.1640625" customWidth="1"/>
    <col min="2830" max="2830" width="12.6640625" customWidth="1"/>
    <col min="2831" max="2831" width="12.1640625" customWidth="1"/>
    <col min="3073" max="3073" width="13.1640625" customWidth="1"/>
    <col min="3074" max="3074" width="12.6640625" customWidth="1"/>
    <col min="3075" max="3075" width="13" customWidth="1"/>
    <col min="3076" max="3078" width="12.1640625" customWidth="1"/>
    <col min="3079" max="3079" width="23.1640625" customWidth="1"/>
    <col min="3080" max="3081" width="16" customWidth="1"/>
    <col min="3084" max="3084" width="4.33203125" customWidth="1"/>
    <col min="3085" max="3085" width="12.1640625" customWidth="1"/>
    <col min="3086" max="3086" width="12.6640625" customWidth="1"/>
    <col min="3087" max="3087" width="12.1640625" customWidth="1"/>
    <col min="3329" max="3329" width="13.1640625" customWidth="1"/>
    <col min="3330" max="3330" width="12.6640625" customWidth="1"/>
    <col min="3331" max="3331" width="13" customWidth="1"/>
    <col min="3332" max="3334" width="12.1640625" customWidth="1"/>
    <col min="3335" max="3335" width="23.1640625" customWidth="1"/>
    <col min="3336" max="3337" width="16" customWidth="1"/>
    <col min="3340" max="3340" width="4.33203125" customWidth="1"/>
    <col min="3341" max="3341" width="12.1640625" customWidth="1"/>
    <col min="3342" max="3342" width="12.6640625" customWidth="1"/>
    <col min="3343" max="3343" width="12.1640625" customWidth="1"/>
    <col min="3585" max="3585" width="13.1640625" customWidth="1"/>
    <col min="3586" max="3586" width="12.6640625" customWidth="1"/>
    <col min="3587" max="3587" width="13" customWidth="1"/>
    <col min="3588" max="3590" width="12.1640625" customWidth="1"/>
    <col min="3591" max="3591" width="23.1640625" customWidth="1"/>
    <col min="3592" max="3593" width="16" customWidth="1"/>
    <col min="3596" max="3596" width="4.33203125" customWidth="1"/>
    <col min="3597" max="3597" width="12.1640625" customWidth="1"/>
    <col min="3598" max="3598" width="12.6640625" customWidth="1"/>
    <col min="3599" max="3599" width="12.1640625" customWidth="1"/>
    <col min="3841" max="3841" width="13.1640625" customWidth="1"/>
    <col min="3842" max="3842" width="12.6640625" customWidth="1"/>
    <col min="3843" max="3843" width="13" customWidth="1"/>
    <col min="3844" max="3846" width="12.1640625" customWidth="1"/>
    <col min="3847" max="3847" width="23.1640625" customWidth="1"/>
    <col min="3848" max="3849" width="16" customWidth="1"/>
    <col min="3852" max="3852" width="4.33203125" customWidth="1"/>
    <col min="3853" max="3853" width="12.1640625" customWidth="1"/>
    <col min="3854" max="3854" width="12.6640625" customWidth="1"/>
    <col min="3855" max="3855" width="12.1640625" customWidth="1"/>
    <col min="4097" max="4097" width="13.1640625" customWidth="1"/>
    <col min="4098" max="4098" width="12.6640625" customWidth="1"/>
    <col min="4099" max="4099" width="13" customWidth="1"/>
    <col min="4100" max="4102" width="12.1640625" customWidth="1"/>
    <col min="4103" max="4103" width="23.1640625" customWidth="1"/>
    <col min="4104" max="4105" width="16" customWidth="1"/>
    <col min="4108" max="4108" width="4.33203125" customWidth="1"/>
    <col min="4109" max="4109" width="12.1640625" customWidth="1"/>
    <col min="4110" max="4110" width="12.6640625" customWidth="1"/>
    <col min="4111" max="4111" width="12.1640625" customWidth="1"/>
    <col min="4353" max="4353" width="13.1640625" customWidth="1"/>
    <col min="4354" max="4354" width="12.6640625" customWidth="1"/>
    <col min="4355" max="4355" width="13" customWidth="1"/>
    <col min="4356" max="4358" width="12.1640625" customWidth="1"/>
    <col min="4359" max="4359" width="23.1640625" customWidth="1"/>
    <col min="4360" max="4361" width="16" customWidth="1"/>
    <col min="4364" max="4364" width="4.33203125" customWidth="1"/>
    <col min="4365" max="4365" width="12.1640625" customWidth="1"/>
    <col min="4366" max="4366" width="12.6640625" customWidth="1"/>
    <col min="4367" max="4367" width="12.1640625" customWidth="1"/>
    <col min="4609" max="4609" width="13.1640625" customWidth="1"/>
    <col min="4610" max="4610" width="12.6640625" customWidth="1"/>
    <col min="4611" max="4611" width="13" customWidth="1"/>
    <col min="4612" max="4614" width="12.1640625" customWidth="1"/>
    <col min="4615" max="4615" width="23.1640625" customWidth="1"/>
    <col min="4616" max="4617" width="16" customWidth="1"/>
    <col min="4620" max="4620" width="4.33203125" customWidth="1"/>
    <col min="4621" max="4621" width="12.1640625" customWidth="1"/>
    <col min="4622" max="4622" width="12.6640625" customWidth="1"/>
    <col min="4623" max="4623" width="12.1640625" customWidth="1"/>
    <col min="4865" max="4865" width="13.1640625" customWidth="1"/>
    <col min="4866" max="4866" width="12.6640625" customWidth="1"/>
    <col min="4867" max="4867" width="13" customWidth="1"/>
    <col min="4868" max="4870" width="12.1640625" customWidth="1"/>
    <col min="4871" max="4871" width="23.1640625" customWidth="1"/>
    <col min="4872" max="4873" width="16" customWidth="1"/>
    <col min="4876" max="4876" width="4.33203125" customWidth="1"/>
    <col min="4877" max="4877" width="12.1640625" customWidth="1"/>
    <col min="4878" max="4878" width="12.6640625" customWidth="1"/>
    <col min="4879" max="4879" width="12.1640625" customWidth="1"/>
    <col min="5121" max="5121" width="13.1640625" customWidth="1"/>
    <col min="5122" max="5122" width="12.6640625" customWidth="1"/>
    <col min="5123" max="5123" width="13" customWidth="1"/>
    <col min="5124" max="5126" width="12.1640625" customWidth="1"/>
    <col min="5127" max="5127" width="23.1640625" customWidth="1"/>
    <col min="5128" max="5129" width="16" customWidth="1"/>
    <col min="5132" max="5132" width="4.33203125" customWidth="1"/>
    <col min="5133" max="5133" width="12.1640625" customWidth="1"/>
    <col min="5134" max="5134" width="12.6640625" customWidth="1"/>
    <col min="5135" max="5135" width="12.1640625" customWidth="1"/>
    <col min="5377" max="5377" width="13.1640625" customWidth="1"/>
    <col min="5378" max="5378" width="12.6640625" customWidth="1"/>
    <col min="5379" max="5379" width="13" customWidth="1"/>
    <col min="5380" max="5382" width="12.1640625" customWidth="1"/>
    <col min="5383" max="5383" width="23.1640625" customWidth="1"/>
    <col min="5384" max="5385" width="16" customWidth="1"/>
    <col min="5388" max="5388" width="4.33203125" customWidth="1"/>
    <col min="5389" max="5389" width="12.1640625" customWidth="1"/>
    <col min="5390" max="5390" width="12.6640625" customWidth="1"/>
    <col min="5391" max="5391" width="12.1640625" customWidth="1"/>
    <col min="5633" max="5633" width="13.1640625" customWidth="1"/>
    <col min="5634" max="5634" width="12.6640625" customWidth="1"/>
    <col min="5635" max="5635" width="13" customWidth="1"/>
    <col min="5636" max="5638" width="12.1640625" customWidth="1"/>
    <col min="5639" max="5639" width="23.1640625" customWidth="1"/>
    <col min="5640" max="5641" width="16" customWidth="1"/>
    <col min="5644" max="5644" width="4.33203125" customWidth="1"/>
    <col min="5645" max="5645" width="12.1640625" customWidth="1"/>
    <col min="5646" max="5646" width="12.6640625" customWidth="1"/>
    <col min="5647" max="5647" width="12.1640625" customWidth="1"/>
    <col min="5889" max="5889" width="13.1640625" customWidth="1"/>
    <col min="5890" max="5890" width="12.6640625" customWidth="1"/>
    <col min="5891" max="5891" width="13" customWidth="1"/>
    <col min="5892" max="5894" width="12.1640625" customWidth="1"/>
    <col min="5895" max="5895" width="23.1640625" customWidth="1"/>
    <col min="5896" max="5897" width="16" customWidth="1"/>
    <col min="5900" max="5900" width="4.33203125" customWidth="1"/>
    <col min="5901" max="5901" width="12.1640625" customWidth="1"/>
    <col min="5902" max="5902" width="12.6640625" customWidth="1"/>
    <col min="5903" max="5903" width="12.1640625" customWidth="1"/>
    <col min="6145" max="6145" width="13.1640625" customWidth="1"/>
    <col min="6146" max="6146" width="12.6640625" customWidth="1"/>
    <col min="6147" max="6147" width="13" customWidth="1"/>
    <col min="6148" max="6150" width="12.1640625" customWidth="1"/>
    <col min="6151" max="6151" width="23.1640625" customWidth="1"/>
    <col min="6152" max="6153" width="16" customWidth="1"/>
    <col min="6156" max="6156" width="4.33203125" customWidth="1"/>
    <col min="6157" max="6157" width="12.1640625" customWidth="1"/>
    <col min="6158" max="6158" width="12.6640625" customWidth="1"/>
    <col min="6159" max="6159" width="12.1640625" customWidth="1"/>
    <col min="6401" max="6401" width="13.1640625" customWidth="1"/>
    <col min="6402" max="6402" width="12.6640625" customWidth="1"/>
    <col min="6403" max="6403" width="13" customWidth="1"/>
    <col min="6404" max="6406" width="12.1640625" customWidth="1"/>
    <col min="6407" max="6407" width="23.1640625" customWidth="1"/>
    <col min="6408" max="6409" width="16" customWidth="1"/>
    <col min="6412" max="6412" width="4.33203125" customWidth="1"/>
    <col min="6413" max="6413" width="12.1640625" customWidth="1"/>
    <col min="6414" max="6414" width="12.6640625" customWidth="1"/>
    <col min="6415" max="6415" width="12.1640625" customWidth="1"/>
    <col min="6657" max="6657" width="13.1640625" customWidth="1"/>
    <col min="6658" max="6658" width="12.6640625" customWidth="1"/>
    <col min="6659" max="6659" width="13" customWidth="1"/>
    <col min="6660" max="6662" width="12.1640625" customWidth="1"/>
    <col min="6663" max="6663" width="23.1640625" customWidth="1"/>
    <col min="6664" max="6665" width="16" customWidth="1"/>
    <col min="6668" max="6668" width="4.33203125" customWidth="1"/>
    <col min="6669" max="6669" width="12.1640625" customWidth="1"/>
    <col min="6670" max="6670" width="12.6640625" customWidth="1"/>
    <col min="6671" max="6671" width="12.1640625" customWidth="1"/>
    <col min="6913" max="6913" width="13.1640625" customWidth="1"/>
    <col min="6914" max="6914" width="12.6640625" customWidth="1"/>
    <col min="6915" max="6915" width="13" customWidth="1"/>
    <col min="6916" max="6918" width="12.1640625" customWidth="1"/>
    <col min="6919" max="6919" width="23.1640625" customWidth="1"/>
    <col min="6920" max="6921" width="16" customWidth="1"/>
    <col min="6924" max="6924" width="4.33203125" customWidth="1"/>
    <col min="6925" max="6925" width="12.1640625" customWidth="1"/>
    <col min="6926" max="6926" width="12.6640625" customWidth="1"/>
    <col min="6927" max="6927" width="12.1640625" customWidth="1"/>
    <col min="7169" max="7169" width="13.1640625" customWidth="1"/>
    <col min="7170" max="7170" width="12.6640625" customWidth="1"/>
    <col min="7171" max="7171" width="13" customWidth="1"/>
    <col min="7172" max="7174" width="12.1640625" customWidth="1"/>
    <col min="7175" max="7175" width="23.1640625" customWidth="1"/>
    <col min="7176" max="7177" width="16" customWidth="1"/>
    <col min="7180" max="7180" width="4.33203125" customWidth="1"/>
    <col min="7181" max="7181" width="12.1640625" customWidth="1"/>
    <col min="7182" max="7182" width="12.6640625" customWidth="1"/>
    <col min="7183" max="7183" width="12.1640625" customWidth="1"/>
    <col min="7425" max="7425" width="13.1640625" customWidth="1"/>
    <col min="7426" max="7426" width="12.6640625" customWidth="1"/>
    <col min="7427" max="7427" width="13" customWidth="1"/>
    <col min="7428" max="7430" width="12.1640625" customWidth="1"/>
    <col min="7431" max="7431" width="23.1640625" customWidth="1"/>
    <col min="7432" max="7433" width="16" customWidth="1"/>
    <col min="7436" max="7436" width="4.33203125" customWidth="1"/>
    <col min="7437" max="7437" width="12.1640625" customWidth="1"/>
    <col min="7438" max="7438" width="12.6640625" customWidth="1"/>
    <col min="7439" max="7439" width="12.1640625" customWidth="1"/>
    <col min="7681" max="7681" width="13.1640625" customWidth="1"/>
    <col min="7682" max="7682" width="12.6640625" customWidth="1"/>
    <col min="7683" max="7683" width="13" customWidth="1"/>
    <col min="7684" max="7686" width="12.1640625" customWidth="1"/>
    <col min="7687" max="7687" width="23.1640625" customWidth="1"/>
    <col min="7688" max="7689" width="16" customWidth="1"/>
    <col min="7692" max="7692" width="4.33203125" customWidth="1"/>
    <col min="7693" max="7693" width="12.1640625" customWidth="1"/>
    <col min="7694" max="7694" width="12.6640625" customWidth="1"/>
    <col min="7695" max="7695" width="12.1640625" customWidth="1"/>
    <col min="7937" max="7937" width="13.1640625" customWidth="1"/>
    <col min="7938" max="7938" width="12.6640625" customWidth="1"/>
    <col min="7939" max="7939" width="13" customWidth="1"/>
    <col min="7940" max="7942" width="12.1640625" customWidth="1"/>
    <col min="7943" max="7943" width="23.1640625" customWidth="1"/>
    <col min="7944" max="7945" width="16" customWidth="1"/>
    <col min="7948" max="7948" width="4.33203125" customWidth="1"/>
    <col min="7949" max="7949" width="12.1640625" customWidth="1"/>
    <col min="7950" max="7950" width="12.6640625" customWidth="1"/>
    <col min="7951" max="7951" width="12.1640625" customWidth="1"/>
    <col min="8193" max="8193" width="13.1640625" customWidth="1"/>
    <col min="8194" max="8194" width="12.6640625" customWidth="1"/>
    <col min="8195" max="8195" width="13" customWidth="1"/>
    <col min="8196" max="8198" width="12.1640625" customWidth="1"/>
    <col min="8199" max="8199" width="23.1640625" customWidth="1"/>
    <col min="8200" max="8201" width="16" customWidth="1"/>
    <col min="8204" max="8204" width="4.33203125" customWidth="1"/>
    <col min="8205" max="8205" width="12.1640625" customWidth="1"/>
    <col min="8206" max="8206" width="12.6640625" customWidth="1"/>
    <col min="8207" max="8207" width="12.1640625" customWidth="1"/>
    <col min="8449" max="8449" width="13.1640625" customWidth="1"/>
    <col min="8450" max="8450" width="12.6640625" customWidth="1"/>
    <col min="8451" max="8451" width="13" customWidth="1"/>
    <col min="8452" max="8454" width="12.1640625" customWidth="1"/>
    <col min="8455" max="8455" width="23.1640625" customWidth="1"/>
    <col min="8456" max="8457" width="16" customWidth="1"/>
    <col min="8460" max="8460" width="4.33203125" customWidth="1"/>
    <col min="8461" max="8461" width="12.1640625" customWidth="1"/>
    <col min="8462" max="8462" width="12.6640625" customWidth="1"/>
    <col min="8463" max="8463" width="12.1640625" customWidth="1"/>
    <col min="8705" max="8705" width="13.1640625" customWidth="1"/>
    <col min="8706" max="8706" width="12.6640625" customWidth="1"/>
    <col min="8707" max="8707" width="13" customWidth="1"/>
    <col min="8708" max="8710" width="12.1640625" customWidth="1"/>
    <col min="8711" max="8711" width="23.1640625" customWidth="1"/>
    <col min="8712" max="8713" width="16" customWidth="1"/>
    <col min="8716" max="8716" width="4.33203125" customWidth="1"/>
    <col min="8717" max="8717" width="12.1640625" customWidth="1"/>
    <col min="8718" max="8718" width="12.6640625" customWidth="1"/>
    <col min="8719" max="8719" width="12.1640625" customWidth="1"/>
    <col min="8961" max="8961" width="13.1640625" customWidth="1"/>
    <col min="8962" max="8962" width="12.6640625" customWidth="1"/>
    <col min="8963" max="8963" width="13" customWidth="1"/>
    <col min="8964" max="8966" width="12.1640625" customWidth="1"/>
    <col min="8967" max="8967" width="23.1640625" customWidth="1"/>
    <col min="8968" max="8969" width="16" customWidth="1"/>
    <col min="8972" max="8972" width="4.33203125" customWidth="1"/>
    <col min="8973" max="8973" width="12.1640625" customWidth="1"/>
    <col min="8974" max="8974" width="12.6640625" customWidth="1"/>
    <col min="8975" max="8975" width="12.1640625" customWidth="1"/>
    <col min="9217" max="9217" width="13.1640625" customWidth="1"/>
    <col min="9218" max="9218" width="12.6640625" customWidth="1"/>
    <col min="9219" max="9219" width="13" customWidth="1"/>
    <col min="9220" max="9222" width="12.1640625" customWidth="1"/>
    <col min="9223" max="9223" width="23.1640625" customWidth="1"/>
    <col min="9224" max="9225" width="16" customWidth="1"/>
    <col min="9228" max="9228" width="4.33203125" customWidth="1"/>
    <col min="9229" max="9229" width="12.1640625" customWidth="1"/>
    <col min="9230" max="9230" width="12.6640625" customWidth="1"/>
    <col min="9231" max="9231" width="12.1640625" customWidth="1"/>
    <col min="9473" max="9473" width="13.1640625" customWidth="1"/>
    <col min="9474" max="9474" width="12.6640625" customWidth="1"/>
    <col min="9475" max="9475" width="13" customWidth="1"/>
    <col min="9476" max="9478" width="12.1640625" customWidth="1"/>
    <col min="9479" max="9479" width="23.1640625" customWidth="1"/>
    <col min="9480" max="9481" width="16" customWidth="1"/>
    <col min="9484" max="9484" width="4.33203125" customWidth="1"/>
    <col min="9485" max="9485" width="12.1640625" customWidth="1"/>
    <col min="9486" max="9486" width="12.6640625" customWidth="1"/>
    <col min="9487" max="9487" width="12.1640625" customWidth="1"/>
    <col min="9729" max="9729" width="13.1640625" customWidth="1"/>
    <col min="9730" max="9730" width="12.6640625" customWidth="1"/>
    <col min="9731" max="9731" width="13" customWidth="1"/>
    <col min="9732" max="9734" width="12.1640625" customWidth="1"/>
    <col min="9735" max="9735" width="23.1640625" customWidth="1"/>
    <col min="9736" max="9737" width="16" customWidth="1"/>
    <col min="9740" max="9740" width="4.33203125" customWidth="1"/>
    <col min="9741" max="9741" width="12.1640625" customWidth="1"/>
    <col min="9742" max="9742" width="12.6640625" customWidth="1"/>
    <col min="9743" max="9743" width="12.1640625" customWidth="1"/>
    <col min="9985" max="9985" width="13.1640625" customWidth="1"/>
    <col min="9986" max="9986" width="12.6640625" customWidth="1"/>
    <col min="9987" max="9987" width="13" customWidth="1"/>
    <col min="9988" max="9990" width="12.1640625" customWidth="1"/>
    <col min="9991" max="9991" width="23.1640625" customWidth="1"/>
    <col min="9992" max="9993" width="16" customWidth="1"/>
    <col min="9996" max="9996" width="4.33203125" customWidth="1"/>
    <col min="9997" max="9997" width="12.1640625" customWidth="1"/>
    <col min="9998" max="9998" width="12.6640625" customWidth="1"/>
    <col min="9999" max="9999" width="12.1640625" customWidth="1"/>
    <col min="10241" max="10241" width="13.1640625" customWidth="1"/>
    <col min="10242" max="10242" width="12.6640625" customWidth="1"/>
    <col min="10243" max="10243" width="13" customWidth="1"/>
    <col min="10244" max="10246" width="12.1640625" customWidth="1"/>
    <col min="10247" max="10247" width="23.1640625" customWidth="1"/>
    <col min="10248" max="10249" width="16" customWidth="1"/>
    <col min="10252" max="10252" width="4.33203125" customWidth="1"/>
    <col min="10253" max="10253" width="12.1640625" customWidth="1"/>
    <col min="10254" max="10254" width="12.6640625" customWidth="1"/>
    <col min="10255" max="10255" width="12.1640625" customWidth="1"/>
    <col min="10497" max="10497" width="13.1640625" customWidth="1"/>
    <col min="10498" max="10498" width="12.6640625" customWidth="1"/>
    <col min="10499" max="10499" width="13" customWidth="1"/>
    <col min="10500" max="10502" width="12.1640625" customWidth="1"/>
    <col min="10503" max="10503" width="23.1640625" customWidth="1"/>
    <col min="10504" max="10505" width="16" customWidth="1"/>
    <col min="10508" max="10508" width="4.33203125" customWidth="1"/>
    <col min="10509" max="10509" width="12.1640625" customWidth="1"/>
    <col min="10510" max="10510" width="12.6640625" customWidth="1"/>
    <col min="10511" max="10511" width="12.1640625" customWidth="1"/>
    <col min="10753" max="10753" width="13.1640625" customWidth="1"/>
    <col min="10754" max="10754" width="12.6640625" customWidth="1"/>
    <col min="10755" max="10755" width="13" customWidth="1"/>
    <col min="10756" max="10758" width="12.1640625" customWidth="1"/>
    <col min="10759" max="10759" width="23.1640625" customWidth="1"/>
    <col min="10760" max="10761" width="16" customWidth="1"/>
    <col min="10764" max="10764" width="4.33203125" customWidth="1"/>
    <col min="10765" max="10765" width="12.1640625" customWidth="1"/>
    <col min="10766" max="10766" width="12.6640625" customWidth="1"/>
    <col min="10767" max="10767" width="12.1640625" customWidth="1"/>
    <col min="11009" max="11009" width="13.1640625" customWidth="1"/>
    <col min="11010" max="11010" width="12.6640625" customWidth="1"/>
    <col min="11011" max="11011" width="13" customWidth="1"/>
    <col min="11012" max="11014" width="12.1640625" customWidth="1"/>
    <col min="11015" max="11015" width="23.1640625" customWidth="1"/>
    <col min="11016" max="11017" width="16" customWidth="1"/>
    <col min="11020" max="11020" width="4.33203125" customWidth="1"/>
    <col min="11021" max="11021" width="12.1640625" customWidth="1"/>
    <col min="11022" max="11022" width="12.6640625" customWidth="1"/>
    <col min="11023" max="11023" width="12.1640625" customWidth="1"/>
    <col min="11265" max="11265" width="13.1640625" customWidth="1"/>
    <col min="11266" max="11266" width="12.6640625" customWidth="1"/>
    <col min="11267" max="11267" width="13" customWidth="1"/>
    <col min="11268" max="11270" width="12.1640625" customWidth="1"/>
    <col min="11271" max="11271" width="23.1640625" customWidth="1"/>
    <col min="11272" max="11273" width="16" customWidth="1"/>
    <col min="11276" max="11276" width="4.33203125" customWidth="1"/>
    <col min="11277" max="11277" width="12.1640625" customWidth="1"/>
    <col min="11278" max="11278" width="12.6640625" customWidth="1"/>
    <col min="11279" max="11279" width="12.1640625" customWidth="1"/>
    <col min="11521" max="11521" width="13.1640625" customWidth="1"/>
    <col min="11522" max="11522" width="12.6640625" customWidth="1"/>
    <col min="11523" max="11523" width="13" customWidth="1"/>
    <col min="11524" max="11526" width="12.1640625" customWidth="1"/>
    <col min="11527" max="11527" width="23.1640625" customWidth="1"/>
    <col min="11528" max="11529" width="16" customWidth="1"/>
    <col min="11532" max="11532" width="4.33203125" customWidth="1"/>
    <col min="11533" max="11533" width="12.1640625" customWidth="1"/>
    <col min="11534" max="11534" width="12.6640625" customWidth="1"/>
    <col min="11535" max="11535" width="12.1640625" customWidth="1"/>
    <col min="11777" max="11777" width="13.1640625" customWidth="1"/>
    <col min="11778" max="11778" width="12.6640625" customWidth="1"/>
    <col min="11779" max="11779" width="13" customWidth="1"/>
    <col min="11780" max="11782" width="12.1640625" customWidth="1"/>
    <col min="11783" max="11783" width="23.1640625" customWidth="1"/>
    <col min="11784" max="11785" width="16" customWidth="1"/>
    <col min="11788" max="11788" width="4.33203125" customWidth="1"/>
    <col min="11789" max="11789" width="12.1640625" customWidth="1"/>
    <col min="11790" max="11790" width="12.6640625" customWidth="1"/>
    <col min="11791" max="11791" width="12.1640625" customWidth="1"/>
    <col min="12033" max="12033" width="13.1640625" customWidth="1"/>
    <col min="12034" max="12034" width="12.6640625" customWidth="1"/>
    <col min="12035" max="12035" width="13" customWidth="1"/>
    <col min="12036" max="12038" width="12.1640625" customWidth="1"/>
    <col min="12039" max="12039" width="23.1640625" customWidth="1"/>
    <col min="12040" max="12041" width="16" customWidth="1"/>
    <col min="12044" max="12044" width="4.33203125" customWidth="1"/>
    <col min="12045" max="12045" width="12.1640625" customWidth="1"/>
    <col min="12046" max="12046" width="12.6640625" customWidth="1"/>
    <col min="12047" max="12047" width="12.1640625" customWidth="1"/>
    <col min="12289" max="12289" width="13.1640625" customWidth="1"/>
    <col min="12290" max="12290" width="12.6640625" customWidth="1"/>
    <col min="12291" max="12291" width="13" customWidth="1"/>
    <col min="12292" max="12294" width="12.1640625" customWidth="1"/>
    <col min="12295" max="12295" width="23.1640625" customWidth="1"/>
    <col min="12296" max="12297" width="16" customWidth="1"/>
    <col min="12300" max="12300" width="4.33203125" customWidth="1"/>
    <col min="12301" max="12301" width="12.1640625" customWidth="1"/>
    <col min="12302" max="12302" width="12.6640625" customWidth="1"/>
    <col min="12303" max="12303" width="12.1640625" customWidth="1"/>
    <col min="12545" max="12545" width="13.1640625" customWidth="1"/>
    <col min="12546" max="12546" width="12.6640625" customWidth="1"/>
    <col min="12547" max="12547" width="13" customWidth="1"/>
    <col min="12548" max="12550" width="12.1640625" customWidth="1"/>
    <col min="12551" max="12551" width="23.1640625" customWidth="1"/>
    <col min="12552" max="12553" width="16" customWidth="1"/>
    <col min="12556" max="12556" width="4.33203125" customWidth="1"/>
    <col min="12557" max="12557" width="12.1640625" customWidth="1"/>
    <col min="12558" max="12558" width="12.6640625" customWidth="1"/>
    <col min="12559" max="12559" width="12.1640625" customWidth="1"/>
    <col min="12801" max="12801" width="13.1640625" customWidth="1"/>
    <col min="12802" max="12802" width="12.6640625" customWidth="1"/>
    <col min="12803" max="12803" width="13" customWidth="1"/>
    <col min="12804" max="12806" width="12.1640625" customWidth="1"/>
    <col min="12807" max="12807" width="23.1640625" customWidth="1"/>
    <col min="12808" max="12809" width="16" customWidth="1"/>
    <col min="12812" max="12812" width="4.33203125" customWidth="1"/>
    <col min="12813" max="12813" width="12.1640625" customWidth="1"/>
    <col min="12814" max="12814" width="12.6640625" customWidth="1"/>
    <col min="12815" max="12815" width="12.1640625" customWidth="1"/>
    <col min="13057" max="13057" width="13.1640625" customWidth="1"/>
    <col min="13058" max="13058" width="12.6640625" customWidth="1"/>
    <col min="13059" max="13059" width="13" customWidth="1"/>
    <col min="13060" max="13062" width="12.1640625" customWidth="1"/>
    <col min="13063" max="13063" width="23.1640625" customWidth="1"/>
    <col min="13064" max="13065" width="16" customWidth="1"/>
    <col min="13068" max="13068" width="4.33203125" customWidth="1"/>
    <col min="13069" max="13069" width="12.1640625" customWidth="1"/>
    <col min="13070" max="13070" width="12.6640625" customWidth="1"/>
    <col min="13071" max="13071" width="12.1640625" customWidth="1"/>
    <col min="13313" max="13313" width="13.1640625" customWidth="1"/>
    <col min="13314" max="13314" width="12.6640625" customWidth="1"/>
    <col min="13315" max="13315" width="13" customWidth="1"/>
    <col min="13316" max="13318" width="12.1640625" customWidth="1"/>
    <col min="13319" max="13319" width="23.1640625" customWidth="1"/>
    <col min="13320" max="13321" width="16" customWidth="1"/>
    <col min="13324" max="13324" width="4.33203125" customWidth="1"/>
    <col min="13325" max="13325" width="12.1640625" customWidth="1"/>
    <col min="13326" max="13326" width="12.6640625" customWidth="1"/>
    <col min="13327" max="13327" width="12.1640625" customWidth="1"/>
    <col min="13569" max="13569" width="13.1640625" customWidth="1"/>
    <col min="13570" max="13570" width="12.6640625" customWidth="1"/>
    <col min="13571" max="13571" width="13" customWidth="1"/>
    <col min="13572" max="13574" width="12.1640625" customWidth="1"/>
    <col min="13575" max="13575" width="23.1640625" customWidth="1"/>
    <col min="13576" max="13577" width="16" customWidth="1"/>
    <col min="13580" max="13580" width="4.33203125" customWidth="1"/>
    <col min="13581" max="13581" width="12.1640625" customWidth="1"/>
    <col min="13582" max="13582" width="12.6640625" customWidth="1"/>
    <col min="13583" max="13583" width="12.1640625" customWidth="1"/>
    <col min="13825" max="13825" width="13.1640625" customWidth="1"/>
    <col min="13826" max="13826" width="12.6640625" customWidth="1"/>
    <col min="13827" max="13827" width="13" customWidth="1"/>
    <col min="13828" max="13830" width="12.1640625" customWidth="1"/>
    <col min="13831" max="13831" width="23.1640625" customWidth="1"/>
    <col min="13832" max="13833" width="16" customWidth="1"/>
    <col min="13836" max="13836" width="4.33203125" customWidth="1"/>
    <col min="13837" max="13837" width="12.1640625" customWidth="1"/>
    <col min="13838" max="13838" width="12.6640625" customWidth="1"/>
    <col min="13839" max="13839" width="12.1640625" customWidth="1"/>
    <col min="14081" max="14081" width="13.1640625" customWidth="1"/>
    <col min="14082" max="14082" width="12.6640625" customWidth="1"/>
    <col min="14083" max="14083" width="13" customWidth="1"/>
    <col min="14084" max="14086" width="12.1640625" customWidth="1"/>
    <col min="14087" max="14087" width="23.1640625" customWidth="1"/>
    <col min="14088" max="14089" width="16" customWidth="1"/>
    <col min="14092" max="14092" width="4.33203125" customWidth="1"/>
    <col min="14093" max="14093" width="12.1640625" customWidth="1"/>
    <col min="14094" max="14094" width="12.6640625" customWidth="1"/>
    <col min="14095" max="14095" width="12.1640625" customWidth="1"/>
    <col min="14337" max="14337" width="13.1640625" customWidth="1"/>
    <col min="14338" max="14338" width="12.6640625" customWidth="1"/>
    <col min="14339" max="14339" width="13" customWidth="1"/>
    <col min="14340" max="14342" width="12.1640625" customWidth="1"/>
    <col min="14343" max="14343" width="23.1640625" customWidth="1"/>
    <col min="14344" max="14345" width="16" customWidth="1"/>
    <col min="14348" max="14348" width="4.33203125" customWidth="1"/>
    <col min="14349" max="14349" width="12.1640625" customWidth="1"/>
    <col min="14350" max="14350" width="12.6640625" customWidth="1"/>
    <col min="14351" max="14351" width="12.1640625" customWidth="1"/>
    <col min="14593" max="14593" width="13.1640625" customWidth="1"/>
    <col min="14594" max="14594" width="12.6640625" customWidth="1"/>
    <col min="14595" max="14595" width="13" customWidth="1"/>
    <col min="14596" max="14598" width="12.1640625" customWidth="1"/>
    <col min="14599" max="14599" width="23.1640625" customWidth="1"/>
    <col min="14600" max="14601" width="16" customWidth="1"/>
    <col min="14604" max="14604" width="4.33203125" customWidth="1"/>
    <col min="14605" max="14605" width="12.1640625" customWidth="1"/>
    <col min="14606" max="14606" width="12.6640625" customWidth="1"/>
    <col min="14607" max="14607" width="12.1640625" customWidth="1"/>
    <col min="14849" max="14849" width="13.1640625" customWidth="1"/>
    <col min="14850" max="14850" width="12.6640625" customWidth="1"/>
    <col min="14851" max="14851" width="13" customWidth="1"/>
    <col min="14852" max="14854" width="12.1640625" customWidth="1"/>
    <col min="14855" max="14855" width="23.1640625" customWidth="1"/>
    <col min="14856" max="14857" width="16" customWidth="1"/>
    <col min="14860" max="14860" width="4.33203125" customWidth="1"/>
    <col min="14861" max="14861" width="12.1640625" customWidth="1"/>
    <col min="14862" max="14862" width="12.6640625" customWidth="1"/>
    <col min="14863" max="14863" width="12.1640625" customWidth="1"/>
    <col min="15105" max="15105" width="13.1640625" customWidth="1"/>
    <col min="15106" max="15106" width="12.6640625" customWidth="1"/>
    <col min="15107" max="15107" width="13" customWidth="1"/>
    <col min="15108" max="15110" width="12.1640625" customWidth="1"/>
    <col min="15111" max="15111" width="23.1640625" customWidth="1"/>
    <col min="15112" max="15113" width="16" customWidth="1"/>
    <col min="15116" max="15116" width="4.33203125" customWidth="1"/>
    <col min="15117" max="15117" width="12.1640625" customWidth="1"/>
    <col min="15118" max="15118" width="12.6640625" customWidth="1"/>
    <col min="15119" max="15119" width="12.1640625" customWidth="1"/>
    <col min="15361" max="15361" width="13.1640625" customWidth="1"/>
    <col min="15362" max="15362" width="12.6640625" customWidth="1"/>
    <col min="15363" max="15363" width="13" customWidth="1"/>
    <col min="15364" max="15366" width="12.1640625" customWidth="1"/>
    <col min="15367" max="15367" width="23.1640625" customWidth="1"/>
    <col min="15368" max="15369" width="16" customWidth="1"/>
    <col min="15372" max="15372" width="4.33203125" customWidth="1"/>
    <col min="15373" max="15373" width="12.1640625" customWidth="1"/>
    <col min="15374" max="15374" width="12.6640625" customWidth="1"/>
    <col min="15375" max="15375" width="12.1640625" customWidth="1"/>
    <col min="15617" max="15617" width="13.1640625" customWidth="1"/>
    <col min="15618" max="15618" width="12.6640625" customWidth="1"/>
    <col min="15619" max="15619" width="13" customWidth="1"/>
    <col min="15620" max="15622" width="12.1640625" customWidth="1"/>
    <col min="15623" max="15623" width="23.1640625" customWidth="1"/>
    <col min="15624" max="15625" width="16" customWidth="1"/>
    <col min="15628" max="15628" width="4.33203125" customWidth="1"/>
    <col min="15629" max="15629" width="12.1640625" customWidth="1"/>
    <col min="15630" max="15630" width="12.6640625" customWidth="1"/>
    <col min="15631" max="15631" width="12.1640625" customWidth="1"/>
    <col min="15873" max="15873" width="13.1640625" customWidth="1"/>
    <col min="15874" max="15874" width="12.6640625" customWidth="1"/>
    <col min="15875" max="15875" width="13" customWidth="1"/>
    <col min="15876" max="15878" width="12.1640625" customWidth="1"/>
    <col min="15879" max="15879" width="23.1640625" customWidth="1"/>
    <col min="15880" max="15881" width="16" customWidth="1"/>
    <col min="15884" max="15884" width="4.33203125" customWidth="1"/>
    <col min="15885" max="15885" width="12.1640625" customWidth="1"/>
    <col min="15886" max="15886" width="12.6640625" customWidth="1"/>
    <col min="15887" max="15887" width="12.1640625" customWidth="1"/>
    <col min="16129" max="16129" width="13.1640625" customWidth="1"/>
    <col min="16130" max="16130" width="12.6640625" customWidth="1"/>
    <col min="16131" max="16131" width="13" customWidth="1"/>
    <col min="16132" max="16134" width="12.1640625" customWidth="1"/>
    <col min="16135" max="16135" width="23.1640625" customWidth="1"/>
    <col min="16136" max="16137" width="16" customWidth="1"/>
    <col min="16140" max="16140" width="4.33203125" customWidth="1"/>
    <col min="16141" max="16141" width="12.1640625" customWidth="1"/>
    <col min="16142" max="16142" width="12.6640625" customWidth="1"/>
    <col min="16143" max="16143" width="12.1640625" customWidth="1"/>
  </cols>
  <sheetData>
    <row r="1" spans="1:16">
      <c r="A1" s="23">
        <v>42991</v>
      </c>
    </row>
    <row r="2" spans="1:16">
      <c r="A2" t="s">
        <v>38</v>
      </c>
      <c r="B2" t="s">
        <v>221</v>
      </c>
      <c r="C2" t="s">
        <v>37</v>
      </c>
      <c r="D2" t="s">
        <v>390</v>
      </c>
      <c r="E2" t="s">
        <v>36</v>
      </c>
      <c r="F2" t="s">
        <v>391</v>
      </c>
      <c r="G2" t="s">
        <v>392</v>
      </c>
      <c r="H2" t="s">
        <v>393</v>
      </c>
      <c r="I2" t="s">
        <v>394</v>
      </c>
      <c r="L2" t="s">
        <v>395</v>
      </c>
      <c r="M2" t="s">
        <v>396</v>
      </c>
      <c r="N2" t="s">
        <v>397</v>
      </c>
      <c r="O2" t="s">
        <v>42</v>
      </c>
      <c r="P2" t="s">
        <v>398</v>
      </c>
    </row>
    <row r="3" spans="1:16">
      <c r="A3" t="s">
        <v>399</v>
      </c>
      <c r="B3">
        <v>6.7754537259999997E-2</v>
      </c>
      <c r="C3">
        <v>0.55065822419999999</v>
      </c>
      <c r="D3">
        <v>7.4970213020000003</v>
      </c>
      <c r="E3">
        <v>14.9940426</v>
      </c>
      <c r="F3">
        <f>E3/D3</f>
        <v>1.9999999994664548</v>
      </c>
      <c r="G3">
        <f>(B3-0.0031)/0.0332</f>
        <v>1.9474258210843371</v>
      </c>
      <c r="H3">
        <f>G3*F3</f>
        <v>3.8948516411296348</v>
      </c>
      <c r="I3">
        <f>H3*10</f>
        <v>38.948516411296346</v>
      </c>
      <c r="L3">
        <v>10</v>
      </c>
      <c r="M3">
        <f>I3</f>
        <v>38.948516411296346</v>
      </c>
      <c r="N3">
        <f>I4</f>
        <v>32.108677058361728</v>
      </c>
      <c r="O3">
        <f>AVERAGE(N3,M3)</f>
        <v>35.528596734829037</v>
      </c>
      <c r="P3">
        <f>(STDEV(M3:N3))/(SQRT(COUNT(M3:N3)))</f>
        <v>3.4199196764673085</v>
      </c>
    </row>
    <row r="4" spans="1:16">
      <c r="A4" t="s">
        <v>400</v>
      </c>
      <c r="B4">
        <v>5.64004039E-2</v>
      </c>
      <c r="C4">
        <v>0.82275480190000005</v>
      </c>
      <c r="D4">
        <v>6.3150377779999998</v>
      </c>
      <c r="E4">
        <v>12.63007556</v>
      </c>
      <c r="F4">
        <f t="shared" ref="F4:F19" si="0">E4/D4</f>
        <v>2.0000000006334089</v>
      </c>
      <c r="G4">
        <f t="shared" ref="G4:G19" si="1">(B4-0.0031)/0.0332</f>
        <v>1.6054338524096385</v>
      </c>
      <c r="H4">
        <f t="shared" ref="H4:H17" si="2">G4*F4</f>
        <v>3.210867705836173</v>
      </c>
      <c r="I4">
        <f t="shared" ref="I4:I18" si="3">H4*10</f>
        <v>32.108677058361728</v>
      </c>
      <c r="L4">
        <v>20</v>
      </c>
      <c r="M4">
        <f>I5</f>
        <v>30.876950060240958</v>
      </c>
      <c r="N4">
        <f>I6</f>
        <v>23.837188057228914</v>
      </c>
      <c r="O4">
        <f t="shared" ref="O4:O16" si="4">AVERAGE(N4,M4)</f>
        <v>27.357069058734936</v>
      </c>
      <c r="P4">
        <f t="shared" ref="P4:P15" si="5">(STDEV(M4:N4))/(SQRT(COUNT(M4:N4)))</f>
        <v>3.5198810015060267</v>
      </c>
    </row>
    <row r="5" spans="1:16">
      <c r="A5" t="s">
        <v>401</v>
      </c>
      <c r="B5">
        <v>0.1056114742</v>
      </c>
      <c r="C5">
        <v>1.0486507469999999</v>
      </c>
      <c r="D5">
        <v>11.43798926</v>
      </c>
      <c r="E5">
        <v>11.43798926</v>
      </c>
      <c r="F5">
        <f t="shared" si="0"/>
        <v>1</v>
      </c>
      <c r="G5">
        <f t="shared" si="1"/>
        <v>3.087695006024096</v>
      </c>
      <c r="H5">
        <f t="shared" si="2"/>
        <v>3.087695006024096</v>
      </c>
      <c r="I5">
        <f t="shared" si="3"/>
        <v>30.876950060240958</v>
      </c>
      <c r="L5">
        <v>30</v>
      </c>
      <c r="M5">
        <f>I7</f>
        <v>28.980650879518073</v>
      </c>
      <c r="N5">
        <f>I8</f>
        <v>34.429804339144745</v>
      </c>
      <c r="O5">
        <f t="shared" si="4"/>
        <v>31.705227609331409</v>
      </c>
      <c r="P5">
        <f t="shared" si="5"/>
        <v>2.7245767298133354</v>
      </c>
    </row>
    <row r="6" spans="1:16">
      <c r="A6" t="s">
        <v>402</v>
      </c>
      <c r="B6">
        <v>8.2239464349999999E-2</v>
      </c>
      <c r="C6">
        <v>2.7420539160000001</v>
      </c>
      <c r="D6">
        <v>9.0049254820000009</v>
      </c>
      <c r="E6">
        <v>9.0049254820000009</v>
      </c>
      <c r="F6">
        <f t="shared" si="0"/>
        <v>1</v>
      </c>
      <c r="G6">
        <f t="shared" si="1"/>
        <v>2.3837188057228915</v>
      </c>
      <c r="H6">
        <f t="shared" si="2"/>
        <v>2.3837188057228915</v>
      </c>
      <c r="I6">
        <f t="shared" si="3"/>
        <v>23.837188057228914</v>
      </c>
      <c r="L6">
        <v>60</v>
      </c>
      <c r="M6">
        <f>I9</f>
        <v>37.305147740111671</v>
      </c>
      <c r="N6">
        <f>I10</f>
        <v>30.200546058284349</v>
      </c>
      <c r="O6">
        <f t="shared" si="4"/>
        <v>33.752846899198012</v>
      </c>
      <c r="P6">
        <f t="shared" si="5"/>
        <v>3.5523008409136394</v>
      </c>
    </row>
    <row r="7" spans="1:16">
      <c r="A7" t="s">
        <v>403</v>
      </c>
      <c r="B7">
        <v>5.1207880460000001E-2</v>
      </c>
      <c r="C7">
        <v>0.69612255730000006</v>
      </c>
      <c r="D7">
        <v>5.7744877450000001</v>
      </c>
      <c r="E7">
        <v>11.54897549</v>
      </c>
      <c r="F7">
        <f t="shared" si="0"/>
        <v>2</v>
      </c>
      <c r="G7">
        <f t="shared" si="1"/>
        <v>1.4490325439759038</v>
      </c>
      <c r="H7">
        <f t="shared" si="2"/>
        <v>2.8980650879518075</v>
      </c>
      <c r="I7">
        <f t="shared" si="3"/>
        <v>28.980650879518073</v>
      </c>
      <c r="L7">
        <v>90</v>
      </c>
      <c r="M7">
        <f>I11</f>
        <v>38.430346040496573</v>
      </c>
      <c r="N7">
        <f>I12</f>
        <v>25.660363334337347</v>
      </c>
      <c r="O7">
        <f t="shared" si="4"/>
        <v>32.04535468741696</v>
      </c>
      <c r="P7">
        <f t="shared" si="5"/>
        <v>6.384991353079621</v>
      </c>
    </row>
    <row r="8" spans="1:16">
      <c r="A8" t="s">
        <v>404</v>
      </c>
      <c r="B8">
        <v>6.0253475219999998E-2</v>
      </c>
      <c r="C8">
        <v>2.1922131450000002</v>
      </c>
      <c r="D8">
        <v>6.716148692</v>
      </c>
      <c r="E8">
        <v>13.43229738</v>
      </c>
      <c r="F8">
        <f t="shared" si="0"/>
        <v>1.9999999994044204</v>
      </c>
      <c r="G8">
        <f t="shared" si="1"/>
        <v>1.7214902174698794</v>
      </c>
      <c r="H8">
        <f t="shared" si="2"/>
        <v>3.4429804339144745</v>
      </c>
      <c r="I8">
        <f t="shared" si="3"/>
        <v>34.429804339144745</v>
      </c>
      <c r="L8">
        <v>120</v>
      </c>
      <c r="M8">
        <f>I13</f>
        <v>62.063116746987951</v>
      </c>
      <c r="N8">
        <f>I14</f>
        <v>57.183369876248868</v>
      </c>
      <c r="O8">
        <f t="shared" si="4"/>
        <v>59.62324331161841</v>
      </c>
      <c r="P8">
        <f t="shared" si="5"/>
        <v>2.4398734353695417</v>
      </c>
    </row>
    <row r="9" spans="1:16">
      <c r="A9" t="s">
        <v>405</v>
      </c>
      <c r="B9">
        <v>6.5026545239999997E-2</v>
      </c>
      <c r="C9">
        <v>1.277172478</v>
      </c>
      <c r="D9">
        <v>7.2130329489999996</v>
      </c>
      <c r="E9">
        <v>14.426065899999999</v>
      </c>
      <c r="F9">
        <f t="shared" si="0"/>
        <v>2.000000000277276</v>
      </c>
      <c r="G9">
        <f t="shared" si="1"/>
        <v>1.8652573867469879</v>
      </c>
      <c r="H9">
        <f t="shared" si="2"/>
        <v>3.730514774011167</v>
      </c>
      <c r="I9">
        <f t="shared" si="3"/>
        <v>37.305147740111671</v>
      </c>
      <c r="L9">
        <v>150</v>
      </c>
      <c r="M9">
        <f>I15</f>
        <v>53.154073633213095</v>
      </c>
      <c r="N9">
        <f>I16</f>
        <v>54.523528466516368</v>
      </c>
      <c r="O9">
        <f t="shared" si="4"/>
        <v>53.838801049864728</v>
      </c>
      <c r="P9">
        <f t="shared" si="5"/>
        <v>0.68472741665163628</v>
      </c>
    </row>
    <row r="10" spans="1:16">
      <c r="A10" t="s">
        <v>406</v>
      </c>
      <c r="B10">
        <v>5.3232906439999998E-2</v>
      </c>
      <c r="C10">
        <v>0.6879215166</v>
      </c>
      <c r="D10">
        <v>5.9852962029999999</v>
      </c>
      <c r="E10">
        <v>11.97059241</v>
      </c>
      <c r="F10">
        <f t="shared" si="0"/>
        <v>2.0000000006683045</v>
      </c>
      <c r="G10">
        <f t="shared" si="1"/>
        <v>1.5100273024096384</v>
      </c>
      <c r="H10">
        <f t="shared" si="2"/>
        <v>3.020054605828435</v>
      </c>
      <c r="I10">
        <f t="shared" si="3"/>
        <v>30.200546058284349</v>
      </c>
      <c r="L10">
        <v>180</v>
      </c>
      <c r="M10">
        <f>I17</f>
        <v>39.913679200427225</v>
      </c>
      <c r="N10">
        <f>I18</f>
        <v>47.978659393020223</v>
      </c>
      <c r="O10">
        <f t="shared" si="4"/>
        <v>43.946169296723724</v>
      </c>
      <c r="P10">
        <f t="shared" si="5"/>
        <v>4.032490096296498</v>
      </c>
    </row>
    <row r="11" spans="1:16">
      <c r="A11" t="s">
        <v>407</v>
      </c>
      <c r="B11">
        <v>6.6894374409999999E-2</v>
      </c>
      <c r="C11">
        <v>0.50682398500000003</v>
      </c>
      <c r="D11">
        <v>7.4074769680000001</v>
      </c>
      <c r="E11">
        <v>14.814953940000001</v>
      </c>
      <c r="F11">
        <f t="shared" si="0"/>
        <v>2.0000000005399952</v>
      </c>
      <c r="G11">
        <f t="shared" si="1"/>
        <v>1.9215173015060238</v>
      </c>
      <c r="H11">
        <f t="shared" si="2"/>
        <v>3.8430346040496577</v>
      </c>
      <c r="I11">
        <f t="shared" si="3"/>
        <v>38.430346040496573</v>
      </c>
      <c r="L11">
        <v>210</v>
      </c>
      <c r="M11">
        <f>I23</f>
        <v>42.405225631309037</v>
      </c>
      <c r="N11">
        <f>I24</f>
        <v>69.144119819277108</v>
      </c>
      <c r="O11">
        <f t="shared" si="4"/>
        <v>55.774672725293073</v>
      </c>
      <c r="P11">
        <f t="shared" si="5"/>
        <v>13.369447093984032</v>
      </c>
    </row>
    <row r="12" spans="1:16">
      <c r="A12" t="s">
        <v>408</v>
      </c>
      <c r="B12">
        <v>8.8292406269999998E-2</v>
      </c>
      <c r="C12">
        <v>0.3782360394</v>
      </c>
      <c r="D12">
        <v>9.635046461</v>
      </c>
      <c r="E12">
        <v>9.635046461</v>
      </c>
      <c r="F12">
        <f t="shared" si="0"/>
        <v>1</v>
      </c>
      <c r="G12">
        <f t="shared" si="1"/>
        <v>2.5660363334337348</v>
      </c>
      <c r="H12">
        <f t="shared" si="2"/>
        <v>2.5660363334337348</v>
      </c>
      <c r="I12">
        <f t="shared" si="3"/>
        <v>25.660363334337347</v>
      </c>
      <c r="L12">
        <v>240</v>
      </c>
      <c r="M12">
        <f>I25</f>
        <v>48.45766791566264</v>
      </c>
      <c r="N12">
        <f>I26</f>
        <v>25.369986701807225</v>
      </c>
      <c r="O12">
        <f t="shared" si="4"/>
        <v>36.91382730873493</v>
      </c>
      <c r="P12">
        <f t="shared" si="5"/>
        <v>11.543840606927706</v>
      </c>
    </row>
    <row r="13" spans="1:16">
      <c r="A13" t="s">
        <v>409</v>
      </c>
      <c r="B13">
        <v>0.1061247738</v>
      </c>
      <c r="C13">
        <v>1.619994146</v>
      </c>
      <c r="D13">
        <v>11.49142457</v>
      </c>
      <c r="E13">
        <v>22.982849139999999</v>
      </c>
      <c r="F13">
        <f t="shared" si="0"/>
        <v>2</v>
      </c>
      <c r="G13">
        <f t="shared" si="1"/>
        <v>3.1031558373493975</v>
      </c>
      <c r="H13">
        <f t="shared" si="2"/>
        <v>6.206311674698795</v>
      </c>
      <c r="I13">
        <f t="shared" si="3"/>
        <v>62.063116746987951</v>
      </c>
      <c r="L13">
        <v>270</v>
      </c>
      <c r="M13">
        <f>I27</f>
        <v>27.051352551204815</v>
      </c>
      <c r="N13">
        <f>I28</f>
        <v>15.999075551204818</v>
      </c>
      <c r="O13">
        <f t="shared" si="4"/>
        <v>21.525214051204816</v>
      </c>
      <c r="P13">
        <f>(STDEV(M13:N13))/(SQRT(COUNT(M13:N13)))</f>
        <v>5.5261384999999983</v>
      </c>
    </row>
    <row r="14" spans="1:16">
      <c r="A14" t="s">
        <v>410</v>
      </c>
      <c r="B14">
        <v>9.8024393949999997E-2</v>
      </c>
      <c r="C14">
        <v>2.4292554750000002</v>
      </c>
      <c r="D14">
        <v>10.64816201</v>
      </c>
      <c r="E14">
        <v>21.296324030000001</v>
      </c>
      <c r="F14">
        <f t="shared" si="0"/>
        <v>2.0000000009391292</v>
      </c>
      <c r="G14">
        <f t="shared" si="1"/>
        <v>2.859168492469879</v>
      </c>
      <c r="H14">
        <f t="shared" si="2"/>
        <v>5.7183369876248866</v>
      </c>
      <c r="I14">
        <f t="shared" si="3"/>
        <v>57.183369876248868</v>
      </c>
      <c r="L14">
        <v>300</v>
      </c>
      <c r="M14">
        <f>I29</f>
        <v>8.0134265090361456</v>
      </c>
      <c r="N14">
        <f>I30</f>
        <v>6.3139772259036153</v>
      </c>
      <c r="O14">
        <f t="shared" si="4"/>
        <v>7.1637018674698805</v>
      </c>
      <c r="P14">
        <f t="shared" si="5"/>
        <v>0.84972464156626215</v>
      </c>
    </row>
    <row r="15" spans="1:16">
      <c r="A15" t="s">
        <v>411</v>
      </c>
      <c r="B15">
        <v>9.1335762240000007E-2</v>
      </c>
      <c r="C15">
        <v>1.994514278</v>
      </c>
      <c r="D15">
        <v>9.9518647060000003</v>
      </c>
      <c r="E15">
        <v>19.90372941</v>
      </c>
      <c r="F15">
        <f t="shared" si="0"/>
        <v>1.9999999997990325</v>
      </c>
      <c r="G15">
        <f t="shared" si="1"/>
        <v>2.6577036819277109</v>
      </c>
      <c r="H15">
        <f t="shared" si="2"/>
        <v>5.3154073633213095</v>
      </c>
      <c r="I15">
        <f t="shared" si="3"/>
        <v>53.154073633213095</v>
      </c>
      <c r="L15">
        <v>330</v>
      </c>
      <c r="M15">
        <f>I31</f>
        <v>52.178290747711067</v>
      </c>
      <c r="N15">
        <f>I32</f>
        <v>60.369288079104436</v>
      </c>
      <c r="O15">
        <f t="shared" si="4"/>
        <v>56.273789413407755</v>
      </c>
      <c r="P15">
        <f t="shared" si="5"/>
        <v>4.0954986656966836</v>
      </c>
    </row>
    <row r="16" spans="1:16">
      <c r="A16" t="s">
        <v>412</v>
      </c>
      <c r="B16">
        <v>9.3609057209999999E-2</v>
      </c>
      <c r="C16">
        <v>0.71141905270000005</v>
      </c>
      <c r="D16">
        <v>10.18851836</v>
      </c>
      <c r="E16">
        <v>20.37703673</v>
      </c>
      <c r="F16">
        <f t="shared" si="0"/>
        <v>2.0000000009814971</v>
      </c>
      <c r="G16">
        <f t="shared" si="1"/>
        <v>2.7261764219879514</v>
      </c>
      <c r="H16">
        <f t="shared" si="2"/>
        <v>5.4523528466516371</v>
      </c>
      <c r="I16">
        <f t="shared" si="3"/>
        <v>54.523528466516368</v>
      </c>
      <c r="L16">
        <v>365</v>
      </c>
      <c r="M16">
        <f>I33</f>
        <v>57.003636294415294</v>
      </c>
      <c r="O16">
        <f t="shared" si="4"/>
        <v>57.003636294415294</v>
      </c>
    </row>
    <row r="17" spans="1:9">
      <c r="A17" t="s">
        <v>413</v>
      </c>
      <c r="B17">
        <v>6.9356707490000002E-2</v>
      </c>
      <c r="C17">
        <v>0.32260175810000002</v>
      </c>
      <c r="D17">
        <v>7.6638097969999999</v>
      </c>
      <c r="E17">
        <v>15.327619589999999</v>
      </c>
      <c r="F17">
        <f t="shared" si="0"/>
        <v>1.9999999994780664</v>
      </c>
      <c r="G17">
        <f>(B17-0.0031)/0.0332</f>
        <v>1.9956839605421686</v>
      </c>
      <c r="H17">
        <f t="shared" si="2"/>
        <v>3.9913679200427228</v>
      </c>
      <c r="I17">
        <f t="shared" si="3"/>
        <v>39.913679200427225</v>
      </c>
    </row>
    <row r="18" spans="1:9">
      <c r="A18" t="s">
        <v>414</v>
      </c>
      <c r="B18">
        <v>8.2744574609999996E-2</v>
      </c>
      <c r="C18">
        <v>1.1820213079999999</v>
      </c>
      <c r="D18">
        <v>9.0575082719999997</v>
      </c>
      <c r="E18">
        <v>18.115016539999999</v>
      </c>
      <c r="F18">
        <f t="shared" si="0"/>
        <v>1.9999999995583775</v>
      </c>
      <c r="G18">
        <f>(B18-0.0031)/0.0332</f>
        <v>2.3989329701807227</v>
      </c>
      <c r="H18">
        <f>G18*F18</f>
        <v>4.7978659393020227</v>
      </c>
      <c r="I18">
        <f t="shared" si="3"/>
        <v>47.978659393020223</v>
      </c>
    </row>
    <row r="19" spans="1:9">
      <c r="A19" t="s">
        <v>415</v>
      </c>
      <c r="B19">
        <v>1.6048662169999999E-3</v>
      </c>
      <c r="C19">
        <v>18.62015397</v>
      </c>
      <c r="D19">
        <v>0.61073427339999997</v>
      </c>
      <c r="E19">
        <v>0.61073427339999997</v>
      </c>
      <c r="F19">
        <f t="shared" si="0"/>
        <v>1</v>
      </c>
      <c r="G19">
        <f t="shared" si="1"/>
        <v>-4.5034150090361443E-2</v>
      </c>
      <c r="H19">
        <f>G19*F19</f>
        <v>-4.5034150090361443E-2</v>
      </c>
      <c r="I19">
        <f>H19*10</f>
        <v>-0.45034150090361441</v>
      </c>
    </row>
    <row r="20" spans="1:9">
      <c r="A20" t="s">
        <v>416</v>
      </c>
      <c r="B20">
        <v>6.5964936130000001E-4</v>
      </c>
      <c r="C20">
        <v>105.5420211</v>
      </c>
      <c r="D20">
        <v>0.51233568009999997</v>
      </c>
      <c r="E20">
        <v>0.51233568009999997</v>
      </c>
      <c r="F20">
        <f>E20/D20</f>
        <v>1</v>
      </c>
      <c r="G20">
        <f>(B20-0.0031)/0.0332</f>
        <v>-7.3504537310240967E-2</v>
      </c>
      <c r="H20">
        <f>G20*F20</f>
        <v>-7.3504537310240967E-2</v>
      </c>
      <c r="I20">
        <f>H20*10</f>
        <v>-0.73504537310240969</v>
      </c>
    </row>
    <row r="21" spans="1:9">
      <c r="A21" s="23">
        <v>42997</v>
      </c>
    </row>
    <row r="22" spans="1:9">
      <c r="A22" t="s">
        <v>38</v>
      </c>
      <c r="B22" t="s">
        <v>221</v>
      </c>
      <c r="C22" t="s">
        <v>37</v>
      </c>
      <c r="D22" t="s">
        <v>390</v>
      </c>
      <c r="E22" t="s">
        <v>36</v>
      </c>
      <c r="F22" t="s">
        <v>391</v>
      </c>
      <c r="G22" t="s">
        <v>392</v>
      </c>
      <c r="H22" t="s">
        <v>393</v>
      </c>
      <c r="I22" t="s">
        <v>394</v>
      </c>
    </row>
    <row r="23" spans="1:9">
      <c r="A23" t="s">
        <v>417</v>
      </c>
      <c r="B23">
        <v>7.3492674569999999E-2</v>
      </c>
      <c r="C23">
        <v>5.4133867770000004</v>
      </c>
      <c r="D23">
        <v>6.3914935169999998</v>
      </c>
      <c r="E23">
        <v>12.782987029999999</v>
      </c>
      <c r="F23">
        <f t="shared" ref="F23:F34" si="6">E23/D23</f>
        <v>1.9999999993741682</v>
      </c>
      <c r="G23">
        <f>(B23-0.0031)/0.0332</f>
        <v>2.1202612822289155</v>
      </c>
      <c r="H23">
        <f t="shared" ref="H23:H34" si="7">G23*F23</f>
        <v>4.240522563130904</v>
      </c>
      <c r="I23">
        <f>H23*10</f>
        <v>42.405225631309037</v>
      </c>
    </row>
    <row r="24" spans="1:9">
      <c r="A24" t="s">
        <v>418</v>
      </c>
      <c r="B24">
        <v>0.1178792389</v>
      </c>
      <c r="C24">
        <v>0.64882399660000001</v>
      </c>
      <c r="D24">
        <v>10.06270419</v>
      </c>
      <c r="E24">
        <v>20.12540838</v>
      </c>
      <c r="F24">
        <f t="shared" si="6"/>
        <v>2</v>
      </c>
      <c r="G24">
        <f t="shared" ref="G24:G33" si="8">(B24-0.0031)/0.0332</f>
        <v>3.4572059909638555</v>
      </c>
      <c r="H24">
        <f t="shared" si="7"/>
        <v>6.914411981927711</v>
      </c>
      <c r="I24">
        <f t="shared" ref="I24:I34" si="9">H24*10</f>
        <v>69.144119819277108</v>
      </c>
    </row>
    <row r="25" spans="1:9">
      <c r="A25" t="s">
        <v>419</v>
      </c>
      <c r="B25">
        <v>8.3539728739999999E-2</v>
      </c>
      <c r="C25">
        <v>3.415497475</v>
      </c>
      <c r="D25">
        <v>7.2224849000000004</v>
      </c>
      <c r="E25">
        <v>14.444969800000001</v>
      </c>
      <c r="F25">
        <f t="shared" si="6"/>
        <v>2</v>
      </c>
      <c r="G25">
        <f t="shared" si="8"/>
        <v>2.4228833957831322</v>
      </c>
      <c r="H25">
        <f t="shared" si="7"/>
        <v>4.8457667915662643</v>
      </c>
      <c r="I25">
        <f t="shared" si="9"/>
        <v>48.45766791566264</v>
      </c>
    </row>
    <row r="26" spans="1:9">
      <c r="A26" t="s">
        <v>420</v>
      </c>
      <c r="B26">
        <v>8.7328355849999997E-2</v>
      </c>
      <c r="C26">
        <v>0.57767699490000002</v>
      </c>
      <c r="D26">
        <v>7.5358420720000003</v>
      </c>
      <c r="E26">
        <v>7.5358420720000003</v>
      </c>
      <c r="F26">
        <f t="shared" si="6"/>
        <v>1</v>
      </c>
      <c r="G26">
        <f t="shared" si="8"/>
        <v>2.5369986701807226</v>
      </c>
      <c r="H26">
        <f t="shared" si="7"/>
        <v>2.5369986701807226</v>
      </c>
      <c r="I26">
        <f t="shared" si="9"/>
        <v>25.369986701807225</v>
      </c>
    </row>
    <row r="27" spans="1:9">
      <c r="A27" t="s">
        <v>421</v>
      </c>
      <c r="B27">
        <v>9.2910490469999996E-2</v>
      </c>
      <c r="C27">
        <v>1.0033243300000001</v>
      </c>
      <c r="D27">
        <v>7.9975401670000004</v>
      </c>
      <c r="E27">
        <v>7.9975401670000004</v>
      </c>
      <c r="F27">
        <f t="shared" si="6"/>
        <v>1</v>
      </c>
      <c r="G27">
        <f t="shared" si="8"/>
        <v>2.7051352551204815</v>
      </c>
      <c r="H27">
        <f t="shared" si="7"/>
        <v>2.7051352551204815</v>
      </c>
      <c r="I27">
        <f t="shared" si="9"/>
        <v>27.051352551204815</v>
      </c>
    </row>
    <row r="28" spans="1:9">
      <c r="A28" t="s">
        <v>422</v>
      </c>
      <c r="B28">
        <v>5.6216930829999998E-2</v>
      </c>
      <c r="C28">
        <v>1.233378445</v>
      </c>
      <c r="D28">
        <v>4.9626175549999996</v>
      </c>
      <c r="E28">
        <v>4.9626175549999996</v>
      </c>
      <c r="F28">
        <f t="shared" si="6"/>
        <v>1</v>
      </c>
      <c r="G28">
        <f t="shared" si="8"/>
        <v>1.5999075551204818</v>
      </c>
      <c r="H28">
        <f t="shared" si="7"/>
        <v>1.5999075551204818</v>
      </c>
      <c r="I28">
        <f t="shared" si="9"/>
        <v>15.999075551204818</v>
      </c>
    </row>
    <row r="29" spans="1:9">
      <c r="A29" t="s">
        <v>423</v>
      </c>
      <c r="B29">
        <v>2.9704576010000001E-2</v>
      </c>
      <c r="C29">
        <v>1.3766722149999999</v>
      </c>
      <c r="D29">
        <v>2.7697819199999998</v>
      </c>
      <c r="E29">
        <v>2.7697819199999998</v>
      </c>
      <c r="F29">
        <f t="shared" si="6"/>
        <v>1</v>
      </c>
      <c r="G29">
        <f t="shared" si="8"/>
        <v>0.80134265090361456</v>
      </c>
      <c r="H29">
        <f t="shared" si="7"/>
        <v>0.80134265090361456</v>
      </c>
      <c r="I29">
        <f t="shared" si="9"/>
        <v>8.0134265090361456</v>
      </c>
    </row>
    <row r="30" spans="1:9">
      <c r="A30" t="s">
        <v>424</v>
      </c>
      <c r="B30">
        <v>2.406240439E-2</v>
      </c>
      <c r="C30">
        <v>1.900761806</v>
      </c>
      <c r="D30">
        <v>2.3031181680000001</v>
      </c>
      <c r="E30">
        <v>2.3031181680000001</v>
      </c>
      <c r="F30">
        <f t="shared" si="6"/>
        <v>1</v>
      </c>
      <c r="G30">
        <f t="shared" si="8"/>
        <v>0.63139772259036153</v>
      </c>
      <c r="H30">
        <f t="shared" si="7"/>
        <v>0.63139772259036153</v>
      </c>
      <c r="I30">
        <f t="shared" si="9"/>
        <v>6.3139772259036153</v>
      </c>
    </row>
    <row r="31" spans="1:9">
      <c r="A31" t="s">
        <v>425</v>
      </c>
      <c r="B31">
        <v>8.9715962630000007E-2</v>
      </c>
      <c r="C31">
        <v>1.842016283</v>
      </c>
      <c r="D31">
        <v>7.7333209189999996</v>
      </c>
      <c r="E31">
        <v>15.466641839999999</v>
      </c>
      <c r="F31">
        <f t="shared" si="6"/>
        <v>2.0000000002586211</v>
      </c>
      <c r="G31">
        <f t="shared" si="8"/>
        <v>2.608914537048193</v>
      </c>
      <c r="H31">
        <f t="shared" si="7"/>
        <v>5.2178290747711067</v>
      </c>
      <c r="I31">
        <f t="shared" si="9"/>
        <v>52.178290747711067</v>
      </c>
    </row>
    <row r="32" spans="1:9">
      <c r="A32" t="s">
        <v>426</v>
      </c>
      <c r="B32">
        <v>0.1033130182</v>
      </c>
      <c r="C32">
        <v>0.87373682890000004</v>
      </c>
      <c r="D32">
        <v>8.8579327489999997</v>
      </c>
      <c r="E32">
        <v>17.7158655</v>
      </c>
      <c r="F32">
        <f t="shared" si="6"/>
        <v>2.0000000002257865</v>
      </c>
      <c r="G32">
        <f t="shared" si="8"/>
        <v>3.0184644036144577</v>
      </c>
      <c r="H32">
        <f t="shared" si="7"/>
        <v>6.036928807910444</v>
      </c>
      <c r="I32">
        <f t="shared" si="9"/>
        <v>60.369288079104436</v>
      </c>
    </row>
    <row r="33" spans="1:9">
      <c r="A33" t="s">
        <v>427</v>
      </c>
      <c r="B33">
        <v>9.7726036259999996E-2</v>
      </c>
      <c r="C33">
        <v>1.196854415</v>
      </c>
      <c r="D33">
        <v>8.3958337360000002</v>
      </c>
      <c r="E33">
        <v>16.79166747</v>
      </c>
      <c r="F33">
        <f t="shared" si="6"/>
        <v>1.9999999997617866</v>
      </c>
      <c r="G33">
        <f t="shared" si="8"/>
        <v>2.8501818150602407</v>
      </c>
      <c r="H33">
        <f t="shared" si="7"/>
        <v>5.7003636294415294</v>
      </c>
      <c r="I33">
        <f t="shared" si="9"/>
        <v>57.003636294415294</v>
      </c>
    </row>
    <row r="34" spans="1:9">
      <c r="A34" t="s">
        <v>428</v>
      </c>
      <c r="B34">
        <v>1.439722769E-3</v>
      </c>
      <c r="C34" s="58">
        <v>52.042721219999997</v>
      </c>
      <c r="D34">
        <v>0.43199722280000002</v>
      </c>
      <c r="E34">
        <v>0.43199722280000002</v>
      </c>
      <c r="F34">
        <f t="shared" si="6"/>
        <v>1</v>
      </c>
      <c r="G34">
        <f>(B34-0.0031)/0.0332</f>
        <v>-5.0008350331325294E-2</v>
      </c>
      <c r="H34">
        <f t="shared" si="7"/>
        <v>-5.0008350331325294E-2</v>
      </c>
      <c r="I34">
        <f t="shared" si="9"/>
        <v>-0.50008350331325291</v>
      </c>
    </row>
    <row r="35" spans="1:9" ht="15" customHeight="1">
      <c r="A35" t="s">
        <v>429</v>
      </c>
      <c r="B35">
        <v>-1.0860520449999999E-3</v>
      </c>
      <c r="C35">
        <v>21.21241809</v>
      </c>
      <c r="D35">
        <v>0.22309050520000001</v>
      </c>
      <c r="E35">
        <v>0.22309050520000001</v>
      </c>
      <c r="F35">
        <f>E35/D35</f>
        <v>1</v>
      </c>
      <c r="G35">
        <f>(B35-0.0031)/0.0332</f>
        <v>-0.12608590496987951</v>
      </c>
      <c r="H35">
        <f>G35*F35</f>
        <v>-0.12608590496987951</v>
      </c>
      <c r="I35">
        <f>H35</f>
        <v>-0.12608590496987951</v>
      </c>
    </row>
  </sheetData>
  <pageMargins left="0.75" right="0.75" top="1" bottom="1" header="0.3" footer="0.3"/>
  <pageSetup orientation="portrait" horizontalDpi="0" verticalDpi="0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parallel circ. 4.5V</vt:lpstr>
      <vt:lpstr>parallell circuit 9V</vt:lpstr>
      <vt:lpstr>wire length</vt:lpstr>
      <vt:lpstr>Silver + Copper disinfection</vt:lpstr>
      <vt:lpstr>Wire depth</vt:lpstr>
      <vt:lpstr>silver diameter</vt:lpstr>
      <vt:lpstr>Silver disfinection</vt:lpstr>
      <vt:lpstr>Log reduction table</vt:lpstr>
      <vt:lpstr>Silver longevity</vt:lpstr>
      <vt:lpstr>Copper disinfectoin</vt:lpstr>
      <vt:lpstr>Cu time to ppb</vt:lpstr>
      <vt:lpstr>Silver time to ppb</vt:lpstr>
      <vt:lpstr>Cu ionic strength</vt:lpstr>
      <vt:lpstr>Cu diameter</vt:lpstr>
      <vt:lpstr>Ag Ionic Strength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Hill</dc:creator>
  <cp:lastModifiedBy>Courtney Hill</cp:lastModifiedBy>
  <dcterms:created xsi:type="dcterms:W3CDTF">2019-01-04T15:22:05Z</dcterms:created>
  <dcterms:modified xsi:type="dcterms:W3CDTF">2020-05-09T15:54:25Z</dcterms:modified>
</cp:coreProperties>
</file>