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itene.sharepoint.com/sites/PlastiCircle/Shared Documents/WPs TECHNICAL WORK/WPS - TECHNICAL WORK/WP7/1- List DATA from PARTNERS/4- DELIVERABLES/"/>
    </mc:Choice>
  </mc:AlternateContent>
  <xr:revisionPtr revIDLastSave="38" documentId="8_{1AC69796-F0EF-4B91-AC44-395413D16321}" xr6:coauthVersionLast="47" xr6:coauthVersionMax="47" xr10:uidLastSave="{603B0674-72E3-4E36-AB45-CCE5941A6C75}"/>
  <bookViews>
    <workbookView xWindow="-120" yWindow="-120" windowWidth="29040" windowHeight="15840" activeTab="3" xr2:uid="{E49B59BA-D433-4D73-8E3B-85E99B25BF91}"/>
  </bookViews>
  <sheets>
    <sheet name="LCA Presentation" sheetId="7" r:id="rId1"/>
    <sheet name="COLLECTION&amp;TRANSPORT" sheetId="1" r:id="rId2"/>
    <sheet name="SORTING" sheetId="2" r:id="rId3"/>
    <sheet name="WASHING&amp;REPROCESSING"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 l="1"/>
  <c r="I46" i="1"/>
  <c r="I12" i="1"/>
  <c r="H12" i="1"/>
  <c r="I74" i="1"/>
  <c r="H74" i="1"/>
  <c r="I64" i="1"/>
  <c r="I48" i="1" s="1"/>
  <c r="H48" i="1"/>
  <c r="I69" i="1"/>
  <c r="I66" i="1"/>
  <c r="H66" i="1"/>
  <c r="H67" i="1"/>
  <c r="H68" i="1"/>
  <c r="H69" i="1" s="1"/>
  <c r="I68" i="1"/>
  <c r="H64" i="1"/>
  <c r="H38" i="1"/>
  <c r="H37" i="1"/>
  <c r="H35" i="1"/>
  <c r="H34" i="1"/>
  <c r="E35" i="1"/>
  <c r="I67" i="1"/>
  <c r="P22" i="2"/>
  <c r="P23" i="2"/>
  <c r="P24" i="2"/>
  <c r="P25" i="2"/>
  <c r="P20" i="2"/>
  <c r="O24" i="2"/>
  <c r="O20" i="2"/>
  <c r="N20" i="2"/>
  <c r="E66" i="1" l="1"/>
  <c r="I85" i="1"/>
  <c r="H85" i="1"/>
  <c r="G48" i="1" l="1"/>
  <c r="I53" i="1"/>
  <c r="I44" i="1"/>
  <c r="I45" i="1" s="1"/>
  <c r="H76" i="2"/>
  <c r="AD102" i="3"/>
  <c r="AD103" i="3"/>
  <c r="AD104" i="3"/>
  <c r="C111" i="3"/>
  <c r="Q12" i="3"/>
  <c r="Q11" i="3"/>
  <c r="Q10" i="3"/>
  <c r="Q9" i="3"/>
  <c r="R6" i="3"/>
  <c r="R5" i="3"/>
  <c r="R4" i="3"/>
  <c r="P34" i="3"/>
  <c r="Q34" i="3" s="1"/>
  <c r="Q35" i="3"/>
  <c r="Q36" i="3"/>
  <c r="Q37" i="3"/>
  <c r="Q38" i="3"/>
  <c r="Q39" i="3"/>
  <c r="Q40" i="3"/>
  <c r="Q41" i="3"/>
  <c r="AC91" i="2"/>
  <c r="AB91" i="2"/>
  <c r="X91" i="2"/>
  <c r="Y91" i="2"/>
  <c r="AA79" i="2"/>
  <c r="AC79" i="2" s="1"/>
  <c r="AA83" i="2"/>
  <c r="AA84" i="2"/>
  <c r="AA88" i="2"/>
  <c r="AA89" i="2"/>
  <c r="AA90" i="2"/>
  <c r="AA91" i="2"/>
  <c r="AC83" i="2"/>
  <c r="AC84" i="2"/>
  <c r="AC88" i="2"/>
  <c r="AA76" i="2"/>
  <c r="AC76" i="2" s="1"/>
  <c r="Z79" i="2"/>
  <c r="Z83" i="2"/>
  <c r="AB83" i="2" s="1"/>
  <c r="Z84" i="2"/>
  <c r="AB84" i="2" s="1"/>
  <c r="Z88" i="2"/>
  <c r="Z89" i="2"/>
  <c r="Z90" i="2"/>
  <c r="Z91" i="2"/>
  <c r="AB79" i="2"/>
  <c r="Z76" i="2"/>
  <c r="AB76" i="2" s="1"/>
  <c r="Y90" i="2"/>
  <c r="X90" i="2"/>
  <c r="AC89" i="2"/>
  <c r="AB89" i="2"/>
  <c r="Y89" i="2"/>
  <c r="X89" i="2"/>
  <c r="AB88" i="2"/>
  <c r="Y88" i="2"/>
  <c r="X88" i="2"/>
  <c r="Y87" i="2"/>
  <c r="X87" i="2"/>
  <c r="Y86" i="2"/>
  <c r="X86" i="2"/>
  <c r="X85" i="2"/>
  <c r="Y85" i="2"/>
  <c r="Y84" i="2"/>
  <c r="X84" i="2"/>
  <c r="Y83" i="2"/>
  <c r="X83" i="2"/>
  <c r="Y81" i="2"/>
  <c r="X81" i="2"/>
  <c r="Y80" i="2"/>
  <c r="X80" i="2"/>
  <c r="Y79" i="2"/>
  <c r="X79" i="2"/>
  <c r="Y78" i="2"/>
  <c r="X78" i="2"/>
  <c r="Y77" i="2"/>
  <c r="X77" i="2"/>
  <c r="Y76" i="2"/>
  <c r="X76" i="2"/>
  <c r="Y75" i="2"/>
  <c r="X75" i="2"/>
  <c r="F35" i="1" l="1"/>
  <c r="I15" i="2" l="1"/>
  <c r="I16" i="2" s="1"/>
  <c r="L43" i="2"/>
  <c r="C17" i="2"/>
  <c r="I138" i="3" l="1"/>
  <c r="I139" i="3"/>
  <c r="Y34" i="3"/>
  <c r="Z34" i="3" s="1"/>
  <c r="Y47" i="3"/>
  <c r="Y50" i="3"/>
  <c r="L7" i="1" l="1"/>
  <c r="I8" i="1" l="1"/>
  <c r="H8" i="1"/>
  <c r="F111" i="1"/>
  <c r="E111" i="1"/>
  <c r="I10" i="1"/>
  <c r="H10" i="1"/>
  <c r="I6" i="2" l="1"/>
  <c r="I5" i="2"/>
  <c r="I17" i="2" s="1"/>
  <c r="O76" i="2"/>
  <c r="O77" i="2"/>
  <c r="O78" i="2"/>
  <c r="O79" i="2"/>
  <c r="O82" i="2"/>
  <c r="O83" i="2"/>
  <c r="O84" i="2"/>
  <c r="O85" i="2"/>
  <c r="O86" i="2"/>
  <c r="O87" i="2"/>
  <c r="O88" i="2"/>
  <c r="O89" i="2"/>
  <c r="O90" i="2"/>
  <c r="M75" i="2"/>
  <c r="O75" i="2" s="1"/>
  <c r="F75" i="2"/>
  <c r="F76" i="2"/>
  <c r="F77" i="2"/>
  <c r="F78" i="2"/>
  <c r="F79" i="2"/>
  <c r="F80" i="2"/>
  <c r="F81" i="2"/>
  <c r="F83" i="2"/>
  <c r="F84" i="2"/>
  <c r="F86" i="2"/>
  <c r="F87" i="2"/>
  <c r="F88" i="2"/>
  <c r="F89" i="2"/>
  <c r="F90" i="2"/>
  <c r="E76" i="2"/>
  <c r="E77" i="2"/>
  <c r="E78" i="2"/>
  <c r="E79" i="2"/>
  <c r="E80" i="2"/>
  <c r="E81" i="2"/>
  <c r="E83" i="2"/>
  <c r="E84" i="2"/>
  <c r="E87" i="2"/>
  <c r="E88" i="2"/>
  <c r="E89" i="2"/>
  <c r="E90" i="2"/>
  <c r="E75" i="2"/>
  <c r="E29" i="1" l="1"/>
  <c r="F26" i="1" l="1"/>
  <c r="F27" i="1" s="1"/>
  <c r="F34" i="1" s="1"/>
  <c r="E27" i="1"/>
  <c r="E34" i="1" s="1"/>
  <c r="E67" i="1" l="1"/>
  <c r="I141" i="3" l="1"/>
  <c r="I140" i="3"/>
  <c r="I135" i="3"/>
  <c r="I134" i="3"/>
  <c r="I133" i="3"/>
  <c r="AI45" i="3"/>
  <c r="AI44" i="3"/>
  <c r="AI43" i="3"/>
  <c r="AI38" i="3"/>
  <c r="AI37" i="3"/>
  <c r="AI36" i="3"/>
  <c r="AI35" i="3"/>
  <c r="AI34" i="3"/>
  <c r="Q53" i="3"/>
  <c r="R53" i="3" s="1"/>
  <c r="Q45" i="3"/>
  <c r="Q44" i="3"/>
  <c r="Q43" i="3"/>
  <c r="Q42" i="3"/>
  <c r="Z55" i="3"/>
  <c r="Z54" i="3"/>
  <c r="Z53" i="3"/>
  <c r="Z52" i="3"/>
  <c r="Z51" i="3"/>
  <c r="Z50" i="3"/>
  <c r="Z49" i="3"/>
  <c r="Z48" i="3"/>
  <c r="Z46" i="3"/>
  <c r="Z45" i="3"/>
  <c r="Z44" i="3"/>
  <c r="Z43" i="3"/>
  <c r="Z42" i="3"/>
  <c r="Z41" i="3"/>
  <c r="Z40" i="3"/>
  <c r="Z39" i="3"/>
  <c r="Z38" i="3"/>
  <c r="Z37" i="3"/>
  <c r="Z36" i="3"/>
  <c r="Z35" i="3"/>
  <c r="AD100" i="3"/>
  <c r="AD101" i="3"/>
  <c r="Q118" i="3"/>
  <c r="Q117" i="3"/>
  <c r="P101" i="3"/>
  <c r="Q101" i="3" s="1"/>
  <c r="G6" i="3" s="1"/>
  <c r="Z47" i="3" l="1"/>
  <c r="I120" i="3" l="1"/>
  <c r="H87" i="3"/>
  <c r="H79" i="3"/>
  <c r="H78" i="3"/>
  <c r="H77" i="3"/>
  <c r="H76" i="3"/>
  <c r="H75" i="3"/>
  <c r="H74" i="3"/>
  <c r="H73" i="3"/>
  <c r="H72" i="3"/>
  <c r="H71" i="3"/>
  <c r="H70" i="3"/>
  <c r="H69" i="3"/>
  <c r="G68" i="3"/>
  <c r="H53" i="3"/>
  <c r="I87" i="3" l="1"/>
  <c r="I53" i="3"/>
  <c r="H68" i="3"/>
  <c r="G34" i="3"/>
  <c r="H36" i="3"/>
  <c r="H37" i="3"/>
  <c r="H38" i="3"/>
  <c r="H39" i="3"/>
  <c r="H40" i="3"/>
  <c r="H41" i="3"/>
  <c r="H42" i="3"/>
  <c r="H43" i="3"/>
  <c r="H44" i="3"/>
  <c r="H45" i="3"/>
  <c r="H35" i="3"/>
  <c r="H34" i="3" l="1"/>
  <c r="P88" i="2"/>
  <c r="R88" i="2" s="1"/>
  <c r="T88" i="2" s="1"/>
  <c r="Q88" i="2"/>
  <c r="P89" i="2"/>
  <c r="Q89" i="2"/>
  <c r="P87" i="2"/>
  <c r="R87" i="2" s="1"/>
  <c r="T87" i="2" s="1"/>
  <c r="K41" i="3" l="1"/>
  <c r="I104" i="1" l="1"/>
  <c r="H104" i="1"/>
  <c r="M64" i="1" l="1"/>
  <c r="S88" i="2"/>
  <c r="R89" i="2"/>
  <c r="T89" i="2" s="1"/>
  <c r="S89" i="2"/>
  <c r="K21" i="2"/>
  <c r="L21" i="2" s="1"/>
  <c r="K27" i="2"/>
  <c r="L27" i="2" s="1"/>
  <c r="K28" i="2"/>
  <c r="L28" i="2" s="1"/>
  <c r="K29" i="2"/>
  <c r="L29" i="2" s="1"/>
  <c r="K30" i="2"/>
  <c r="L30" i="2" s="1"/>
  <c r="K31" i="2"/>
  <c r="L31" i="2" s="1"/>
  <c r="N9" i="1" l="1"/>
  <c r="P79" i="2"/>
  <c r="R79" i="2" s="1"/>
  <c r="T79" i="2" s="1"/>
  <c r="Q79" i="2"/>
  <c r="S79" i="2" s="1"/>
  <c r="P82" i="2"/>
  <c r="R82" i="2" s="1"/>
  <c r="T82" i="2" s="1"/>
  <c r="Q82" i="2"/>
  <c r="P83" i="2"/>
  <c r="R83" i="2" s="1"/>
  <c r="T83" i="2" s="1"/>
  <c r="Q83" i="2"/>
  <c r="S83" i="2" s="1"/>
  <c r="P84" i="2"/>
  <c r="R84" i="2" s="1"/>
  <c r="T84" i="2" s="1"/>
  <c r="Q84" i="2"/>
  <c r="S84" i="2" s="1"/>
  <c r="Q87" i="2"/>
  <c r="S87" i="2" s="1"/>
  <c r="P90" i="2"/>
  <c r="T90" i="2" s="1"/>
  <c r="Q90" i="2"/>
  <c r="P76" i="2"/>
  <c r="R76" i="2" s="1"/>
  <c r="T76" i="2" s="1"/>
  <c r="Q76" i="2"/>
  <c r="S76" i="2" s="1"/>
  <c r="J26" i="2" l="1"/>
  <c r="K26" i="2" s="1"/>
  <c r="L26" i="2" s="1"/>
  <c r="J25" i="2"/>
  <c r="K25" i="2" s="1"/>
  <c r="L25" i="2" s="1"/>
  <c r="J22" i="2"/>
  <c r="K22" i="2" s="1"/>
  <c r="L22" i="2" s="1"/>
  <c r="F16" i="2"/>
  <c r="J51" i="2"/>
  <c r="C5" i="2"/>
  <c r="C7" i="2" s="1"/>
  <c r="H89" i="2"/>
  <c r="J89" i="2" s="1"/>
  <c r="H88" i="2"/>
  <c r="J88" i="2" s="1"/>
  <c r="H84" i="2"/>
  <c r="J84" i="2" s="1"/>
  <c r="H83" i="2"/>
  <c r="J83" i="2" s="1"/>
  <c r="H79" i="2"/>
  <c r="J79" i="2" s="1"/>
  <c r="J76" i="2"/>
  <c r="G90" i="2"/>
  <c r="K90" i="2" s="1"/>
  <c r="G89" i="2"/>
  <c r="I89" i="2" s="1"/>
  <c r="K89" i="2" s="1"/>
  <c r="G88" i="2"/>
  <c r="I88" i="2" s="1"/>
  <c r="K88" i="2" s="1"/>
  <c r="G84" i="2"/>
  <c r="I84" i="2" s="1"/>
  <c r="K84" i="2" s="1"/>
  <c r="G83" i="2"/>
  <c r="I83" i="2" s="1"/>
  <c r="K83" i="2" s="1"/>
  <c r="G79" i="2"/>
  <c r="I79" i="2" s="1"/>
  <c r="K79" i="2" s="1"/>
  <c r="G76" i="2"/>
  <c r="I76" i="2" s="1"/>
  <c r="K76" i="2" s="1"/>
  <c r="H90" i="2"/>
  <c r="D92" i="2"/>
  <c r="C92" i="2"/>
  <c r="C86" i="2"/>
  <c r="E86" i="2" s="1"/>
  <c r="D85" i="2"/>
  <c r="F85" i="2" s="1"/>
  <c r="C85" i="2"/>
  <c r="E85" i="2" s="1"/>
  <c r="D44" i="2"/>
  <c r="C16" i="2"/>
  <c r="F28" i="2"/>
  <c r="F27" i="2"/>
  <c r="I44" i="2"/>
  <c r="C44" i="2"/>
  <c r="E40" i="2"/>
  <c r="F40" i="2" s="1"/>
  <c r="E21" i="2"/>
  <c r="F21" i="2" s="1"/>
  <c r="E22" i="2"/>
  <c r="F22" i="2" s="1"/>
  <c r="E23" i="2"/>
  <c r="F23" i="2" s="1"/>
  <c r="E24" i="2"/>
  <c r="F24" i="2" s="1"/>
  <c r="E25" i="2"/>
  <c r="F25" i="2" s="1"/>
  <c r="E26" i="2"/>
  <c r="F26" i="2" s="1"/>
  <c r="E30" i="2"/>
  <c r="F30" i="2" s="1"/>
  <c r="E31" i="2"/>
  <c r="F31" i="2" s="1"/>
  <c r="E32" i="2"/>
  <c r="F32" i="2" s="1"/>
  <c r="E33" i="2"/>
  <c r="F33" i="2" s="1"/>
  <c r="E20" i="2"/>
  <c r="J40" i="2"/>
  <c r="K40" i="2" s="1"/>
  <c r="L40" i="2" s="1"/>
  <c r="J38" i="2"/>
  <c r="K38" i="2" s="1"/>
  <c r="L38" i="2" s="1"/>
  <c r="J37" i="2"/>
  <c r="K37" i="2" s="1"/>
  <c r="L37" i="2" s="1"/>
  <c r="J36" i="2"/>
  <c r="K36" i="2" s="1"/>
  <c r="L36" i="2" s="1"/>
  <c r="J35" i="2"/>
  <c r="K35" i="2" s="1"/>
  <c r="L35" i="2" s="1"/>
  <c r="J34" i="2"/>
  <c r="K34" i="2" s="1"/>
  <c r="L34" i="2" s="1"/>
  <c r="J33" i="2"/>
  <c r="K33" i="2" s="1"/>
  <c r="L33" i="2" s="1"/>
  <c r="J32" i="2"/>
  <c r="K32" i="2" s="1"/>
  <c r="L32" i="2" s="1"/>
  <c r="J24" i="2"/>
  <c r="K24" i="2" s="1"/>
  <c r="L24" i="2" s="1"/>
  <c r="J23" i="2"/>
  <c r="K23" i="2" s="1"/>
  <c r="L23" i="2" s="1"/>
  <c r="J20" i="2"/>
  <c r="K20" i="2" s="1"/>
  <c r="L20" i="2" s="1"/>
  <c r="I51" i="2"/>
  <c r="H51" i="2"/>
  <c r="E11" i="1"/>
  <c r="D69" i="2"/>
  <c r="E69" i="2"/>
  <c r="C69" i="2"/>
  <c r="E32" i="1" l="1"/>
  <c r="E30" i="1"/>
  <c r="E12" i="1"/>
  <c r="E25" i="1"/>
  <c r="J43" i="2"/>
  <c r="E41" i="2"/>
  <c r="F20" i="2"/>
  <c r="K41" i="2" l="1"/>
  <c r="L41" i="2" s="1"/>
  <c r="L44" i="2" s="1"/>
  <c r="J44" i="2"/>
  <c r="F36" i="1"/>
  <c r="K43" i="2"/>
  <c r="E44" i="2"/>
  <c r="F45" i="2" s="1"/>
  <c r="F41" i="2"/>
  <c r="F44" i="2" s="1"/>
  <c r="F37" i="1" l="1"/>
  <c r="F38" i="1" s="1"/>
  <c r="F39" i="1"/>
  <c r="E46" i="2"/>
  <c r="C63" i="2"/>
  <c r="D62" i="2"/>
  <c r="C62" i="2"/>
  <c r="F76" i="1"/>
  <c r="G104" i="1"/>
  <c r="G66" i="1"/>
  <c r="G83" i="1"/>
  <c r="E76" i="1"/>
  <c r="G74" i="1"/>
  <c r="E68" i="1"/>
  <c r="F74" i="1"/>
  <c r="E74" i="1"/>
  <c r="E72" i="1"/>
  <c r="F72" i="1"/>
  <c r="F71" i="1"/>
  <c r="F73" i="1" s="1"/>
  <c r="E71" i="1"/>
  <c r="E78" i="1" s="1"/>
  <c r="G103" i="1"/>
  <c r="G67" i="1" s="1"/>
  <c r="G10" i="1"/>
  <c r="G8" i="1"/>
  <c r="F7" i="1"/>
  <c r="F8" i="1" s="1"/>
  <c r="F11" i="1"/>
  <c r="E7" i="1"/>
  <c r="E8" i="1" s="1"/>
  <c r="F91" i="1"/>
  <c r="F68" i="1" s="1"/>
  <c r="F90" i="1"/>
  <c r="F67" i="1" s="1"/>
  <c r="F89" i="1"/>
  <c r="F66" i="1" s="1"/>
  <c r="E59" i="1"/>
  <c r="F58" i="1"/>
  <c r="E58" i="1"/>
  <c r="G69" i="1" l="1"/>
  <c r="F77" i="1"/>
  <c r="F70" i="1"/>
  <c r="E70" i="1"/>
  <c r="E77" i="1"/>
  <c r="E75" i="1"/>
  <c r="E69" i="1"/>
  <c r="G77" i="1"/>
  <c r="G68" i="1"/>
  <c r="G75" i="1" s="1"/>
  <c r="F75" i="1"/>
  <c r="F78" i="1"/>
  <c r="F69" i="1"/>
  <c r="E73" i="1"/>
  <c r="F44" i="1" l="1"/>
  <c r="F45" i="1" s="1"/>
  <c r="F4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Miguel Ángel Górriz Peris</author>
  </authors>
  <commentList>
    <comment ref="E12" authorId="0" shapeId="0" xr:uid="{A9E4707B-0822-4911-88F7-CF798765F08F}">
      <text>
        <r>
          <rPr>
            <b/>
            <sz val="9"/>
            <color indexed="81"/>
            <rFont val="Tahoma"/>
            <family val="2"/>
          </rPr>
          <t xml:space="preserve">Fran (SAV): 3 main factors:
-the first is that the number of people registered in Valencia, 794,288, has been used, not counting tourists, and people not registered in Valencia, which is logically much higher than that value. It's true that the same effect could occur in San Marcelino, but San Marcelino is not a tourist neighbourhood, nor is it a neighbourhood of great economic activity.
-the second is that the purchasing power of the neighbourhood also influences the amount of waste it generates
-the third is that this neighbourhood may recycle less than the average. 
These factors could influence a correction factor of 2, which although half is 14.2 kg/cap, is in the same order of magnitude as the value of 30 kg/cap.
</t>
        </r>
      </text>
    </comment>
    <comment ref="F88" authorId="0" shapeId="0" xr:uid="{C5FF2E44-5370-4754-A09A-C8ABA7E6C061}">
      <text>
        <r>
          <rPr>
            <b/>
            <sz val="9"/>
            <color indexed="81"/>
            <rFont val="Tahoma"/>
            <family val="2"/>
          </rPr>
          <t>Miguel Ángel Górriz Peris:</t>
        </r>
        <r>
          <rPr>
            <sz val="9"/>
            <color indexed="81"/>
            <rFont val="Tahoma"/>
            <family val="2"/>
          </rPr>
          <t xml:space="preserve">
No tenemos en cuenta si hubiera un incrmento/disminución del resiuo poruqe no está directamente realcionado a PlastICircle (podria ser un bias por la estacionalidad y otros factores)
</t>
        </r>
      </text>
    </comment>
    <comment ref="G88" authorId="0" shapeId="0" xr:uid="{F2E41DD5-C63D-4AC6-83C0-B799E9A29C52}">
      <text>
        <r>
          <rPr>
            <b/>
            <sz val="9"/>
            <color indexed="81"/>
            <rFont val="Tahoma"/>
            <family val="2"/>
          </rPr>
          <t>Miguel Ángel Górriz Peris:</t>
        </r>
        <r>
          <rPr>
            <sz val="9"/>
            <color indexed="81"/>
            <rFont val="Tahoma"/>
            <family val="2"/>
          </rPr>
          <t xml:space="preserve">
Check i D6.3. Kamal saw oher value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tc={33FD1F1D-8D98-475E-A7CE-D42EAB6FF7CD}</author>
  </authors>
  <commentList>
    <comment ref="D142" authorId="0" shapeId="0" xr:uid="{33FD1F1D-8D98-475E-A7CE-D42EAB6FF7CD}">
      <text>
        <t>[Comentario encadenado]
Su versión de Excel le permite leer este comentario encadenado; sin embargo, las ediciones que se apliquen se quitarán si el archivo se abre en una versión más reciente de Excel. Más información: https://go.microsoft.com/fwlink/?linkid=870924
Comentario:
    Platform for reading the label and give credits depending on the content of the bag</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Miguel Ángel Górriz Peris</author>
  </authors>
  <commentList>
    <comment ref="K33" authorId="0" shapeId="0" xr:uid="{23E985CA-2378-4ACF-B4D0-6E9F01827DF2}">
      <text>
        <r>
          <rPr>
            <b/>
            <sz val="9"/>
            <color indexed="81"/>
            <rFont val="Tahoma"/>
            <family val="2"/>
          </rPr>
          <t>Miguel Ángel Górriz Peris:</t>
        </r>
        <r>
          <rPr>
            <sz val="9"/>
            <color indexed="81"/>
            <rFont val="Tahoma"/>
            <family val="2"/>
          </rPr>
          <t xml:space="preserve">
</t>
        </r>
        <r>
          <rPr>
            <b/>
            <sz val="9"/>
            <color indexed="81"/>
            <rFont val="Tahoma"/>
            <family val="2"/>
          </rPr>
          <t>AXION data for PET Tray washing:</t>
        </r>
        <r>
          <rPr>
            <sz val="9"/>
            <color indexed="81"/>
            <rFont val="Tahoma"/>
            <family val="2"/>
          </rPr>
          <t xml:space="preserve">
Input wet granulation 1746 kg
Output wet granulation 1429 kg
Output hot wash step 709 kg
Output separation stepPO 83 kg
Output separation step Pet 626 kg
Output T1015 590 kg
Losses PET over FA 3000 and T1015 36 kg
Water treatment separation step 22 kg.</t>
        </r>
      </text>
    </comment>
    <comment ref="T33" authorId="0" shapeId="0" xr:uid="{30550AFC-3F62-48FC-8D59-6C3FBD0A1315}">
      <text>
        <r>
          <rPr>
            <b/>
            <sz val="9"/>
            <color indexed="81"/>
            <rFont val="Tahoma"/>
            <family val="2"/>
          </rPr>
          <t>Miguel Ángel Górriz Peris:</t>
        </r>
        <r>
          <rPr>
            <sz val="9"/>
            <color indexed="81"/>
            <rFont val="Tahoma"/>
            <family val="2"/>
          </rPr>
          <t xml:space="preserve">
</t>
        </r>
        <r>
          <rPr>
            <b/>
            <sz val="9"/>
            <color indexed="81"/>
            <rFont val="Tahoma"/>
            <family val="2"/>
          </rPr>
          <t>AXION data for PET Tray washing:</t>
        </r>
        <r>
          <rPr>
            <sz val="9"/>
            <color indexed="81"/>
            <rFont val="Tahoma"/>
            <family val="2"/>
          </rPr>
          <t xml:space="preserve">
Input wet granulation 1746 kg
Output wet granulation 1429 kg
Output hot wash step 709 kg
Output separation stepPO 83 kg
Output separation step Pet 626 kg
Output T1015 590 kg
Losses PET over FA 3000 and T1015 36 kg
Water treatment separation step 22 kg.</t>
        </r>
      </text>
    </comment>
    <comment ref="K67" authorId="0" shapeId="0" xr:uid="{8F261E0B-B48A-4094-A00F-7C54001E9F01}">
      <text>
        <r>
          <rPr>
            <b/>
            <sz val="9"/>
            <color indexed="81"/>
            <rFont val="Tahoma"/>
            <family val="2"/>
          </rPr>
          <t>Miguel Ángel Górriz Peris:</t>
        </r>
        <r>
          <rPr>
            <sz val="9"/>
            <color indexed="81"/>
            <rFont val="Tahoma"/>
            <family val="2"/>
          </rPr>
          <t xml:space="preserve">
</t>
        </r>
        <r>
          <rPr>
            <b/>
            <sz val="9"/>
            <color indexed="81"/>
            <rFont val="Tahoma"/>
            <family val="2"/>
          </rPr>
          <t>AXION data for PET Tray washing:</t>
        </r>
        <r>
          <rPr>
            <sz val="9"/>
            <color indexed="81"/>
            <rFont val="Tahoma"/>
            <family val="2"/>
          </rPr>
          <t xml:space="preserve">
Input wet granulation 1746 kg
Output wet granulation 1429 kg
Output hot wash step 709 kg
Output separation stepPO 83 kg
Output separation step Pet 626 kg
Output T1015 590 kg
Losses PET over FA 3000 and T1015 36 kg
Water treatment separation step 22 kg.</t>
        </r>
      </text>
    </comment>
    <comment ref="K100" authorId="0" shapeId="0" xr:uid="{7F4CED6F-42B7-4FBE-9306-C2E198B004A1}">
      <text>
        <r>
          <rPr>
            <b/>
            <sz val="9"/>
            <color indexed="81"/>
            <rFont val="Tahoma"/>
            <family val="2"/>
          </rPr>
          <t>Miguel Ángel Górriz Peris:</t>
        </r>
        <r>
          <rPr>
            <sz val="9"/>
            <color indexed="81"/>
            <rFont val="Tahoma"/>
            <family val="2"/>
          </rPr>
          <t xml:space="preserve">
</t>
        </r>
        <r>
          <rPr>
            <b/>
            <sz val="9"/>
            <color indexed="81"/>
            <rFont val="Tahoma"/>
            <family val="2"/>
          </rPr>
          <t>AXION data for PET Tray washing:</t>
        </r>
        <r>
          <rPr>
            <sz val="9"/>
            <color indexed="81"/>
            <rFont val="Tahoma"/>
            <family val="2"/>
          </rPr>
          <t xml:space="preserve">
Input wet granulation 1746 kg
Output wet granulation 1429 kg
Output hot wash step 709 kg
Output separation stepPO 83 kg
Output separation step Pet 626 kg
Output T1015 590 kg
Losses PET over FA 3000 and T1015 36 kg
Water treatment separation step 22 kg.</t>
        </r>
      </text>
    </comment>
    <comment ref="T100" authorId="0" shapeId="0" xr:uid="{04B7F013-9359-44FE-8AC2-E5AB54024709}">
      <text>
        <r>
          <rPr>
            <b/>
            <sz val="9"/>
            <color indexed="81"/>
            <rFont val="Tahoma"/>
            <family val="2"/>
          </rPr>
          <t>Miguel Ángel Górriz Peris:</t>
        </r>
        <r>
          <rPr>
            <sz val="9"/>
            <color indexed="81"/>
            <rFont val="Tahoma"/>
            <family val="2"/>
          </rPr>
          <t xml:space="preserve">
</t>
        </r>
        <r>
          <rPr>
            <b/>
            <sz val="9"/>
            <color indexed="81"/>
            <rFont val="Tahoma"/>
            <family val="2"/>
          </rPr>
          <t>AXION data for PET Tray washing:</t>
        </r>
        <r>
          <rPr>
            <sz val="9"/>
            <color indexed="81"/>
            <rFont val="Tahoma"/>
            <family val="2"/>
          </rPr>
          <t xml:space="preserve">
Input wet granulation 1746 kg
Output wet granulation 1429 kg
Output hot wash step 709 kg
Output separation stepPO 83 kg
Output separation step Pet 626 kg
Output T1015 590 kg
Losses PET over FA 3000 and T1015 36 kg
Water treatment separation step 22 kg.</t>
        </r>
      </text>
    </comment>
  </commentList>
</comments>
</file>

<file path=xl/sharedStrings.xml><?xml version="1.0" encoding="utf-8"?>
<sst xmlns="http://schemas.openxmlformats.org/spreadsheetml/2006/main" count="1761" uniqueCount="688">
  <si>
    <t xml:space="preserve">COLLECTION &amp; TRANSPORT </t>
  </si>
  <si>
    <t>Utrecht</t>
  </si>
  <si>
    <t>Alba Iulia</t>
  </si>
  <si>
    <t>Inhabitants</t>
  </si>
  <si>
    <t>Units</t>
  </si>
  <si>
    <t>u</t>
  </si>
  <si>
    <t>Average distance on pilot area</t>
  </si>
  <si>
    <t>Pilot area to management plant/transfer plant</t>
  </si>
  <si>
    <t>Back to initial point</t>
  </si>
  <si>
    <t>Packaging waste per inhabitant</t>
  </si>
  <si>
    <t>Collection</t>
  </si>
  <si>
    <t xml:space="preserve">Transport Routes </t>
  </si>
  <si>
    <t>Number of trucks for pilot</t>
  </si>
  <si>
    <t xml:space="preserve">Oil consumption </t>
  </si>
  <si>
    <t>u/u container</t>
  </si>
  <si>
    <t>-</t>
  </si>
  <si>
    <t>Energy emebbed on F.L.S.</t>
  </si>
  <si>
    <t>Wh/u container</t>
  </si>
  <si>
    <t>Label Dispenser Devices (L.D.D.)</t>
  </si>
  <si>
    <t>Filling level Sensors (F.L.S.)</t>
  </si>
  <si>
    <t>Energy emebbed on L.D.D</t>
  </si>
  <si>
    <t xml:space="preserve">Energy consumed by LoRa </t>
  </si>
  <si>
    <t>LoRa Nodes</t>
  </si>
  <si>
    <t>km</t>
  </si>
  <si>
    <t>Time</t>
  </si>
  <si>
    <t xml:space="preserve">Fuel </t>
  </si>
  <si>
    <t>tons/a</t>
  </si>
  <si>
    <t>kg/cap.a</t>
  </si>
  <si>
    <t>General Info</t>
  </si>
  <si>
    <t>Overall numbers</t>
  </si>
  <si>
    <t>Pilot numbers</t>
  </si>
  <si>
    <t>Name</t>
  </si>
  <si>
    <t>San Marcelino</t>
  </si>
  <si>
    <t>Total Distance</t>
  </si>
  <si>
    <t>Containers in pilot area</t>
  </si>
  <si>
    <t>u.</t>
  </si>
  <si>
    <t xml:space="preserve">Model </t>
  </si>
  <si>
    <t>EURO 5</t>
  </si>
  <si>
    <t>EURO 6</t>
  </si>
  <si>
    <t xml:space="preserve">Time Average </t>
  </si>
  <si>
    <t>Fuel Consumption</t>
  </si>
  <si>
    <t>SAV</t>
  </si>
  <si>
    <t xml:space="preserve">Start to pilot area </t>
  </si>
  <si>
    <t xml:space="preserve">km </t>
  </si>
  <si>
    <t>h</t>
  </si>
  <si>
    <t>l</t>
  </si>
  <si>
    <t>Transfer station to recycling Plant</t>
  </si>
  <si>
    <t xml:space="preserve">- </t>
  </si>
  <si>
    <t>From - to</t>
  </si>
  <si>
    <t>https://www.google.es/maps/dir/Jacob+van+Campenstraat+2,+Utrecht,+Pa%C3%ADses+Bajos/Isotopenweg+15,+3542+AS+Utrecht,+Pa%C3%ADses+Bajos/@52.1168002,5.055231,19.83z/data=!3m1!4b1!4m14!4m13!1m5!1m1!1s0x47c66faf975804a3:0xc7d5914eddf48db5!2m2!1d5.0763144!2d52.1146308!1m5!1m1!1s0x47c66fb7b4ac6f95:0xdeaf8c4dd07b9b25!2m2!1d5.0636631!2d52.117204!3e0</t>
  </si>
  <si>
    <t xml:space="preserve"> </t>
  </si>
  <si>
    <t>https://www.google.com/maps/dir/San+Marcelino,+46017+Valencia/SAV+Paiporta,+Sequia+Faitanar,+26,+28,+46200+Paiporta,+Valencia/@39.4376069,-0.4058574,15z/data=!3m1!4b1!4m13!4m12!1m5!1m1!1s0xd604f20a2f5b361:0x8eefb26590a4b608!2m2!1d-0.3901397!2d39.445671!1m5!1m1!1s0xd604ef041dc5af9:0x94355c2b2ca4c51e!2m2!1d-0.4043636!2d39.4325154</t>
  </si>
  <si>
    <t>Average distance on other areas (until truck full)</t>
  </si>
  <si>
    <t>Packaging waste collected</t>
  </si>
  <si>
    <t>kg</t>
  </si>
  <si>
    <t>Collected containers</t>
  </si>
  <si>
    <t xml:space="preserve">Pre- Valencia </t>
  </si>
  <si>
    <t>Post-Valencia</t>
  </si>
  <si>
    <t>Pre- Alba Iulia</t>
  </si>
  <si>
    <t xml:space="preserve">Post- Alba Iulia </t>
  </si>
  <si>
    <t>https://www.google.es/maps/dir/San+Marcelino,+46017+Valencia/Vaersa+planta+de+selecci%C3%B3n+de+envases+ligeros+de+Picassent,+Poligono+Industrial+Juan+Carlos+I,+46220+Picassent,+Valencia/@39.3937497,-0.5261269,12z/data=!4m15!4m14!1m5!1m1!1s0xd604f20a2f5b361:0x8eefb26590a4b608!2m2!1d-0.3901397!2d39.445671!1m5!1m1!1s0xd60526300000041:0x81f328201a3a9863!2m2!1d-0.462031!2d39.363799!3e0!5i1</t>
  </si>
  <si>
    <t>https://www.google.es/maps/dir/San+Marcelino,+46017+Valencia/Vaersa+planta+de+selecci%C3%B3n+de+envases+ligeros+de+Picassent,+Poligono+Industrial+Juan+Carlos+I,+46220+Picassent,+Valencia/@39.3937497,-0.5261269,12z/data=!4m15!4m14!1m5!1m1!1s0xd604f20a2f5b361:0x8eefb26590a4b608!2m2!1d-0.3901397!2d39.445671!1m5!1m1!1s0xd60526300000041:0x81f328201a3a9863!2m2!1d-0.462031!2d39.363799!3e0!5i2</t>
  </si>
  <si>
    <t>l/ton</t>
  </si>
  <si>
    <t>Valencia</t>
  </si>
  <si>
    <t>Unwanted items</t>
  </si>
  <si>
    <t xml:space="preserve"> PET Packaging:</t>
  </si>
  <si>
    <t>HDPE Packaging:</t>
  </si>
  <si>
    <t>Mixed Plastic Packaging:</t>
  </si>
  <si>
    <t>Film:</t>
  </si>
  <si>
    <t>Metal Packaging:</t>
  </si>
  <si>
    <t>Paper&amp;CB Beverage/Food:</t>
  </si>
  <si>
    <t xml:space="preserve">PET Bottles </t>
  </si>
  <si>
    <t>Aluminium</t>
  </si>
  <si>
    <t>Ferrous Packaging</t>
  </si>
  <si>
    <t>PET Trays (Mono &amp; Multilayer)</t>
  </si>
  <si>
    <t>HDPE Natural</t>
  </si>
  <si>
    <t>HDPE Color</t>
  </si>
  <si>
    <t>PP rigid</t>
  </si>
  <si>
    <t>kg/u container.a</t>
  </si>
  <si>
    <t>Waste collected per container per year</t>
  </si>
  <si>
    <t>Composition of Waste Packaging</t>
  </si>
  <si>
    <t>Foils - packaging</t>
  </si>
  <si>
    <t>Foils - bags &amp; sacks</t>
  </si>
  <si>
    <t>https://www.google.es/maps/dir/Vaersa+planta+de+selecci%C3%B3n+de+envases+ligeros+de+Picassent,+Poligono+Industrial+Juan+Carlos+I,+46220+Picassent,+Valencia/SAV+Paiporta,+Sequia+Faitanar,+26,+28,+46200+Paiporta,+Valencia/@39.3937497,-0.5261269,12z/data=!4m14!4m13!1m5!1m1!1s0xd60526300000041:0x81f328201a3a9863!2m2!1d-0.462031!2d39.363799!1m5!1m1!1s0xd604ef041dc5af9:0x94355c2b2ca4c51e!2m2!1d-0.4043636!2d39.4325154!3e0</t>
  </si>
  <si>
    <t>https://www.google.es/maps/dir/Vaersa+planta+de+selecci%C3%B3n+de+envases+ligeros+de+Picassent,+Poligono+Industrial+Juan+Carlos+I,+46220+Picassent,+Valencia/SAV+Paiporta,+Sequia+Faitanar,+26,+28,+46200+Paiporta,+Valencia/@39.3937497,-0.5261269,12z/data=!4m14!4m13!1m5!1m1!1s0xd60526300000041:0x81f328201a3a9863!2m2!1d-0.462031!2d39.363799!1m5!1m1!1s0xd604ef041dc5af9:0x94355c2b2ca4c51e!2m2!1d-0.4043636!2d39.4325154!3e1</t>
  </si>
  <si>
    <t>km.route</t>
  </si>
  <si>
    <t>h.route</t>
  </si>
  <si>
    <t>l/km.route</t>
  </si>
  <si>
    <t>km/ton</t>
  </si>
  <si>
    <t>GoogleMaps</t>
  </si>
  <si>
    <t>Truck Parameters</t>
  </si>
  <si>
    <t>1 to 6</t>
  </si>
  <si>
    <t xml:space="preserve">Collection </t>
  </si>
  <si>
    <t xml:space="preserve">Tyres usage per distance </t>
  </si>
  <si>
    <t>Oil usage per distance</t>
  </si>
  <si>
    <t>https://www.google.es/maps/dir/Utrecht,+Pa%C3%ADses+Bajos/SUEZ+Recycling+and+Recovery,+Havennummer,+R%C3%B3terdam,+Pa%C3%ADses+Bajos/@51.9582708,4.5141846,10z/data=!3m1!4b1!4m14!4m13!1m5!1m1!1s0x47c66f4339d32d37:0xd6c8fc4c19af4ae9!2m2!1d5.1214201!2d52.0907374!1m5!1m1!1s0x47c4344e1ccb98b5:0xb85ac307c945c192!2m2!1d4.4272595!2d51.8866039!3e0</t>
  </si>
  <si>
    <t>Distance (go &amp; back)</t>
  </si>
  <si>
    <t>Distance per Packaging Waste collected</t>
  </si>
  <si>
    <t>Distance per Packaging Waste collected (pilot)</t>
  </si>
  <si>
    <t>Fuel per Packaging Waste collected</t>
  </si>
  <si>
    <t>Fuel per Packaging Waste collected (pilot)</t>
  </si>
  <si>
    <t>Total Fuel</t>
  </si>
  <si>
    <t>l/route</t>
  </si>
  <si>
    <t>Total Distance (allocated only for pilot)</t>
  </si>
  <si>
    <t>Time Average  (allocated only for pilot)</t>
  </si>
  <si>
    <t>Fuel Consumption (allocated only for pilot)</t>
  </si>
  <si>
    <t>Equipment</t>
  </si>
  <si>
    <t>Number</t>
  </si>
  <si>
    <t>PET Bottles</t>
  </si>
  <si>
    <t>%</t>
  </si>
  <si>
    <t>Source</t>
  </si>
  <si>
    <t>VLC</t>
  </si>
  <si>
    <t>UTR</t>
  </si>
  <si>
    <t>ALBA</t>
  </si>
  <si>
    <t>Bag Opener</t>
  </si>
  <si>
    <t>Ballistic separator</t>
  </si>
  <si>
    <t>Conveyor Belts</t>
  </si>
  <si>
    <t>Drum Screen</t>
  </si>
  <si>
    <t>Magnetic Separator</t>
  </si>
  <si>
    <t>Non-ferrous separator</t>
  </si>
  <si>
    <t>Windstifer</t>
  </si>
  <si>
    <t>Baler Metals</t>
  </si>
  <si>
    <t>Baler Reject</t>
  </si>
  <si>
    <t>Baler Recoverable</t>
  </si>
  <si>
    <t>Optical CB</t>
  </si>
  <si>
    <t>Optical PM</t>
  </si>
  <si>
    <t>Optical HDPE</t>
  </si>
  <si>
    <t>Optical PET</t>
  </si>
  <si>
    <t>Bottle Perforator</t>
  </si>
  <si>
    <t>Optical MPO Film</t>
  </si>
  <si>
    <t>Optical Paper</t>
  </si>
  <si>
    <t>Power (kW)</t>
  </si>
  <si>
    <t>Energy Consumption (kWh/ton)</t>
  </si>
  <si>
    <t>VALENCIA (VAERSA)</t>
  </si>
  <si>
    <t>UTRECHT (Model on SITA SUEZ or similar German Plant)</t>
  </si>
  <si>
    <t xml:space="preserve">Optical  PP </t>
  </si>
  <si>
    <t xml:space="preserve">Optical PS </t>
  </si>
  <si>
    <t>Optical PE Film</t>
  </si>
  <si>
    <t>Energy Consumption (kWh.a)</t>
  </si>
  <si>
    <t>Energy Consumption (kWh/ton.a)</t>
  </si>
  <si>
    <t>TOTAL</t>
  </si>
  <si>
    <t>LCA - Life Cycle Assesment</t>
  </si>
  <si>
    <t>Abejón R. et al. (2020)</t>
  </si>
  <si>
    <t>Cimpan C. et al. (2015)</t>
  </si>
  <si>
    <t>&gt;  0,85</t>
  </si>
  <si>
    <t>&gt;  0,95</t>
  </si>
  <si>
    <t>Sorting Plant Efficiences / Recovery Yields</t>
  </si>
  <si>
    <t>0,6  - 0,9</t>
  </si>
  <si>
    <t>PS</t>
  </si>
  <si>
    <t>German Advance Plant</t>
  </si>
  <si>
    <t>Benchmark</t>
  </si>
  <si>
    <t>Tons treated a year</t>
  </si>
  <si>
    <t>Number of fractions extracted</t>
  </si>
  <si>
    <t>COLLECTION</t>
  </si>
  <si>
    <t>Ghent Plant</t>
  </si>
  <si>
    <t>0,7  - 0,9</t>
  </si>
  <si>
    <t>0,7 - 0,9</t>
  </si>
  <si>
    <t>&gt; 0,7</t>
  </si>
  <si>
    <t>Number of shifts</t>
  </si>
  <si>
    <t>Values</t>
  </si>
  <si>
    <t>Operative hours</t>
  </si>
  <si>
    <t>Number of workers</t>
  </si>
  <si>
    <t>0,8-0,9</t>
  </si>
  <si>
    <t>0,85-0,82</t>
  </si>
  <si>
    <t>0,85-0,95</t>
  </si>
  <si>
    <t>Thoden van Velzen, U. (2016)</t>
  </si>
  <si>
    <t>CEFLEX (2020)</t>
  </si>
  <si>
    <t>Valencia (VAERSA 2019)</t>
  </si>
  <si>
    <t>Utrecht (SUEZ Rotterdam)</t>
  </si>
  <si>
    <t>Truck (10 t)</t>
  </si>
  <si>
    <t>Truck (25 t)</t>
  </si>
  <si>
    <t xml:space="preserve">Truck, compacting </t>
  </si>
  <si>
    <t>EASEWASTE</t>
  </si>
  <si>
    <t>Kg CO₂/km/ton</t>
  </si>
  <si>
    <t>SOURCE</t>
  </si>
  <si>
    <t>CO₂ emissions from transport of plastic</t>
  </si>
  <si>
    <t>https://ec.europa.eu/environment/life/project/Projects/index.cfm?fuseaction=home.showFile&amp;rep=file&amp;fil=PLASTIC_ZERO_annex_d32_action4.2_report_on_assessment_sept2013_final.pdf</t>
  </si>
  <si>
    <t>Treatment Capacity</t>
  </si>
  <si>
    <t>ton/h</t>
  </si>
  <si>
    <t>ton/a.</t>
  </si>
  <si>
    <t>&gt;10</t>
  </si>
  <si>
    <t xml:space="preserve">SORTING </t>
  </si>
  <si>
    <t>Own assumption</t>
  </si>
  <si>
    <t xml:space="preserve">UTR </t>
  </si>
  <si>
    <t>ALBA IULIA (Mix Real Data Galda Plant / Model on Western EU Plant)</t>
  </si>
  <si>
    <t>&gt;5</t>
  </si>
  <si>
    <t>% Performance machines</t>
  </si>
  <si>
    <t>% Allocation on non-machine electricity</t>
  </si>
  <si>
    <t>Benchamrk</t>
  </si>
  <si>
    <t>Dutch Experiemntal Data</t>
  </si>
  <si>
    <t>h/a.</t>
  </si>
  <si>
    <t>Total Annual Energy Consumption</t>
  </si>
  <si>
    <t>kWh/ton.a</t>
  </si>
  <si>
    <t>kWh/a</t>
  </si>
  <si>
    <t>VAERSA</t>
  </si>
  <si>
    <t>Calculation from ECOEMBES report</t>
  </si>
  <si>
    <t>Ecoembes report</t>
  </si>
  <si>
    <t>Own assumption base on literature</t>
  </si>
  <si>
    <t>Nominal Power (kW)</t>
  </si>
  <si>
    <t>Relat Error</t>
  </si>
  <si>
    <r>
      <t>0,88</t>
    </r>
    <r>
      <rPr>
        <sz val="11"/>
        <color rgb="FFFF0000"/>
        <rFont val="Calibri"/>
        <family val="2"/>
      </rPr>
      <t>±0,07</t>
    </r>
  </si>
  <si>
    <r>
      <t>0,91</t>
    </r>
    <r>
      <rPr>
        <sz val="11"/>
        <color rgb="FFFF0000"/>
        <rFont val="Calibri"/>
        <family val="2"/>
      </rPr>
      <t>±0,04</t>
    </r>
  </si>
  <si>
    <r>
      <t>0,88</t>
    </r>
    <r>
      <rPr>
        <sz val="11"/>
        <color rgb="FFFF0000"/>
        <rFont val="Calibri"/>
        <family val="2"/>
      </rPr>
      <t>±0,06</t>
    </r>
  </si>
  <si>
    <t>PET Trays</t>
  </si>
  <si>
    <t>Requirements</t>
  </si>
  <si>
    <t>&gt; 95,5 %</t>
  </si>
  <si>
    <t>&lt; 4,5 %</t>
  </si>
  <si>
    <t xml:space="preserve">PVC </t>
  </si>
  <si>
    <t>&lt; 0,25 %</t>
  </si>
  <si>
    <t xml:space="preserve">Metals </t>
  </si>
  <si>
    <t>Sum of other plastics</t>
  </si>
  <si>
    <t>&lt; 4%</t>
  </si>
  <si>
    <t>Density</t>
  </si>
  <si>
    <t>&gt; 190 kg/m3</t>
  </si>
  <si>
    <t xml:space="preserve">PET Packaging </t>
  </si>
  <si>
    <t xml:space="preserve">PET </t>
  </si>
  <si>
    <t>Spanish PET Bale (ECOEMBES)</t>
  </si>
  <si>
    <t>Dutch PET Bale (AFVALFONDS)</t>
  </si>
  <si>
    <t>&lt; 0,1%</t>
  </si>
  <si>
    <t>&lt; 0,5%</t>
  </si>
  <si>
    <t>&lt; 2%</t>
  </si>
  <si>
    <t>Min Load</t>
  </si>
  <si>
    <t>10 tons</t>
  </si>
  <si>
    <t xml:space="preserve">Min Load </t>
  </si>
  <si>
    <t>14 tons</t>
  </si>
  <si>
    <t>HDPE packaging content (including moisture)</t>
  </si>
  <si>
    <t>&gt; 90%</t>
  </si>
  <si>
    <t xml:space="preserve">&lt; 10% </t>
  </si>
  <si>
    <t xml:space="preserve">Silicones, PU, </t>
  </si>
  <si>
    <t>&lt; 0,05 %</t>
  </si>
  <si>
    <t>Other PO</t>
  </si>
  <si>
    <t>&lt; 7%</t>
  </si>
  <si>
    <t>Metals</t>
  </si>
  <si>
    <t>&lt; 0,5 %</t>
  </si>
  <si>
    <t>&gt; 210 kg/m3</t>
  </si>
  <si>
    <t>Papers, briks, other</t>
  </si>
  <si>
    <t xml:space="preserve">HDPE Packaging </t>
  </si>
  <si>
    <t>Dutch HDPE Bale (AFVALFONDS)</t>
  </si>
  <si>
    <t>Spanish HDPE Bale (ECOEMBES)</t>
  </si>
  <si>
    <t>&gt; 94%</t>
  </si>
  <si>
    <t xml:space="preserve">&lt; 6% </t>
  </si>
  <si>
    <t>Impurities</t>
  </si>
  <si>
    <t>Metallic&amp;Mineral &gt;100gr</t>
  </si>
  <si>
    <t>&lt; 0 %</t>
  </si>
  <si>
    <t>&lt; 0.5%</t>
  </si>
  <si>
    <t>PP articles</t>
  </si>
  <si>
    <t>&lt; 3%</t>
  </si>
  <si>
    <t>&lt; 5%</t>
  </si>
  <si>
    <t>Other res material</t>
  </si>
  <si>
    <t>17 tons</t>
  </si>
  <si>
    <t>Plastic Films</t>
  </si>
  <si>
    <t>Spanish HDPE Natural Bale (ECOEMBES)</t>
  </si>
  <si>
    <t>&lt; 1 %</t>
  </si>
  <si>
    <t>HDPE Colour</t>
  </si>
  <si>
    <t>Min. Content of the Bale</t>
  </si>
  <si>
    <t xml:space="preserve">Spanish PP  Bale </t>
  </si>
  <si>
    <t>PP packaging content (including moisture)</t>
  </si>
  <si>
    <t>Dutch PP Bale (AFVALFONDS)</t>
  </si>
  <si>
    <t>PE articles</t>
  </si>
  <si>
    <t>&lt; 1%</t>
  </si>
  <si>
    <t>Spanish Film Bale (ECOEMBES)</t>
  </si>
  <si>
    <t>&gt; 82%</t>
  </si>
  <si>
    <t xml:space="preserve">&lt; 18% </t>
  </si>
  <si>
    <t>&lt; 1,5 %</t>
  </si>
  <si>
    <t>&lt; 2,5%</t>
  </si>
  <si>
    <t>Moisture</t>
  </si>
  <si>
    <t>Other impurities</t>
  </si>
  <si>
    <t>&lt; 9%</t>
  </si>
  <si>
    <t>&gt; 250 kg/m3</t>
  </si>
  <si>
    <t>15 tons</t>
  </si>
  <si>
    <t xml:space="preserve">Film Packaging </t>
  </si>
  <si>
    <t>Dutch Film Bale (AFVALFONDS)</t>
  </si>
  <si>
    <t>23 tons</t>
  </si>
  <si>
    <t>Film packaging content</t>
  </si>
  <si>
    <t xml:space="preserve">PP packaging content </t>
  </si>
  <si>
    <t xml:space="preserve">Film packaging content </t>
  </si>
  <si>
    <t>&gt; 92%</t>
  </si>
  <si>
    <t xml:space="preserve">&lt; 8% </t>
  </si>
  <si>
    <t>Other plastics</t>
  </si>
  <si>
    <t>Film Packaging</t>
  </si>
  <si>
    <t>Mixed Plastic Bale (ECOEMBES)</t>
  </si>
  <si>
    <t>Dutch Mix Plastic Bale (AFVALFONDS)</t>
  </si>
  <si>
    <t>PE,PP,PS,PET</t>
  </si>
  <si>
    <t>Paper</t>
  </si>
  <si>
    <t>PET Bottles Transparent</t>
  </si>
  <si>
    <t>PVC</t>
  </si>
  <si>
    <t>21 tons</t>
  </si>
  <si>
    <t>Mix Plastic Packaging</t>
  </si>
  <si>
    <t>&gt; 80%</t>
  </si>
  <si>
    <t xml:space="preserve">&lt; 20% </t>
  </si>
  <si>
    <t>PET, HDPE, Films</t>
  </si>
  <si>
    <t>&lt; 10 %</t>
  </si>
  <si>
    <t>Plastic Not packaging</t>
  </si>
  <si>
    <t>Metal, Brick and other</t>
  </si>
  <si>
    <t>Mixed packaging content (including moisture)</t>
  </si>
  <si>
    <t>PP &gt; PS &gt; PE</t>
  </si>
  <si>
    <t>Plastic Zero Project</t>
  </si>
  <si>
    <t>https://www.ecoembes.com/sites/default/files/etmr_def_v12_0.pdf</t>
  </si>
  <si>
    <t xml:space="preserve">Source: </t>
  </si>
  <si>
    <t>Material Recovered</t>
  </si>
  <si>
    <t>Rejects</t>
  </si>
  <si>
    <t>% Recovery Material</t>
  </si>
  <si>
    <t>Abejón R. et al. (2020) -- Ecoparc Barcelona 4</t>
  </si>
  <si>
    <t xml:space="preserve"> MSW Ciprian C. et al.(2016) --Ecoparc Barcelona 4</t>
  </si>
  <si>
    <t>Material extracted per 1 ton (kg) - Effectiveness</t>
  </si>
  <si>
    <t>% on Purity</t>
  </si>
  <si>
    <t>41.9 kWh/tonne plastic.</t>
  </si>
  <si>
    <t>8.8 kWh/tonne plastic.</t>
  </si>
  <si>
    <t>Cimpan C. (2015)</t>
  </si>
  <si>
    <t>Aluminium Bale (ECOEMBES)</t>
  </si>
  <si>
    <t>Alu packaging content (including moisture)</t>
  </si>
  <si>
    <t>&gt; 500 kg/m3</t>
  </si>
  <si>
    <t>Ferrous Bale (ECOEMBES)</t>
  </si>
  <si>
    <t>Fe packaging content (including moisture)</t>
  </si>
  <si>
    <t>Aluminium Bale (AFVALFONDS)</t>
  </si>
  <si>
    <t>Ferrous Bale (AFVALFONDS)</t>
  </si>
  <si>
    <t>Al Packaging</t>
  </si>
  <si>
    <t>Fe Packaging</t>
  </si>
  <si>
    <t>WASTE COMPOSITION</t>
  </si>
  <si>
    <t>OPEX</t>
  </si>
  <si>
    <t>LCC</t>
  </si>
  <si>
    <t>Quality BALES extracted from Sorting Plant</t>
  </si>
  <si>
    <t>CAPEX</t>
  </si>
  <si>
    <t>Power of machines  (kW)</t>
  </si>
  <si>
    <t xml:space="preserve">Elec. Energy </t>
  </si>
  <si>
    <t>m3</t>
  </si>
  <si>
    <t>https://www.google.es/maps/dir/S.C.+POLARIS+M.+HOLDING+ALBA+IULIA,+Strada+Tudor+Vladimirescu,+Alba+Iulia,+Rom%C3%A2nia/Galda+de+Jos,+Ruman%C3%ADa/@46.1499199,23.4467977,11z/data=!3m1!4b1!4m14!4m13!1m5!1m1!1s0x474ea9264c2b76bd:0xea4e6e9b7e7ee277!2m2!1d23.585659!2d46.0796842!1m5!1m1!1s0x474eacf05170d427:0x368c2af04e36687e!2m2!1d23.5682942!2d46.2238661!3e0</t>
  </si>
  <si>
    <t>SAV Charact</t>
  </si>
  <si>
    <t>Other Electric Concumptions</t>
  </si>
  <si>
    <t>Capacity</t>
  </si>
  <si>
    <t xml:space="preserve">8,7921321 kWh/tonne </t>
  </si>
  <si>
    <t>Lund Thesis</t>
  </si>
  <si>
    <t>Khaled M. Bataineh (2020)</t>
  </si>
  <si>
    <t xml:space="preserve">Mid- Alba Iulia </t>
  </si>
  <si>
    <r>
      <t xml:space="preserve">EFFECTIVENESS &amp; PURITY ALLOCATION - </t>
    </r>
    <r>
      <rPr>
        <b/>
        <sz val="14"/>
        <color theme="7" tint="0.39997558519241921"/>
        <rFont val="Calibri"/>
        <family val="2"/>
        <scheme val="minor"/>
      </rPr>
      <t>VALENCIA</t>
    </r>
  </si>
  <si>
    <r>
      <t xml:space="preserve">EFFECTIVENESS &amp; PURITY ALLOCATION - </t>
    </r>
    <r>
      <rPr>
        <b/>
        <sz val="14"/>
        <color rgb="FF00B0F0"/>
        <rFont val="Calibri"/>
        <family val="2"/>
        <scheme val="minor"/>
      </rPr>
      <t>UTRECHT</t>
    </r>
  </si>
  <si>
    <t>EURECO (UTR)</t>
  </si>
  <si>
    <t>POLARIS (AI)</t>
  </si>
  <si>
    <t>Wet Grinder</t>
  </si>
  <si>
    <t>STAGES --&gt; 1 - Wet Grinder; 2- friction Washer; 3 - Compact Washing Line; 4 - Friction Washer; 5 - Separation; 6 - FrictionWasher; 7 -Mechanical dryer; 8 - Blower</t>
  </si>
  <si>
    <t>Friction Washer 1</t>
  </si>
  <si>
    <t>Output Moisture</t>
  </si>
  <si>
    <t>Losses</t>
  </si>
  <si>
    <t>Pump</t>
  </si>
  <si>
    <t>Thermal heater</t>
  </si>
  <si>
    <t>Friction Washer 2</t>
  </si>
  <si>
    <t>Hydrocyclone</t>
  </si>
  <si>
    <t>Friction Washer 3</t>
  </si>
  <si>
    <t>Mechanical Dryer</t>
  </si>
  <si>
    <t>Blower</t>
  </si>
  <si>
    <t>X</t>
  </si>
  <si>
    <t>SORTING</t>
  </si>
  <si>
    <t>kWh/ton</t>
  </si>
  <si>
    <t>ALBA question</t>
  </si>
  <si>
    <t xml:space="preserve">PP Packaging </t>
  </si>
  <si>
    <t>Al</t>
  </si>
  <si>
    <t>Fe</t>
  </si>
  <si>
    <t>&lt; 10%</t>
  </si>
  <si>
    <r>
      <t xml:space="preserve">PET </t>
    </r>
    <r>
      <rPr>
        <b/>
        <sz val="11"/>
        <color theme="0" tint="-0.499984740745262"/>
        <rFont val="Calibri"/>
        <family val="2"/>
        <scheme val="minor"/>
      </rPr>
      <t>packaging</t>
    </r>
    <r>
      <rPr>
        <b/>
        <sz val="11"/>
        <color theme="1"/>
        <rFont val="Calibri"/>
        <family val="2"/>
        <scheme val="minor"/>
      </rPr>
      <t xml:space="preserve"> content (including moisture)</t>
    </r>
  </si>
  <si>
    <r>
      <t xml:space="preserve">PET </t>
    </r>
    <r>
      <rPr>
        <b/>
        <sz val="11"/>
        <color theme="0" tint="-0.499984740745262"/>
        <rFont val="Calibri"/>
        <family val="2"/>
        <scheme val="minor"/>
      </rPr>
      <t>Bottles</t>
    </r>
  </si>
  <si>
    <t>ALBA IULIA</t>
  </si>
  <si>
    <t xml:space="preserve">Washing </t>
  </si>
  <si>
    <t>Energy consumer (kWh/ton)</t>
  </si>
  <si>
    <t>Capacity of the process</t>
  </si>
  <si>
    <t>Output PET</t>
  </si>
  <si>
    <t>http://www.expra.eu/downloads/book_of_expra_technical_working_grou.pdf</t>
  </si>
  <si>
    <t>Fresh water (m3)</t>
  </si>
  <si>
    <t>Purge water (m3)</t>
  </si>
  <si>
    <t>Sodium hydroxide (50% w/w)</t>
  </si>
  <si>
    <t>Washing agent</t>
  </si>
  <si>
    <t>Antifoam</t>
  </si>
  <si>
    <t>Acid (85% w/w)</t>
  </si>
  <si>
    <t xml:space="preserve">Flocculant </t>
  </si>
  <si>
    <t>l/tonne</t>
  </si>
  <si>
    <t>Herbold Wash on PET Tray/Bottle Mix</t>
  </si>
  <si>
    <t xml:space="preserve"> 3–5m3  (Khaled M. Bataineh, 2020)</t>
  </si>
  <si>
    <t>AXION Internal DataBase</t>
  </si>
  <si>
    <t>24,5 kg NaOH</t>
  </si>
  <si>
    <t>0,79 kg Defoamer</t>
  </si>
  <si>
    <t>2,46 Wetting Agent</t>
  </si>
  <si>
    <t>0,98 kg Surfactant</t>
  </si>
  <si>
    <t>Khaled M. Bataineh, 2020</t>
  </si>
  <si>
    <t>1 to 2 m³ fresh water per tonne (Herlbold, 2015)</t>
  </si>
  <si>
    <t>Compact washing line*</t>
  </si>
  <si>
    <t>Water Use*</t>
  </si>
  <si>
    <t xml:space="preserve">Additives* </t>
  </si>
  <si>
    <t>Extrusion Line</t>
  </si>
  <si>
    <t>Extruder</t>
  </si>
  <si>
    <t>Mixed sources</t>
  </si>
  <si>
    <t xml:space="preserve">Pre-Washing </t>
  </si>
  <si>
    <t>NIR sorter</t>
  </si>
  <si>
    <t>PET Bottles/Trays Washing</t>
  </si>
  <si>
    <t>kg/ton</t>
  </si>
  <si>
    <t>PE Films</t>
  </si>
  <si>
    <t>Energy consume (kWh/ton)</t>
  </si>
  <si>
    <t>PO Rigid</t>
  </si>
  <si>
    <t>conveyor</t>
  </si>
  <si>
    <t>Labelremover</t>
  </si>
  <si>
    <t>trommel</t>
  </si>
  <si>
    <t>Bottle Sorting</t>
  </si>
  <si>
    <t>Pre washing</t>
  </si>
  <si>
    <t>Crushing</t>
  </si>
  <si>
    <t>Screw loader</t>
  </si>
  <si>
    <t>Friction</t>
  </si>
  <si>
    <t>Floating washer</t>
  </si>
  <si>
    <t>Hot washer</t>
  </si>
  <si>
    <t>Floating tank</t>
  </si>
  <si>
    <t>Dryer</t>
  </si>
  <si>
    <t>Zig zag</t>
  </si>
  <si>
    <t>Packing</t>
  </si>
  <si>
    <t>Grinding</t>
  </si>
  <si>
    <t>Debaler</t>
  </si>
  <si>
    <t>Dehydrator</t>
  </si>
  <si>
    <t>Conveyor</t>
  </si>
  <si>
    <t>PET</t>
  </si>
  <si>
    <t>Flexible PE</t>
  </si>
  <si>
    <t xml:space="preserve">CAPEX </t>
  </si>
  <si>
    <t xml:space="preserve">PlastiC shredder Machine </t>
  </si>
  <si>
    <t>Wet Plastic Granulator</t>
  </si>
  <si>
    <t>Friction Washer</t>
  </si>
  <si>
    <t>Sink Float Separation</t>
  </si>
  <si>
    <t>SOREMA Process - Data to be obtained</t>
  </si>
  <si>
    <t>Centrifugal dewatering machine</t>
  </si>
  <si>
    <t>screw Press dewateriung amchine</t>
  </si>
  <si>
    <t>Cyclone Separator</t>
  </si>
  <si>
    <t xml:space="preserve">Thermal Dryer </t>
  </si>
  <si>
    <t>Product Silo</t>
  </si>
  <si>
    <t>Extrusion Line/Pelletizing</t>
  </si>
  <si>
    <t>https://www.plasticrecyclingmachine.net/plastic-film-washing-line/</t>
  </si>
  <si>
    <t xml:space="preserve">ASG </t>
  </si>
  <si>
    <t>tons</t>
  </si>
  <si>
    <t>operators</t>
  </si>
  <si>
    <t>Alternative</t>
  </si>
  <si>
    <t>A</t>
  </si>
  <si>
    <t>B</t>
  </si>
  <si>
    <t>Washing Parameters for Alternative B</t>
  </si>
  <si>
    <t>power inst (kW)</t>
  </si>
  <si>
    <t>water use (m3)</t>
  </si>
  <si>
    <t>0,8-1 kW per kg (incl extrusion)</t>
  </si>
  <si>
    <t>Energy cons (kWh/ton</t>
  </si>
  <si>
    <t>C</t>
  </si>
  <si>
    <t>https://www.plasticrecyclingmachine.net/pet-bottle-washing-line/</t>
  </si>
  <si>
    <t>Quality of Water to be treated</t>
  </si>
  <si>
    <t xml:space="preserve">BOD </t>
  </si>
  <si>
    <t xml:space="preserve">COD </t>
  </si>
  <si>
    <t>Suspended solids</t>
  </si>
  <si>
    <t>HDPE</t>
  </si>
  <si>
    <t>Dissolved Solids</t>
  </si>
  <si>
    <t>PE Flex - 1st Wash</t>
  </si>
  <si>
    <t>mgO2/L</t>
  </si>
  <si>
    <t>g/L</t>
  </si>
  <si>
    <t>PE Flex - 2nd Wash 50%</t>
  </si>
  <si>
    <t>PE Flex - 3rd Wash 50%</t>
  </si>
  <si>
    <t>http://www.silverpython.net/pet-washing-line/</t>
  </si>
  <si>
    <t xml:space="preserve">Washing Parameters </t>
  </si>
  <si>
    <t>China</t>
  </si>
  <si>
    <t>Herbold (Germany)</t>
  </si>
  <si>
    <t>WASTEWATER</t>
  </si>
  <si>
    <t xml:space="preserve">RESUME </t>
  </si>
  <si>
    <t>PET Bottle/Trays</t>
  </si>
  <si>
    <t xml:space="preserve">Rigid PO </t>
  </si>
  <si>
    <t>Water use (m3/ton)</t>
  </si>
  <si>
    <t>Losses (%)</t>
  </si>
  <si>
    <t xml:space="preserve">w/ Drying </t>
  </si>
  <si>
    <t>No Drying</t>
  </si>
  <si>
    <t>J.M Soto et al. 2020</t>
  </si>
  <si>
    <t>Flex PE</t>
  </si>
  <si>
    <t xml:space="preserve">NFC Card </t>
  </si>
  <si>
    <t xml:space="preserve">u/ton </t>
  </si>
  <si>
    <t>Participants (15% population) - pilot</t>
  </si>
  <si>
    <t>Households</t>
  </si>
  <si>
    <t>Identification Labels (2,5 bags/week)*4weeks*12</t>
  </si>
  <si>
    <t xml:space="preserve">kg/ton </t>
  </si>
  <si>
    <t xml:space="preserve">PP Identification labels (15%) </t>
  </si>
  <si>
    <t xml:space="preserve">PP Identification labels (50%) </t>
  </si>
  <si>
    <t xml:space="preserve">PP Identification labels (100%) </t>
  </si>
  <si>
    <t>Energy embbeded on IoT system per tonne</t>
  </si>
  <si>
    <t>Packaging waste collected (pilot) per route</t>
  </si>
  <si>
    <t>kg/route</t>
  </si>
  <si>
    <t>Battery, Li-ion, rechargeable, prismatic {GLO}| production | Alloc Def, U</t>
  </si>
  <si>
    <t>Printed wiring board, through-hole mounted, unspecified, Pb free {GLO}| market for | Alloc Def, U</t>
  </si>
  <si>
    <t>Polyvinylchloride, bulk polymerised {RER}| polyvinylchloride production, bulk polymerisation | Alloc Def, U</t>
  </si>
  <si>
    <t>Polypropylene, granulate {RER}| production | Alloc Def, U</t>
  </si>
  <si>
    <t>SimaPro Allocation</t>
  </si>
  <si>
    <t>Router, internet {GLO}| market for | Alloc Def, U</t>
  </si>
  <si>
    <t>Electricity, low voltage {ES* - PlastiCircle- }| market for | Alloc Def, U</t>
  </si>
  <si>
    <t>Own calculation (negligible)</t>
  </si>
  <si>
    <t xml:space="preserve"> Infrastructure</t>
  </si>
  <si>
    <t xml:space="preserve"> IoT Infrastructure</t>
  </si>
  <si>
    <t xml:space="preserve"> Maintenance &amp; Washing</t>
  </si>
  <si>
    <t>Water use</t>
  </si>
  <si>
    <t>Water use per tonne</t>
  </si>
  <si>
    <t>l/year</t>
  </si>
  <si>
    <t>l / year</t>
  </si>
  <si>
    <t>Detergent  (10% dilluted)</t>
  </si>
  <si>
    <t>l/ton.a</t>
  </si>
  <si>
    <t>Detergent  per tonne (100% pure)</t>
  </si>
  <si>
    <t>SAV collection on Sanmarcelino During the pilot</t>
  </si>
  <si>
    <t>Tap water {Europe without Switzerland}| market for | Alloc Def, U</t>
  </si>
  <si>
    <t>Diesel</t>
  </si>
  <si>
    <t xml:space="preserve">kg/ t km </t>
  </si>
  <si>
    <t>Municipal waste collection service by 21 metric ton lorry {RoW* PlastiCircle}| processing | Alloc Def, U</t>
  </si>
  <si>
    <t>Packaging Waste Collected per route</t>
  </si>
  <si>
    <t>Transport of Sorted Bales and Rejects</t>
  </si>
  <si>
    <t>https://www.google.com/maps/dir/VAERSA+Planta+Picassent,+Calle+V5+P.I.Juan+Carlos+I,+Picasent/Tous,+Val%C3%A8ncia/@39.2011232,-0.6252911,11.02z/data=!4m14!4m13!1m5!1m1!1s0xd61b2ce79ff5ca1:0x456e33ebb19c601a!2m2!1d-0.4237112!2d39.3143221!1m5!1m1!1s0xd61a7eed2e621cf:0x90e09f85de0e8e81!2m2!1d-0.5860856!2d39.138592!3e0</t>
  </si>
  <si>
    <t xml:space="preserve"> https://www.google.com/maps/dir/VAERSA+Planta+Picassent,+Calle+V5+P.I.Juan+Carlos+I,+Picasent/Dos+Aguas,+46198,+Valencia/@39.2907394,-0.8221406,12.46z/data=!4m14!4m13!1m5!1m1!1s0xd61b2ce79ff5ca1:0x456e33ebb19c601a!2m2!1d-0.4237112!2d39.3143221!1m5!1m1!1s0xd611da5075dfc73:0x2fa01febb4413d3a!2m2!1d-0.8002439!2d39.2886921!3e0</t>
  </si>
  <si>
    <t>1 ton (kg) - Initial Mass flow</t>
  </si>
  <si>
    <t>https://www.google.com/maps/dir/SUEZ+Recycling+and+Recovery,+Havennummer,+R%C3%B3terdam,+Pa%C3%ADses+Bajos/SUEZ+ReEnergy,+Potendreef+2,+4703+RK+Roosendaal,+Pa%C3%ADses+Bajos/@51.7163991,4.2422868,10z/data=!3m1!4b1!4m14!4m13!1m5!1m1!1s0x47c4344e1ccb98b5:0xb85ac307c945c192!2m2!1d4.4272595!2d51.8866039!1m5!1m1!1s0x47c4168d53b011d9:0x48f8cb03c20b5bee!2m2!1d4.4432413!2d51.5472476!3e0</t>
  </si>
  <si>
    <t>https://www.google.com/maps/dir/SUEZ+Recycling+and+Recovery,+Havennummer,+R%C3%B3terdam,+Pa%C3%ADses+Bajos/Attero+Locatie+Bergen+op+Zoom,+Moervaart+25,+4622+RR+Bergen+op+Zoom,+Pa%C3%ADses+Bajos/@51.6945981,4.2146895,10z/data=!3m1!4b1!4m14!4m13!1m5!1m1!1s0x47c4344e1ccb98b5:0xb85ac307c945c192!2m2!1d4.4272595!2d51.8866039!1m5!1m1!1s0x47c4136925c64467:0xd5530499e0dda0e7!2m2!1d4.3399795!2d51.5054847!3e0</t>
  </si>
  <si>
    <t>From VAERSA to Landfill 1</t>
  </si>
  <si>
    <t>From VAERSA to landfill 2</t>
  </si>
  <si>
    <t>From SITA SUEZ  to Attero (recycler)</t>
  </si>
  <si>
    <t>From SITA SUEZ to ReEnergy SUEZ</t>
  </si>
  <si>
    <t>Transport of Rejects to Landfill</t>
  </si>
  <si>
    <t>Scenario</t>
  </si>
  <si>
    <t xml:space="preserve">Country </t>
  </si>
  <si>
    <t>Spain</t>
  </si>
  <si>
    <t>Netherlands</t>
  </si>
  <si>
    <t>Trasnport of Reject to incineration</t>
  </si>
  <si>
    <t>Romania</t>
  </si>
  <si>
    <t>Transport to Landfll</t>
  </si>
  <si>
    <t>Transport of Bales to Recycler</t>
  </si>
  <si>
    <t>Distanes (km)</t>
  </si>
  <si>
    <t>Lanfill next to the Waste recycling Facility</t>
  </si>
  <si>
    <t>https://porr-group.com/en/projects/galda-landfill-waste-treatment-plant-1/</t>
  </si>
  <si>
    <t>https://www.google.com/maps/place/Galda+de+Jos,+Ruman%C3%ADa/@46.1823134,23.6079452,14z/data=!3m1!4b1!4m5!3m4!1s0x474eab0a0c99b76f:0x38e5fbeacdc813cb!8m2!3d46.1805779!4d23.621897</t>
  </si>
  <si>
    <t>Maps tracks</t>
  </si>
  <si>
    <t>Description</t>
  </si>
  <si>
    <t>Transport of Bales to PET Recycler</t>
  </si>
  <si>
    <t>From VAERSA to PETCIA</t>
  </si>
  <si>
    <t>Transport of Bales to PO Recycler</t>
  </si>
  <si>
    <t>From VAERSA to Eslava Plásticos</t>
  </si>
  <si>
    <t>https://www.google.com/maps/dir/VAERSA+Planta+Picassent,+Calle+V5+P.I.Juan+Carlos+I,+Picasent/Eslava+Pl%C3%A1sticos+S.A.,+del,+Carrer+Riu+Vinalop%C3%B3,+86,+46930+Quart+de+Poblet,+Valencia/@39.3980469,-0.533543,11.81z/data=!4m14!4m13!1m5!1m1!1s0xd61b2ce79ff5ca1:0x456e33ebb19c601a!2m2!1d-0.4237112!2d39.3143221!1m5!1m1!1s0xd60509274987b31:0x62661ee33d93bbf4!2m2!1d-0.5152952!2d39.4705103!3e0</t>
  </si>
  <si>
    <t>https://www.google.com/maps/dir/VAERSA+Planta+Picassent,+Calle+V5+P.I.Juan+Carlos+I,+Picasent/Pet+Compa%C3%B1%C3%ADa+para+su+Reciclado,+Calle+el+Blanquizar,+S%2FN+Pol%C3%ADgono+Industrial+La+Pahilla,+46370+Chiva,+Valencia/@39.415217,-0.6927798,11z/data=!3m1!4b1!4m14!4m13!1m5!1m1!1s0xd61b2ce79ff5ca1:0x456e33ebb19c601a!2m2!1d-0.4237112!2d39.3143221!1m5!1m1!1s0xd60faea5b7bb3e9:0xdd7197c387c5f573!2m2!1d-0.7332!2d39.460522!3e0</t>
  </si>
  <si>
    <t xml:space="preserve">Transport </t>
  </si>
  <si>
    <t>Initial Mass Flow (kg)</t>
  </si>
  <si>
    <t>Packaging waste generated on selective colection</t>
  </si>
  <si>
    <t xml:space="preserve">31 plastic packaging kg (EUROSTAT) // 160 kg assuming glass, cardobard … </t>
  </si>
  <si>
    <t>14,627 (kg Valencia Council on yellow containers)</t>
  </si>
  <si>
    <t xml:space="preserve">Filling level sensor system </t>
  </si>
  <si>
    <t>Ecodriving</t>
  </si>
  <si>
    <t>Ecodriving not ready from pilots</t>
  </si>
  <si>
    <t>Individual Characterisation (labelling system)</t>
  </si>
  <si>
    <t>L/km</t>
  </si>
  <si>
    <t>4l/4500km</t>
  </si>
  <si>
    <t>SAV data</t>
  </si>
  <si>
    <t>Utrecht Deliverable</t>
  </si>
  <si>
    <t>Packaging waste colllected per capita</t>
  </si>
  <si>
    <t>SAV Data</t>
  </si>
  <si>
    <t>Utrecht Data</t>
  </si>
  <si>
    <t>Conversio Market &amp; Strategy (Post-consumer plastic waste) - PLASCTICS EUROPE</t>
  </si>
  <si>
    <r>
      <rPr>
        <b/>
        <u/>
        <sz val="11"/>
        <color theme="1"/>
        <rFont val="Calibri"/>
        <family val="2"/>
        <scheme val="minor"/>
      </rPr>
      <t>0,345 L/km</t>
    </r>
    <r>
      <rPr>
        <sz val="11"/>
        <color theme="1"/>
        <rFont val="Calibri"/>
        <family val="2"/>
        <scheme val="minor"/>
      </rPr>
      <t xml:space="preserve">  (Khaled M. Bataineh, 2020) / coinvent (0,336 l/km)</t>
    </r>
  </si>
  <si>
    <t>Municipal waste collection service by 21**--&gt;16  metric ton lorry {RoW* PlastiCircle}| processing | Alloc Def, U</t>
  </si>
  <si>
    <t>Main changes 1,3 --&gt; to 1  on Lorry 16m3 and fuel adaptation for pilot</t>
  </si>
  <si>
    <t xml:space="preserve">VALENCIA </t>
  </si>
  <si>
    <t xml:space="preserve">UTRECHT </t>
  </si>
  <si>
    <t>TRANSPORT</t>
  </si>
  <si>
    <t>EoL</t>
  </si>
  <si>
    <t>RECYCLING</t>
  </si>
  <si>
    <t>INCINERATION</t>
  </si>
  <si>
    <t>LANDFILLING</t>
  </si>
  <si>
    <t>Pilot Data</t>
  </si>
  <si>
    <t>Arnsberg-Goldis</t>
  </si>
  <si>
    <t>Terwijde</t>
  </si>
  <si>
    <t>Waste collection</t>
  </si>
  <si>
    <t>Selective collection on Street Containers</t>
  </si>
  <si>
    <t>Selective collection for Underground containers and Door-to-door</t>
  </si>
  <si>
    <t>Two main fractions on street containers</t>
  </si>
  <si>
    <t>Main fractions</t>
  </si>
  <si>
    <t>LPW, Paper, Glass, Organic Waste, General MSW</t>
  </si>
  <si>
    <t>LPW, Paper, Glass, Biomass, RDF</t>
  </si>
  <si>
    <t>Dry (recyclables) and wet (organic and other) fraction</t>
  </si>
  <si>
    <t xml:space="preserve">Fraction analysed </t>
  </si>
  <si>
    <t>LPW on Street Container</t>
  </si>
  <si>
    <t>LPW on Underground Container</t>
  </si>
  <si>
    <t>Dry fraction on Street Containers</t>
  </si>
  <si>
    <t>Technologies used for the pilots</t>
  </si>
  <si>
    <t>Compaction Level of Waste</t>
  </si>
  <si>
    <t>kg/m3</t>
  </si>
  <si>
    <t>7:1 y 6:1 en volumen</t>
  </si>
  <si>
    <t xml:space="preserve">Output </t>
  </si>
  <si>
    <t>Limitations</t>
  </si>
  <si>
    <t>PlastiCircle Technologies</t>
  </si>
  <si>
    <t>Type of transport</t>
  </si>
  <si>
    <t>Waste collection model</t>
  </si>
  <si>
    <t>Main selective collection containers (Table 1). Study focused on yellow container (LPW) for PlastiCircle participants.</t>
  </si>
  <si>
    <t>All PlastiCircle Technologies have been used in this pilot:
- Labelling system (Individual characterization)
- Filling level sensors</t>
  </si>
  <si>
    <t>Load type</t>
  </si>
  <si>
    <t>Lateral Right Loader</t>
  </si>
  <si>
    <t>Top Loader</t>
  </si>
  <si>
    <t>Waste characterisation</t>
  </si>
  <si>
    <t>EURO 5 16m3 truck with right-side load</t>
  </si>
  <si>
    <t>Valencia has no incineration Plant nearby. It is not a common End-of-Life option for this area</t>
  </si>
  <si>
    <t>Based on results on recovery rates from real data Plant</t>
  </si>
  <si>
    <t xml:space="preserve">- Scenario 2 (National  Scenario) </t>
  </si>
  <si>
    <t>% on Recycling rates for national, European statics and literature</t>
  </si>
  <si>
    <t>- Scenario 1. (Local Scenario - 0%)</t>
  </si>
  <si>
    <t>Assumption of general national scenario.% on Incineration rates from literature.</t>
  </si>
  <si>
    <t>Plant Size and configuration</t>
  </si>
  <si>
    <t>Main waste collection flows (Table 1). Study focused on Dry Fraction and Specific container for plastics (project)</t>
  </si>
  <si>
    <t>No PlastiCircle technologies have been used. Utrecht already counted with sensorized containers (filling level). No individual characterization allowed due to legal/ethic considerations.</t>
  </si>
  <si>
    <t>Characterisation done on LPW container for Pre- Mid- Late pilot. Characterisation also done fro non-user on LPW and general citizens on the general MSW fraction (grey container)</t>
  </si>
  <si>
    <t>Characterisaiton of LPW containers for Pre- Mid- and Late pilot</t>
  </si>
  <si>
    <t>Characterisations done on Dry and Wet fraction for Pre- and Mid- Pilot. PlastiCircle plastic container for mi-pilot.</t>
  </si>
  <si>
    <t>Main selective collection containers (Table 1).  Study focused on undesground containers for LPW</t>
  </si>
  <si>
    <t>- Scenario 1. (Local Scenario - %)</t>
  </si>
  <si>
    <t xml:space="preserve">- Scenario 1. (Local Scenario). 
</t>
  </si>
  <si>
    <t>EURO 6 16m3 truck with top load</t>
  </si>
  <si>
    <t>PlastiCircle had no much imapct on physical systrems from the pilot. Scenario on Utrecht serves just as coparative model for the rest of the scenarios</t>
  </si>
  <si>
    <t>Citizen's behaviour towards recycling is uncertain and most individuals use 
indistinctly dry and wet containers. COVID19 had remarkable impact on pilot performance.</t>
  </si>
  <si>
    <t>Representativity for a whole city impact. Pilot was undestaken on an area of 10k inhabtatiant from a city of 700k population.  Thus, impacts are calculated for a pilot apporahc and then extrapolated to whole city.</t>
  </si>
  <si>
    <t>EURO4/5 16m3 trucks with rear load</t>
  </si>
  <si>
    <t>-Route optimization
- Eco-driving</t>
  </si>
  <si>
    <t>- Route optimization
- Eco-driving</t>
  </si>
  <si>
    <t>PICVISA improvement on optical sorters and developement on the film turbosorter are fitted on the sorting model</t>
  </si>
  <si>
    <t xml:space="preserve">PICVISA result and typical sorting efficiencies compared to manual sorting. </t>
  </si>
  <si>
    <t>VAERSA Plant (Picassent, Valencia) - 25k tonnes/year. Semi-automated sorting operation. Real data obtained on input, outpts and consumptions.</t>
  </si>
  <si>
    <t xml:space="preserve">SITA SUEZ (Rotterdam) - 120/150k tonnes/year. Advanced-automated sorting. Data from literature and references. </t>
  </si>
  <si>
    <t>Recovery Plant in (Galda de Jos) - (hypothetical scenario, still innoperative) - about 42k tonnes/year. Manual sorting. Data from Alba Council on project specifications.</t>
  </si>
  <si>
    <t>Dutch system manages more then 2/3 of palstic packagin waste on the Rotterdam plant. Thsu, local and antional scenarios might be quite alligned.</t>
  </si>
  <si>
    <t>Due to being a hypothtical scenario, national data have been considered to calcualted the regional scenario.</t>
  </si>
  <si>
    <t>Galda Plant would count with their own landfill, and no incineration alternative</t>
  </si>
  <si>
    <t>Lanfillling is main disposal option for non-recycles items on Valencia area</t>
  </si>
  <si>
    <t xml:space="preserve">Pre-treatment </t>
  </si>
  <si>
    <t>Assumption of general national scenario. % on Incineration rates from ConversioMarket.</t>
  </si>
  <si>
    <t>There is no landfilling as disposal option on the Netherlands</t>
  </si>
  <si>
    <t>Galda Plant would count with their own landfill, so all rejects from sorting would be lanfilled.</t>
  </si>
  <si>
    <t>Consideration of both incineration and lanfiling down general assumption on antional scenario</t>
  </si>
  <si>
    <t>None</t>
  </si>
  <si>
    <t>Mechanical 
Recycling</t>
  </si>
  <si>
    <t>Common Pre-treatment PET, RIGID PO and Flexible Polymers</t>
  </si>
  <si>
    <t>150ktpa is using about 4.5M kWh/year</t>
  </si>
  <si>
    <t xml:space="preserve"> Beverage carton:</t>
  </si>
  <si>
    <t>Energy per tonne input</t>
  </si>
  <si>
    <t>Energy per tonne output</t>
  </si>
  <si>
    <t>Own Calculation</t>
  </si>
  <si>
    <t>Aproximation to Plant w/ energy</t>
  </si>
  <si>
    <t>https://greenbestpractice.jrc.ec.europa.eu/node/169</t>
  </si>
  <si>
    <t>Linear interpolation from CELFEX Data</t>
  </si>
  <si>
    <t>22 - 26 %</t>
  </si>
  <si>
    <t>20 to 30%</t>
  </si>
  <si>
    <t>30 to 35%</t>
  </si>
  <si>
    <t>Bale Analysis</t>
  </si>
  <si>
    <t>Input material</t>
  </si>
  <si>
    <t xml:space="preserve">Weight (g) </t>
  </si>
  <si>
    <t>PO stretch clear film</t>
  </si>
  <si>
    <t>PO non stretch clear film</t>
  </si>
  <si>
    <t>PO stretch coloured film</t>
  </si>
  <si>
    <t>PO non stretch coloured film</t>
  </si>
  <si>
    <t>Rigid PP/HDPE</t>
  </si>
  <si>
    <t>Nonwoven fabric</t>
  </si>
  <si>
    <t>Tetra</t>
  </si>
  <si>
    <t>PP film with aluminum layer</t>
  </si>
  <si>
    <t>Expanded polystyrene</t>
  </si>
  <si>
    <t>Polystyrene</t>
  </si>
  <si>
    <t>Wood</t>
  </si>
  <si>
    <t>Total sorted amount</t>
  </si>
  <si>
    <t>0,3-0,4  L/km  Jim Groota et al. 2014,  for Utrecht</t>
  </si>
  <si>
    <t>km/routeroute</t>
  </si>
  <si>
    <t>Electricity, medium voltage {ES}| electricity voltage transformation from high to medium voltage | Alloc Def, U</t>
  </si>
  <si>
    <t>Sodium hydroxide, without water, in 50% solution state {RER}| chlor-alkali electrolysis, membrane cell | Alloc Def, U</t>
  </si>
  <si>
    <t>Hydrochloric acid, without water, in 30% solution state {RER}| hydrochloric acid production, from the reaction of hydrogen with chlorine | Alloc Def, U</t>
  </si>
  <si>
    <t>Ethylene glycol {RER}| production | Alloc Def, U</t>
  </si>
  <si>
    <t>Aluminium sulfate, without water, in 4.33% aluminium solution state {RoW}| production | Alloc Def, U</t>
  </si>
  <si>
    <t>Detergent (internal Database)</t>
  </si>
  <si>
    <t>Wastewater, average {CH}| treatment of, capacity 1.1E10l/year | Alloc Def, U</t>
  </si>
  <si>
    <t>Waste plastic, mixture {CH}| treatment of, sanitary landfill | Alloc Def, U</t>
  </si>
  <si>
    <r>
      <t xml:space="preserve">EFFECTIVENESS &amp; PURITY ALLOCATION - </t>
    </r>
    <r>
      <rPr>
        <b/>
        <sz val="14"/>
        <color theme="7" tint="0.39997558519241921"/>
        <rFont val="Calibri"/>
        <family val="2"/>
        <scheme val="minor"/>
      </rPr>
      <t>ALBA IULIA</t>
    </r>
  </si>
  <si>
    <t>Use of addtitives (l/ton)</t>
  </si>
  <si>
    <t>Pelletizing</t>
  </si>
  <si>
    <t>No</t>
  </si>
  <si>
    <t>Yes</t>
  </si>
  <si>
    <t>Water, tap Water {RER} | production</t>
  </si>
  <si>
    <t>Herbold Wash on PE Films</t>
  </si>
  <si>
    <t>Screw Press dewateriung Machine</t>
  </si>
  <si>
    <t>Adtivies</t>
  </si>
  <si>
    <t xml:space="preserve">Sodium hydroxide , Washing agent, Antifoam, Acid , Flocculant </t>
  </si>
  <si>
    <t>Debaler, Wet Grinder;  friction Washer;  - Compact Washing Line;  - Friction Washer; - Separation; ;  -Mechanical dryer;  - Blower</t>
  </si>
  <si>
    <t>Energy Consumption (kWh,a)</t>
  </si>
  <si>
    <t>Energy Consumption (kWh/ton,a)</t>
  </si>
  <si>
    <t> Alba Iulia Council</t>
  </si>
  <si>
    <t>Alba Iulia Council</t>
  </si>
  <si>
    <t>Alba Iulia Council </t>
  </si>
  <si>
    <t>Own assumption base on literature </t>
  </si>
  <si>
    <t> Own assumption</t>
  </si>
  <si>
    <t>EURO 4</t>
  </si>
  <si>
    <t>Rear Loader</t>
  </si>
  <si>
    <t xml:space="preserve">AXION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</si>
</sst>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00"/>
    <numFmt numFmtId="165" formatCode="0.000"/>
    <numFmt numFmtId="166" formatCode="#,##0.000"/>
    <numFmt numFmtId="167" formatCode="_-* #,##0.00\ _€_-;\-* #,##0.00\ _€_-;_-* &quot;-&quot;??\ _€_-;_-@_-"/>
    <numFmt numFmtId="169" formatCode="###0;###0"/>
    <numFmt numFmtId="170" formatCode="#,##0.0"/>
  </numFmts>
  <fonts count="4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1"/>
      <name val="Arial"/>
      <family val="2"/>
    </font>
    <font>
      <b/>
      <sz val="14"/>
      <color theme="1"/>
      <name val="Calibri"/>
      <family val="2"/>
    </font>
    <font>
      <b/>
      <i/>
      <sz val="11"/>
      <color theme="1"/>
      <name val="Calibri"/>
      <family val="2"/>
      <scheme val="minor"/>
    </font>
    <font>
      <u/>
      <sz val="11"/>
      <color theme="10"/>
      <name val="Calibri"/>
      <family val="2"/>
      <scheme val="minor"/>
    </font>
    <font>
      <b/>
      <sz val="11"/>
      <color rgb="FF00B050"/>
      <name val="Calibri"/>
      <family val="2"/>
      <scheme val="minor"/>
    </font>
    <font>
      <sz val="11"/>
      <color rgb="FF00B050"/>
      <name val="Calibri"/>
      <family val="2"/>
      <scheme val="minor"/>
    </font>
    <font>
      <sz val="8"/>
      <name val="Calibri"/>
      <family val="2"/>
      <scheme val="minor"/>
    </font>
    <font>
      <b/>
      <sz val="11"/>
      <color rgb="FFFF0000"/>
      <name val="Calibri"/>
      <family val="2"/>
      <scheme val="minor"/>
    </font>
    <font>
      <sz val="9"/>
      <color indexed="81"/>
      <name val="Tahoma"/>
      <family val="2"/>
    </font>
    <font>
      <b/>
      <sz val="9"/>
      <color indexed="81"/>
      <name val="Tahoma"/>
      <family val="2"/>
    </font>
    <font>
      <b/>
      <sz val="11"/>
      <color rgb="FF0070C0"/>
      <name val="Calibri"/>
      <family val="2"/>
      <scheme val="minor"/>
    </font>
    <font>
      <sz val="11"/>
      <color rgb="FF0070C0"/>
      <name val="Calibri"/>
      <family val="2"/>
      <scheme val="minor"/>
    </font>
    <font>
      <b/>
      <i/>
      <sz val="11"/>
      <color rgb="FF0070C0"/>
      <name val="Calibri"/>
      <family val="2"/>
      <scheme val="minor"/>
    </font>
    <font>
      <b/>
      <sz val="11"/>
      <name val="Calibri"/>
      <family val="2"/>
      <scheme val="minor"/>
    </font>
    <font>
      <b/>
      <sz val="14"/>
      <color theme="0"/>
      <name val="Calibri"/>
      <family val="2"/>
    </font>
    <font>
      <sz val="11"/>
      <color rgb="FFFF0000"/>
      <name val="Calibri"/>
      <family val="2"/>
    </font>
    <font>
      <i/>
      <sz val="11"/>
      <color theme="1"/>
      <name val="Calibri"/>
      <family val="2"/>
      <scheme val="minor"/>
    </font>
    <font>
      <b/>
      <sz val="14"/>
      <color theme="0"/>
      <name val="Calibri"/>
      <family val="2"/>
      <scheme val="minor"/>
    </font>
    <font>
      <sz val="11"/>
      <color rgb="FF00B0F0"/>
      <name val="Calibri"/>
      <family val="2"/>
      <scheme val="minor"/>
    </font>
    <font>
      <b/>
      <u/>
      <sz val="11"/>
      <color theme="1"/>
      <name val="Calibri"/>
      <family val="2"/>
      <scheme val="minor"/>
    </font>
    <font>
      <b/>
      <sz val="14"/>
      <color theme="7" tint="0.39997558519241921"/>
      <name val="Calibri"/>
      <family val="2"/>
      <scheme val="minor"/>
    </font>
    <font>
      <b/>
      <sz val="14"/>
      <color rgb="FF00B0F0"/>
      <name val="Calibri"/>
      <family val="2"/>
      <scheme val="minor"/>
    </font>
    <font>
      <sz val="11"/>
      <color theme="0"/>
      <name val="Calibri"/>
      <family val="2"/>
      <scheme val="minor"/>
    </font>
    <font>
      <b/>
      <sz val="11"/>
      <color theme="0"/>
      <name val="Calibri"/>
      <family val="2"/>
    </font>
    <font>
      <b/>
      <sz val="11"/>
      <color theme="0" tint="-0.499984740745262"/>
      <name val="Calibri"/>
      <family val="2"/>
      <scheme val="minor"/>
    </font>
    <font>
      <b/>
      <sz val="12"/>
      <color theme="0"/>
      <name val="Calibri"/>
      <family val="2"/>
      <scheme val="minor"/>
    </font>
    <font>
      <sz val="10"/>
      <color theme="1"/>
      <name val="Calibri"/>
      <family val="2"/>
      <scheme val="minor"/>
    </font>
    <font>
      <i/>
      <sz val="10"/>
      <color theme="1"/>
      <name val="Calibri"/>
      <family val="2"/>
      <scheme val="minor"/>
    </font>
    <font>
      <sz val="10"/>
      <color theme="1"/>
      <name val="Roboto"/>
    </font>
    <font>
      <b/>
      <i/>
      <sz val="11"/>
      <color rgb="FFFF0000"/>
      <name val="Calibri"/>
      <family val="2"/>
      <scheme val="minor"/>
    </font>
    <font>
      <sz val="9"/>
      <color indexed="8"/>
      <name val="Arial"/>
      <family val="2"/>
    </font>
    <font>
      <b/>
      <u val="double"/>
      <sz val="11"/>
      <color theme="1"/>
      <name val="Calibri"/>
      <family val="2"/>
      <scheme val="minor"/>
    </font>
    <font>
      <b/>
      <i/>
      <sz val="11"/>
      <name val="Calibri"/>
      <family val="2"/>
      <scheme val="minor"/>
    </font>
    <font>
      <sz val="11"/>
      <name val="Calibri"/>
      <family val="2"/>
      <scheme val="minor"/>
    </font>
    <font>
      <b/>
      <u val="double"/>
      <sz val="11"/>
      <name val="Calibri"/>
      <family val="2"/>
      <scheme val="minor"/>
    </font>
  </fonts>
  <fills count="20">
    <fill>
      <patternFill patternType="none"/>
    </fill>
    <fill>
      <patternFill patternType="gray125"/>
    </fill>
    <fill>
      <patternFill patternType="solid">
        <fgColor theme="9" tint="0.59999389629810485"/>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rgb="FFEFF6EA"/>
        <bgColor indexed="64"/>
      </patternFill>
    </fill>
    <fill>
      <patternFill patternType="solid">
        <fgColor theme="9" tint="-0.249977111117893"/>
        <bgColor indexed="64"/>
      </patternFill>
    </fill>
    <fill>
      <patternFill patternType="solid">
        <fgColor theme="9" tint="-0.249977111117893"/>
        <bgColor rgb="FFA8D08D"/>
      </patternFill>
    </fill>
    <fill>
      <patternFill patternType="solid">
        <fgColor theme="9" tint="0.39997558519241921"/>
        <bgColor indexed="64"/>
      </patternFill>
    </fill>
    <fill>
      <patternFill patternType="solid">
        <fgColor rgb="FFFF0000"/>
        <bgColor indexed="64"/>
      </patternFill>
    </fill>
    <fill>
      <patternFill patternType="solid">
        <fgColor theme="7" tint="-0.249977111117893"/>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9" tint="-0.499984740745262"/>
        <bgColor indexed="64"/>
      </patternFill>
    </fill>
    <fill>
      <patternFill patternType="solid">
        <fgColor rgb="FFFFC000"/>
        <bgColor indexed="64"/>
      </patternFill>
    </fill>
    <fill>
      <patternFill patternType="solid">
        <fgColor theme="8" tint="-0.249977111117893"/>
        <bgColor indexed="64"/>
      </patternFill>
    </fill>
  </fills>
  <borders count="50">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thin">
        <color theme="4" tint="0.39997558519241921"/>
      </bottom>
      <diagonal/>
    </border>
    <border>
      <left style="medium">
        <color indexed="64"/>
      </left>
      <right style="medium">
        <color indexed="64"/>
      </right>
      <top/>
      <bottom style="thin">
        <color theme="4" tint="0.39997558519241921"/>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0" fontId="8" fillId="0" borderId="0" applyNumberFormat="0" applyFill="0" applyBorder="0" applyAlignment="0" applyProtection="0"/>
  </cellStyleXfs>
  <cellXfs count="539">
    <xf numFmtId="0" fontId="0" fillId="0" borderId="0" xfId="0"/>
    <xf numFmtId="0" fontId="6" fillId="10" borderId="4" xfId="3" applyFont="1" applyFill="1" applyBorder="1" applyAlignment="1">
      <alignment vertical="center"/>
    </xf>
    <xf numFmtId="0" fontId="6" fillId="10" borderId="10" xfId="3" applyFont="1" applyFill="1" applyBorder="1" applyAlignment="1">
      <alignment vertical="center"/>
    </xf>
    <xf numFmtId="0" fontId="4" fillId="3" borderId="10" xfId="0" applyFont="1" applyFill="1" applyBorder="1"/>
    <xf numFmtId="0" fontId="4" fillId="4" borderId="10" xfId="0" applyFont="1" applyFill="1" applyBorder="1"/>
    <xf numFmtId="0" fontId="4" fillId="9" borderId="1" xfId="0" applyFont="1" applyFill="1" applyBorder="1"/>
    <xf numFmtId="0" fontId="4" fillId="11" borderId="2" xfId="0" applyFont="1" applyFill="1" applyBorder="1"/>
    <xf numFmtId="0" fontId="4" fillId="11" borderId="0" xfId="0" applyFont="1" applyFill="1" applyBorder="1"/>
    <xf numFmtId="0" fontId="4" fillId="3" borderId="0" xfId="0" applyFont="1" applyFill="1" applyBorder="1"/>
    <xf numFmtId="0" fontId="4" fillId="4" borderId="0" xfId="0" applyFont="1" applyFill="1" applyBorder="1"/>
    <xf numFmtId="0" fontId="4" fillId="0" borderId="2" xfId="0" applyFont="1" applyBorder="1"/>
    <xf numFmtId="0" fontId="0" fillId="0" borderId="0" xfId="0" applyBorder="1"/>
    <xf numFmtId="0" fontId="0" fillId="4" borderId="0" xfId="0" applyFill="1" applyBorder="1"/>
    <xf numFmtId="0" fontId="0" fillId="5" borderId="0" xfId="0" applyFill="1" applyBorder="1"/>
    <xf numFmtId="0" fontId="4" fillId="0" borderId="6" xfId="0" applyFont="1" applyBorder="1"/>
    <xf numFmtId="0" fontId="0" fillId="0" borderId="7" xfId="0" applyBorder="1"/>
    <xf numFmtId="0" fontId="0" fillId="4" borderId="7" xfId="0" applyFill="1" applyBorder="1"/>
    <xf numFmtId="0" fontId="0" fillId="5" borderId="7" xfId="0" applyFill="1" applyBorder="1"/>
    <xf numFmtId="0" fontId="4" fillId="9" borderId="4" xfId="0" applyFont="1" applyFill="1" applyBorder="1"/>
    <xf numFmtId="0" fontId="4" fillId="9" borderId="5" xfId="0" applyFont="1" applyFill="1" applyBorder="1"/>
    <xf numFmtId="0" fontId="0" fillId="4" borderId="12" xfId="0" applyFill="1" applyBorder="1"/>
    <xf numFmtId="0" fontId="7" fillId="0" borderId="2" xfId="0" applyFont="1" applyBorder="1"/>
    <xf numFmtId="0" fontId="0" fillId="5" borderId="0" xfId="0" quotePrefix="1" applyFill="1" applyBorder="1" applyAlignment="1">
      <alignment horizontal="center"/>
    </xf>
    <xf numFmtId="0" fontId="7" fillId="0" borderId="6" xfId="0" applyFont="1" applyBorder="1"/>
    <xf numFmtId="0" fontId="0" fillId="4" borderId="8" xfId="0" applyFill="1" applyBorder="1"/>
    <xf numFmtId="0" fontId="4" fillId="3" borderId="9" xfId="0" applyFont="1" applyFill="1" applyBorder="1"/>
    <xf numFmtId="0" fontId="4" fillId="3" borderId="11" xfId="0" applyFont="1" applyFill="1" applyBorder="1"/>
    <xf numFmtId="0" fontId="4" fillId="3" borderId="12" xfId="0" applyFont="1" applyFill="1" applyBorder="1"/>
    <xf numFmtId="0" fontId="4" fillId="11" borderId="12" xfId="0" applyFont="1" applyFill="1" applyBorder="1"/>
    <xf numFmtId="0" fontId="4" fillId="8" borderId="2" xfId="0" applyFont="1" applyFill="1" applyBorder="1"/>
    <xf numFmtId="0" fontId="4" fillId="8" borderId="12" xfId="0" applyFont="1" applyFill="1" applyBorder="1"/>
    <xf numFmtId="0" fontId="4" fillId="0" borderId="0" xfId="0" applyFont="1" applyBorder="1"/>
    <xf numFmtId="0" fontId="4" fillId="8" borderId="0" xfId="0" applyFont="1" applyFill="1" applyBorder="1"/>
    <xf numFmtId="0" fontId="0" fillId="8" borderId="0" xfId="0" applyFont="1" applyFill="1" applyBorder="1"/>
    <xf numFmtId="0" fontId="8" fillId="8" borderId="0" xfId="4" applyFill="1" applyBorder="1"/>
    <xf numFmtId="0" fontId="9" fillId="8" borderId="0" xfId="0" applyFont="1" applyFill="1" applyBorder="1"/>
    <xf numFmtId="0" fontId="10" fillId="4" borderId="0" xfId="0" applyFont="1" applyFill="1" applyBorder="1"/>
    <xf numFmtId="0" fontId="4" fillId="11" borderId="0" xfId="0" quotePrefix="1" applyFont="1" applyFill="1" applyBorder="1"/>
    <xf numFmtId="2" fontId="0" fillId="5" borderId="0" xfId="0" applyNumberFormat="1" applyFill="1" applyBorder="1"/>
    <xf numFmtId="0" fontId="7" fillId="8" borderId="2" xfId="0" applyFont="1" applyFill="1" applyBorder="1"/>
    <xf numFmtId="0" fontId="0" fillId="0" borderId="2" xfId="0" applyBorder="1"/>
    <xf numFmtId="0" fontId="0" fillId="0" borderId="6" xfId="0" applyBorder="1"/>
    <xf numFmtId="0" fontId="0" fillId="0" borderId="8" xfId="0" applyBorder="1"/>
    <xf numFmtId="2" fontId="10" fillId="4" borderId="7" xfId="0" applyNumberFormat="1" applyFont="1" applyFill="1" applyBorder="1"/>
    <xf numFmtId="43" fontId="0" fillId="5" borderId="0" xfId="1" applyFont="1" applyFill="1" applyBorder="1"/>
    <xf numFmtId="43" fontId="0" fillId="4" borderId="0" xfId="1" applyFont="1" applyFill="1" applyBorder="1"/>
    <xf numFmtId="10" fontId="0" fillId="4" borderId="0" xfId="2" applyNumberFormat="1" applyFont="1" applyFill="1" applyBorder="1"/>
    <xf numFmtId="10" fontId="0" fillId="4" borderId="7" xfId="2" applyNumberFormat="1" applyFont="1" applyFill="1" applyBorder="1"/>
    <xf numFmtId="10" fontId="10" fillId="4" borderId="0" xfId="2" applyNumberFormat="1" applyFont="1" applyFill="1" applyBorder="1"/>
    <xf numFmtId="0" fontId="7" fillId="6" borderId="2" xfId="0" applyFont="1" applyFill="1" applyBorder="1"/>
    <xf numFmtId="0" fontId="0" fillId="6" borderId="0" xfId="0" applyFill="1" applyBorder="1"/>
    <xf numFmtId="10" fontId="4" fillId="11" borderId="0" xfId="2" applyNumberFormat="1" applyFont="1" applyFill="1" applyBorder="1"/>
    <xf numFmtId="10" fontId="1" fillId="4" borderId="0" xfId="2" applyNumberFormat="1" applyFont="1" applyFill="1" applyBorder="1"/>
    <xf numFmtId="10" fontId="4" fillId="6" borderId="0" xfId="2" applyNumberFormat="1" applyFont="1" applyFill="1" applyBorder="1"/>
    <xf numFmtId="10" fontId="9" fillId="6" borderId="0" xfId="2" applyNumberFormat="1" applyFont="1" applyFill="1" applyBorder="1"/>
    <xf numFmtId="10" fontId="4" fillId="6" borderId="0" xfId="2" quotePrefix="1" applyNumberFormat="1" applyFont="1" applyFill="1" applyBorder="1" applyAlignment="1">
      <alignment horizontal="center"/>
    </xf>
    <xf numFmtId="10" fontId="4" fillId="6" borderId="0" xfId="2" quotePrefix="1" applyNumberFormat="1" applyFont="1" applyFill="1" applyBorder="1" applyAlignment="1">
      <alignment horizontal="right" vertical="center"/>
    </xf>
    <xf numFmtId="10" fontId="9" fillId="6" borderId="0" xfId="2" quotePrefix="1" applyNumberFormat="1" applyFont="1" applyFill="1" applyBorder="1" applyAlignment="1">
      <alignment horizontal="right" vertical="center"/>
    </xf>
    <xf numFmtId="0" fontId="0" fillId="6" borderId="12" xfId="0" applyFill="1" applyBorder="1"/>
    <xf numFmtId="10" fontId="0" fillId="5" borderId="0" xfId="2" quotePrefix="1" applyNumberFormat="1" applyFont="1" applyFill="1" applyBorder="1" applyAlignment="1">
      <alignment horizontal="center"/>
    </xf>
    <xf numFmtId="10" fontId="0" fillId="5" borderId="7" xfId="2" quotePrefix="1" applyNumberFormat="1" applyFont="1" applyFill="1" applyBorder="1" applyAlignment="1">
      <alignment horizontal="center"/>
    </xf>
    <xf numFmtId="0" fontId="0" fillId="5" borderId="0" xfId="0" quotePrefix="1" applyFill="1" applyBorder="1"/>
    <xf numFmtId="2" fontId="12" fillId="8" borderId="0" xfId="0" applyNumberFormat="1" applyFont="1" applyFill="1" applyBorder="1"/>
    <xf numFmtId="2" fontId="3" fillId="4" borderId="0" xfId="0" applyNumberFormat="1" applyFont="1" applyFill="1" applyBorder="1"/>
    <xf numFmtId="0" fontId="0" fillId="4" borderId="0" xfId="0" applyFill="1" applyBorder="1" applyAlignment="1">
      <alignment horizontal="right"/>
    </xf>
    <xf numFmtId="165" fontId="4" fillId="11" borderId="0" xfId="0" applyNumberFormat="1" applyFont="1" applyFill="1" applyBorder="1"/>
    <xf numFmtId="2" fontId="4" fillId="11" borderId="0" xfId="0" applyNumberFormat="1" applyFont="1" applyFill="1" applyBorder="1"/>
    <xf numFmtId="0" fontId="0" fillId="0" borderId="0" xfId="0" applyFill="1" applyBorder="1"/>
    <xf numFmtId="0" fontId="4" fillId="11" borderId="0" xfId="0" quotePrefix="1" applyFont="1" applyFill="1" applyBorder="1" applyAlignment="1">
      <alignment horizontal="right"/>
    </xf>
    <xf numFmtId="0" fontId="0" fillId="4" borderId="0" xfId="0" quotePrefix="1" applyFill="1" applyBorder="1" applyAlignment="1">
      <alignment horizontal="right"/>
    </xf>
    <xf numFmtId="0" fontId="4" fillId="8" borderId="0" xfId="0" quotePrefix="1" applyFont="1" applyFill="1" applyBorder="1" applyAlignment="1">
      <alignment horizontal="right"/>
    </xf>
    <xf numFmtId="0" fontId="0" fillId="5" borderId="0" xfId="0" quotePrefix="1" applyFill="1" applyBorder="1" applyAlignment="1">
      <alignment horizontal="right"/>
    </xf>
    <xf numFmtId="0" fontId="8" fillId="8" borderId="0" xfId="4" applyFill="1" applyBorder="1" applyAlignment="1">
      <alignment horizontal="right"/>
    </xf>
    <xf numFmtId="43" fontId="0" fillId="4" borderId="0" xfId="1" applyFont="1" applyFill="1" applyBorder="1" applyAlignment="1">
      <alignment horizontal="right"/>
    </xf>
    <xf numFmtId="43" fontId="0" fillId="5" borderId="0" xfId="1" quotePrefix="1" applyFont="1" applyFill="1" applyBorder="1" applyAlignment="1">
      <alignment horizontal="center"/>
    </xf>
    <xf numFmtId="0" fontId="4" fillId="11" borderId="0" xfId="0" quotePrefix="1" applyFont="1" applyFill="1" applyBorder="1" applyAlignment="1">
      <alignment horizontal="center"/>
    </xf>
    <xf numFmtId="0" fontId="0" fillId="0" borderId="0" xfId="0" quotePrefix="1" applyFill="1" applyBorder="1"/>
    <xf numFmtId="0" fontId="8" fillId="11" borderId="0" xfId="4" applyFill="1" applyBorder="1"/>
    <xf numFmtId="0" fontId="3" fillId="4" borderId="0" xfId="0" applyFont="1" applyFill="1" applyBorder="1" applyAlignment="1">
      <alignment horizontal="right"/>
    </xf>
    <xf numFmtId="0" fontId="15" fillId="0" borderId="2" xfId="0" applyFont="1" applyBorder="1"/>
    <xf numFmtId="0" fontId="16" fillId="0" borderId="0" xfId="0" applyFont="1" applyBorder="1"/>
    <xf numFmtId="0" fontId="17" fillId="11" borderId="2" xfId="0" applyFont="1" applyFill="1" applyBorder="1"/>
    <xf numFmtId="0" fontId="15" fillId="11" borderId="0" xfId="0" applyFont="1" applyFill="1" applyBorder="1"/>
    <xf numFmtId="2" fontId="18" fillId="11" borderId="0" xfId="0" applyNumberFormat="1" applyFont="1" applyFill="1" applyBorder="1"/>
    <xf numFmtId="0" fontId="17" fillId="11" borderId="1" xfId="0" applyFont="1" applyFill="1" applyBorder="1"/>
    <xf numFmtId="0" fontId="15" fillId="11" borderId="4" xfId="0" applyFont="1" applyFill="1" applyBorder="1"/>
    <xf numFmtId="0" fontId="4" fillId="11" borderId="4" xfId="0" applyFont="1" applyFill="1" applyBorder="1"/>
    <xf numFmtId="0" fontId="4" fillId="11" borderId="5" xfId="0" applyFont="1" applyFill="1" applyBorder="1"/>
    <xf numFmtId="0" fontId="17" fillId="11" borderId="6" xfId="0" applyFont="1" applyFill="1" applyBorder="1"/>
    <xf numFmtId="0" fontId="15" fillId="11" borderId="7" xfId="0" applyFont="1" applyFill="1" applyBorder="1"/>
    <xf numFmtId="2" fontId="18" fillId="11" borderId="7" xfId="0" applyNumberFormat="1" applyFont="1" applyFill="1" applyBorder="1"/>
    <xf numFmtId="0" fontId="4" fillId="11" borderId="7" xfId="0" applyFont="1" applyFill="1" applyBorder="1"/>
    <xf numFmtId="0" fontId="4" fillId="11" borderId="8" xfId="0" applyFont="1" applyFill="1" applyBorder="1"/>
    <xf numFmtId="0" fontId="15" fillId="11" borderId="2" xfId="0" applyFont="1" applyFill="1" applyBorder="1"/>
    <xf numFmtId="165" fontId="12" fillId="11" borderId="0" xfId="0" applyNumberFormat="1" applyFont="1" applyFill="1" applyBorder="1"/>
    <xf numFmtId="2" fontId="0" fillId="5" borderId="0" xfId="0" quotePrefix="1" applyNumberFormat="1" applyFill="1" applyBorder="1"/>
    <xf numFmtId="0" fontId="0" fillId="12" borderId="0" xfId="0" applyFill="1" applyBorder="1"/>
    <xf numFmtId="0" fontId="4" fillId="14" borderId="0" xfId="0" applyFont="1" applyFill="1" applyBorder="1"/>
    <xf numFmtId="0" fontId="0" fillId="0" borderId="12" xfId="0" applyBorder="1"/>
    <xf numFmtId="0" fontId="4" fillId="14" borderId="9" xfId="0" applyFont="1" applyFill="1" applyBorder="1" applyAlignment="1">
      <alignment horizontal="center"/>
    </xf>
    <xf numFmtId="0" fontId="4" fillId="14" borderId="10" xfId="0" applyFont="1" applyFill="1" applyBorder="1" applyAlignment="1">
      <alignment horizontal="center"/>
    </xf>
    <xf numFmtId="0" fontId="4" fillId="14" borderId="11" xfId="0" applyFont="1" applyFill="1" applyBorder="1" applyAlignment="1">
      <alignment horizontal="center"/>
    </xf>
    <xf numFmtId="0" fontId="0" fillId="16" borderId="19" xfId="0" applyFill="1" applyBorder="1"/>
    <xf numFmtId="0" fontId="0" fillId="16" borderId="20" xfId="0" applyFill="1" applyBorder="1"/>
    <xf numFmtId="0" fontId="0" fillId="16" borderId="21" xfId="0" applyFill="1" applyBorder="1"/>
    <xf numFmtId="0" fontId="0" fillId="16" borderId="22" xfId="0" applyFill="1" applyBorder="1"/>
    <xf numFmtId="0" fontId="0" fillId="16" borderId="23" xfId="0" applyFill="1" applyBorder="1"/>
    <xf numFmtId="0" fontId="0" fillId="16" borderId="24" xfId="0" applyFill="1" applyBorder="1"/>
    <xf numFmtId="0" fontId="0" fillId="9" borderId="16" xfId="0" applyFill="1" applyBorder="1"/>
    <xf numFmtId="0" fontId="0" fillId="9" borderId="17" xfId="0" applyFill="1" applyBorder="1"/>
    <xf numFmtId="0" fontId="0" fillId="9" borderId="18" xfId="0" applyFill="1" applyBorder="1"/>
    <xf numFmtId="0" fontId="0" fillId="11" borderId="19" xfId="0" applyFill="1" applyBorder="1"/>
    <xf numFmtId="0" fontId="0" fillId="11" borderId="20" xfId="0" applyFill="1" applyBorder="1"/>
    <xf numFmtId="0" fontId="0" fillId="11" borderId="21" xfId="0" applyFill="1" applyBorder="1"/>
    <xf numFmtId="0" fontId="0" fillId="6" borderId="19" xfId="0" applyFill="1" applyBorder="1"/>
    <xf numFmtId="0" fontId="0" fillId="6" borderId="20" xfId="0" applyFill="1" applyBorder="1"/>
    <xf numFmtId="0" fontId="0" fillId="6" borderId="21" xfId="0" applyFill="1" applyBorder="1"/>
    <xf numFmtId="0" fontId="4" fillId="11" borderId="9" xfId="0" applyFont="1" applyFill="1" applyBorder="1"/>
    <xf numFmtId="0" fontId="4" fillId="11" borderId="10" xfId="0" applyFont="1" applyFill="1" applyBorder="1"/>
    <xf numFmtId="0" fontId="4" fillId="11" borderId="11" xfId="0" applyFont="1" applyFill="1" applyBorder="1"/>
    <xf numFmtId="0" fontId="4" fillId="0" borderId="25" xfId="0" applyFont="1" applyBorder="1" applyAlignment="1">
      <alignment horizontal="left"/>
    </xf>
    <xf numFmtId="0" fontId="4" fillId="0" borderId="26" xfId="0" applyFont="1" applyBorder="1" applyAlignment="1">
      <alignment horizontal="left"/>
    </xf>
    <xf numFmtId="0" fontId="4" fillId="11" borderId="1" xfId="0" applyFont="1" applyFill="1" applyBorder="1"/>
    <xf numFmtId="0" fontId="4" fillId="11" borderId="1" xfId="0" applyFont="1" applyFill="1" applyBorder="1" applyAlignment="1">
      <alignment wrapText="1"/>
    </xf>
    <xf numFmtId="0" fontId="4" fillId="0" borderId="1" xfId="0" applyFont="1" applyBorder="1"/>
    <xf numFmtId="0" fontId="4" fillId="0" borderId="4" xfId="0" applyFont="1" applyBorder="1"/>
    <xf numFmtId="0" fontId="4" fillId="0" borderId="5" xfId="0" applyFont="1" applyBorder="1"/>
    <xf numFmtId="0" fontId="4" fillId="0" borderId="12" xfId="0" applyFont="1" applyBorder="1"/>
    <xf numFmtId="0" fontId="4" fillId="0" borderId="7" xfId="0" applyFont="1" applyBorder="1"/>
    <xf numFmtId="0" fontId="4" fillId="0" borderId="8" xfId="0" applyFont="1" applyBorder="1"/>
    <xf numFmtId="0" fontId="4" fillId="0" borderId="15" xfId="0" applyFont="1" applyBorder="1" applyAlignment="1">
      <alignment horizontal="left"/>
    </xf>
    <xf numFmtId="0" fontId="4" fillId="0" borderId="13" xfId="0" applyFont="1" applyBorder="1" applyAlignment="1">
      <alignment horizontal="left"/>
    </xf>
    <xf numFmtId="0" fontId="0" fillId="9" borderId="19" xfId="0" applyFill="1" applyBorder="1"/>
    <xf numFmtId="0" fontId="0" fillId="9" borderId="20" xfId="0" applyFill="1" applyBorder="1"/>
    <xf numFmtId="0" fontId="0" fillId="9" borderId="21" xfId="0" applyFill="1" applyBorder="1"/>
    <xf numFmtId="10" fontId="0" fillId="0" borderId="0" xfId="0" applyNumberFormat="1"/>
    <xf numFmtId="0" fontId="4" fillId="14" borderId="4" xfId="0" applyFont="1" applyFill="1" applyBorder="1"/>
    <xf numFmtId="0" fontId="0" fillId="6" borderId="0" xfId="0" applyFill="1" applyBorder="1" applyAlignment="1">
      <alignment horizontal="right"/>
    </xf>
    <xf numFmtId="0" fontId="0" fillId="0" borderId="0" xfId="0" applyBorder="1" applyAlignment="1">
      <alignment horizontal="right"/>
    </xf>
    <xf numFmtId="10" fontId="4" fillId="11" borderId="9" xfId="2" applyNumberFormat="1" applyFont="1" applyFill="1" applyBorder="1"/>
    <xf numFmtId="10" fontId="4" fillId="6" borderId="2" xfId="2" applyNumberFormat="1" applyFont="1" applyFill="1" applyBorder="1"/>
    <xf numFmtId="10" fontId="0" fillId="4" borderId="2" xfId="2" applyNumberFormat="1" applyFont="1" applyFill="1" applyBorder="1"/>
    <xf numFmtId="10" fontId="1" fillId="4" borderId="2" xfId="2" applyNumberFormat="1" applyFont="1" applyFill="1" applyBorder="1"/>
    <xf numFmtId="10" fontId="4" fillId="6" borderId="2" xfId="2" quotePrefix="1" applyNumberFormat="1" applyFont="1" applyFill="1" applyBorder="1" applyAlignment="1">
      <alignment horizontal="right" vertical="center"/>
    </xf>
    <xf numFmtId="0" fontId="0" fillId="6" borderId="2" xfId="0" applyFill="1" applyBorder="1"/>
    <xf numFmtId="0" fontId="4" fillId="15" borderId="14" xfId="0" applyFont="1" applyFill="1" applyBorder="1" applyAlignment="1">
      <alignment horizontal="center"/>
    </xf>
    <xf numFmtId="0" fontId="0" fillId="6" borderId="13" xfId="0" applyFill="1" applyBorder="1"/>
    <xf numFmtId="0" fontId="4" fillId="11" borderId="1" xfId="0" applyFont="1" applyFill="1" applyBorder="1" applyAlignment="1">
      <alignment horizontal="center"/>
    </xf>
    <xf numFmtId="0" fontId="4" fillId="11" borderId="4"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2" borderId="1" xfId="0" applyFont="1" applyFill="1" applyBorder="1" applyAlignment="1">
      <alignment horizontal="center"/>
    </xf>
    <xf numFmtId="0" fontId="4" fillId="2" borderId="4" xfId="0" applyFont="1" applyFill="1" applyBorder="1" applyAlignment="1">
      <alignment horizontal="center"/>
    </xf>
    <xf numFmtId="0" fontId="4" fillId="4" borderId="9" xfId="0" applyFont="1" applyFill="1" applyBorder="1" applyAlignment="1">
      <alignment horizontal="center"/>
    </xf>
    <xf numFmtId="0" fontId="4" fillId="4" borderId="10" xfId="0" applyFont="1" applyFill="1" applyBorder="1" applyAlignment="1">
      <alignment horizontal="center"/>
    </xf>
    <xf numFmtId="0" fontId="3" fillId="6" borderId="0" xfId="0" applyFont="1" applyFill="1" applyBorder="1"/>
    <xf numFmtId="0" fontId="0" fillId="6" borderId="0" xfId="0" quotePrefix="1" applyFill="1" applyBorder="1"/>
    <xf numFmtId="0" fontId="8" fillId="0" borderId="0" xfId="4"/>
    <xf numFmtId="3" fontId="4" fillId="2" borderId="1" xfId="0" applyNumberFormat="1" applyFont="1" applyFill="1" applyBorder="1" applyAlignment="1">
      <alignment horizontal="center"/>
    </xf>
    <xf numFmtId="0" fontId="12" fillId="4" borderId="9" xfId="0" applyFont="1" applyFill="1" applyBorder="1" applyAlignment="1">
      <alignment horizontal="center"/>
    </xf>
    <xf numFmtId="3" fontId="4" fillId="4" borderId="9" xfId="0" applyNumberFormat="1" applyFont="1" applyFill="1" applyBorder="1" applyAlignment="1">
      <alignment horizontal="center"/>
    </xf>
    <xf numFmtId="0" fontId="4" fillId="15" borderId="9" xfId="0" applyFont="1" applyFill="1" applyBorder="1" applyAlignment="1">
      <alignment horizontal="center"/>
    </xf>
    <xf numFmtId="0" fontId="4" fillId="15" borderId="10" xfId="0" applyFont="1" applyFill="1" applyBorder="1" applyAlignment="1">
      <alignment horizontal="center"/>
    </xf>
    <xf numFmtId="3" fontId="4" fillId="14" borderId="9" xfId="0" applyNumberFormat="1" applyFont="1" applyFill="1" applyBorder="1" applyAlignment="1">
      <alignment horizontal="center"/>
    </xf>
    <xf numFmtId="0" fontId="12" fillId="14" borderId="9" xfId="0" applyFont="1" applyFill="1" applyBorder="1" applyAlignment="1">
      <alignment horizontal="center"/>
    </xf>
    <xf numFmtId="0" fontId="4" fillId="4" borderId="11" xfId="0" applyFont="1" applyFill="1" applyBorder="1" applyAlignment="1">
      <alignment horizontal="center"/>
    </xf>
    <xf numFmtId="0" fontId="19" fillId="10" borderId="9" xfId="3" applyFont="1" applyFill="1" applyBorder="1" applyAlignment="1">
      <alignment vertical="center"/>
    </xf>
    <xf numFmtId="0" fontId="2" fillId="9" borderId="9" xfId="0" applyFont="1" applyFill="1" applyBorder="1"/>
    <xf numFmtId="0" fontId="18" fillId="14" borderId="9" xfId="0" applyFont="1" applyFill="1" applyBorder="1" applyAlignment="1">
      <alignment horizontal="center"/>
    </xf>
    <xf numFmtId="0" fontId="18" fillId="4" borderId="9" xfId="0" applyFont="1" applyFill="1" applyBorder="1" applyAlignment="1">
      <alignment horizontal="center"/>
    </xf>
    <xf numFmtId="9" fontId="4" fillId="2" borderId="1" xfId="0" applyNumberFormat="1" applyFont="1" applyFill="1" applyBorder="1" applyAlignment="1">
      <alignment horizontal="center"/>
    </xf>
    <xf numFmtId="0" fontId="2" fillId="9" borderId="9" xfId="0" applyFont="1" applyFill="1" applyBorder="1" applyAlignment="1">
      <alignment wrapText="1"/>
    </xf>
    <xf numFmtId="0" fontId="4" fillId="6" borderId="4" xfId="0" applyFont="1" applyFill="1" applyBorder="1" applyAlignment="1">
      <alignment horizontal="center"/>
    </xf>
    <xf numFmtId="0" fontId="4" fillId="16" borderId="10" xfId="0" applyFont="1" applyFill="1" applyBorder="1" applyAlignment="1">
      <alignment horizontal="center"/>
    </xf>
    <xf numFmtId="0" fontId="4" fillId="5" borderId="11" xfId="0" applyFont="1" applyFill="1" applyBorder="1" applyAlignment="1">
      <alignment horizontal="center"/>
    </xf>
    <xf numFmtId="0" fontId="4" fillId="0" borderId="0" xfId="0" applyFont="1" applyFill="1" applyBorder="1" applyAlignment="1">
      <alignment horizontal="left"/>
    </xf>
    <xf numFmtId="0" fontId="12" fillId="0" borderId="0" xfId="0" applyFont="1" applyBorder="1"/>
    <xf numFmtId="0" fontId="4" fillId="0" borderId="3" xfId="0" applyFont="1" applyFill="1" applyBorder="1" applyAlignment="1">
      <alignment horizontal="left"/>
    </xf>
    <xf numFmtId="0" fontId="0" fillId="0" borderId="10" xfId="0" applyBorder="1"/>
    <xf numFmtId="0" fontId="0" fillId="0" borderId="11" xfId="0" applyBorder="1"/>
    <xf numFmtId="2" fontId="4" fillId="2" borderId="1" xfId="0" applyNumberFormat="1" applyFont="1" applyFill="1" applyBorder="1" applyAlignment="1">
      <alignment horizontal="center"/>
    </xf>
    <xf numFmtId="0" fontId="0" fillId="2" borderId="4" xfId="0" applyFont="1" applyFill="1" applyBorder="1" applyAlignment="1">
      <alignment horizontal="center"/>
    </xf>
    <xf numFmtId="0" fontId="4" fillId="0" borderId="14" xfId="0" applyFont="1" applyBorder="1" applyAlignment="1">
      <alignment horizontal="left"/>
    </xf>
    <xf numFmtId="0" fontId="4" fillId="15" borderId="1" xfId="0" applyFont="1" applyFill="1" applyBorder="1"/>
    <xf numFmtId="0" fontId="4" fillId="15" borderId="1" xfId="0" applyFont="1" applyFill="1" applyBorder="1" applyAlignment="1">
      <alignment wrapText="1"/>
    </xf>
    <xf numFmtId="0" fontId="0" fillId="0" borderId="9" xfId="0" applyBorder="1"/>
    <xf numFmtId="0" fontId="0" fillId="0" borderId="1" xfId="0" applyBorder="1"/>
    <xf numFmtId="0" fontId="0" fillId="0" borderId="4" xfId="0" applyBorder="1"/>
    <xf numFmtId="0" fontId="0" fillId="0" borderId="5" xfId="0" applyBorder="1"/>
    <xf numFmtId="0" fontId="3" fillId="0" borderId="0" xfId="0" applyFont="1" applyBorder="1"/>
    <xf numFmtId="10" fontId="0" fillId="4" borderId="6" xfId="2" quotePrefix="1" applyNumberFormat="1" applyFont="1" applyFill="1" applyBorder="1"/>
    <xf numFmtId="2" fontId="10" fillId="4" borderId="7" xfId="0" quotePrefix="1" applyNumberFormat="1" applyFont="1" applyFill="1" applyBorder="1"/>
    <xf numFmtId="0" fontId="0" fillId="4" borderId="7" xfId="0" quotePrefix="1" applyFill="1" applyBorder="1"/>
    <xf numFmtId="0" fontId="2" fillId="9" borderId="1" xfId="0" applyFont="1" applyFill="1" applyBorder="1"/>
    <xf numFmtId="0" fontId="4" fillId="2" borderId="2" xfId="0" applyFont="1" applyFill="1" applyBorder="1"/>
    <xf numFmtId="0" fontId="21" fillId="6" borderId="2" xfId="0" applyFont="1" applyFill="1" applyBorder="1"/>
    <xf numFmtId="9" fontId="0" fillId="0" borderId="12" xfId="0" applyNumberFormat="1" applyBorder="1"/>
    <xf numFmtId="9" fontId="0" fillId="0" borderId="8" xfId="0" applyNumberFormat="1" applyBorder="1"/>
    <xf numFmtId="0" fontId="2" fillId="17" borderId="10" xfId="0" applyFont="1" applyFill="1" applyBorder="1"/>
    <xf numFmtId="0" fontId="2" fillId="17" borderId="11" xfId="0" applyFont="1" applyFill="1" applyBorder="1"/>
    <xf numFmtId="0" fontId="0" fillId="9" borderId="11" xfId="0" applyFill="1" applyBorder="1"/>
    <xf numFmtId="0" fontId="21" fillId="6" borderId="6" xfId="0" applyFont="1" applyFill="1" applyBorder="1"/>
    <xf numFmtId="0" fontId="0" fillId="0" borderId="5" xfId="0" quotePrefix="1" applyBorder="1"/>
    <xf numFmtId="9" fontId="0" fillId="0" borderId="12" xfId="0" applyNumberFormat="1" applyBorder="1" applyAlignment="1">
      <alignment horizontal="left"/>
    </xf>
    <xf numFmtId="9" fontId="0" fillId="0" borderId="0" xfId="0" applyNumberFormat="1" applyBorder="1"/>
    <xf numFmtId="0" fontId="0" fillId="9" borderId="5" xfId="0" applyFill="1" applyBorder="1"/>
    <xf numFmtId="0" fontId="0" fillId="0" borderId="3" xfId="0" applyBorder="1"/>
    <xf numFmtId="9" fontId="0" fillId="0" borderId="3" xfId="2" applyFont="1" applyBorder="1"/>
    <xf numFmtId="10" fontId="9" fillId="6" borderId="12" xfId="2" applyNumberFormat="1" applyFont="1" applyFill="1" applyBorder="1"/>
    <xf numFmtId="10" fontId="10" fillId="4" borderId="12" xfId="2" applyNumberFormat="1" applyFont="1" applyFill="1" applyBorder="1"/>
    <xf numFmtId="10" fontId="9" fillId="6" borderId="12" xfId="2" quotePrefix="1" applyNumberFormat="1" applyFont="1" applyFill="1" applyBorder="1" applyAlignment="1">
      <alignment horizontal="right" vertical="center"/>
    </xf>
    <xf numFmtId="0" fontId="4" fillId="4" borderId="7" xfId="0" quotePrefix="1" applyFont="1" applyFill="1" applyBorder="1"/>
    <xf numFmtId="164" fontId="4" fillId="6" borderId="0" xfId="0" applyNumberFormat="1" applyFont="1" applyFill="1" applyBorder="1"/>
    <xf numFmtId="164" fontId="4" fillId="4" borderId="0" xfId="0" applyNumberFormat="1" applyFont="1" applyFill="1" applyBorder="1"/>
    <xf numFmtId="164" fontId="4" fillId="6" borderId="2" xfId="0" applyNumberFormat="1" applyFont="1" applyFill="1" applyBorder="1"/>
    <xf numFmtId="164" fontId="4" fillId="4" borderId="2" xfId="0" applyNumberFormat="1" applyFont="1" applyFill="1" applyBorder="1"/>
    <xf numFmtId="0" fontId="4" fillId="4" borderId="6" xfId="0" quotePrefix="1" applyFont="1" applyFill="1" applyBorder="1"/>
    <xf numFmtId="166" fontId="4" fillId="2" borderId="1" xfId="0" applyNumberFormat="1" applyFont="1" applyFill="1" applyBorder="1" applyAlignment="1">
      <alignment horizontal="center"/>
    </xf>
    <xf numFmtId="10" fontId="4" fillId="6" borderId="13" xfId="2" quotePrefix="1" applyNumberFormat="1" applyFont="1" applyFill="1" applyBorder="1" applyAlignment="1">
      <alignment horizontal="center"/>
    </xf>
    <xf numFmtId="10" fontId="0" fillId="5" borderId="13" xfId="2" quotePrefix="1" applyNumberFormat="1" applyFont="1" applyFill="1" applyBorder="1" applyAlignment="1">
      <alignment horizontal="center"/>
    </xf>
    <xf numFmtId="0" fontId="0" fillId="5" borderId="13" xfId="0" quotePrefix="1" applyFill="1" applyBorder="1" applyAlignment="1">
      <alignment horizontal="center"/>
    </xf>
    <xf numFmtId="43" fontId="0" fillId="0" borderId="10" xfId="1" applyFont="1" applyBorder="1"/>
    <xf numFmtId="167" fontId="0" fillId="0" borderId="11" xfId="0" applyNumberFormat="1" applyBorder="1"/>
    <xf numFmtId="9" fontId="18" fillId="14" borderId="9" xfId="0" applyNumberFormat="1" applyFont="1" applyFill="1" applyBorder="1" applyAlignment="1">
      <alignment horizontal="center"/>
    </xf>
    <xf numFmtId="9" fontId="0" fillId="0" borderId="12" xfId="2" applyFont="1" applyBorder="1"/>
    <xf numFmtId="0" fontId="4" fillId="6" borderId="13" xfId="2" quotePrefix="1" applyNumberFormat="1" applyFont="1" applyFill="1" applyBorder="1" applyAlignment="1">
      <alignment horizontal="center"/>
    </xf>
    <xf numFmtId="43" fontId="4" fillId="0" borderId="0" xfId="1" applyFont="1" applyBorder="1"/>
    <xf numFmtId="43" fontId="0" fillId="0" borderId="0" xfId="1" applyFont="1" applyBorder="1"/>
    <xf numFmtId="167" fontId="0" fillId="0" borderId="0" xfId="0" applyNumberFormat="1" applyBorder="1"/>
    <xf numFmtId="0" fontId="7" fillId="6" borderId="12" xfId="0" applyFont="1" applyFill="1" applyBorder="1" applyAlignment="1">
      <alignment horizontal="center"/>
    </xf>
    <xf numFmtId="0" fontId="7" fillId="6" borderId="4" xfId="0" applyFont="1" applyFill="1" applyBorder="1" applyAlignment="1">
      <alignment horizontal="center"/>
    </xf>
    <xf numFmtId="0" fontId="12" fillId="6" borderId="4" xfId="0" applyFont="1" applyFill="1" applyBorder="1" applyAlignment="1">
      <alignment horizontal="center"/>
    </xf>
    <xf numFmtId="43" fontId="4" fillId="0" borderId="4" xfId="1" applyFont="1" applyBorder="1"/>
    <xf numFmtId="167" fontId="4" fillId="0" borderId="5" xfId="0" applyNumberFormat="1" applyFont="1" applyBorder="1"/>
    <xf numFmtId="4" fontId="4" fillId="14" borderId="9" xfId="0" applyNumberFormat="1" applyFont="1" applyFill="1" applyBorder="1" applyAlignment="1">
      <alignment horizontal="center"/>
    </xf>
    <xf numFmtId="2" fontId="4" fillId="6" borderId="13" xfId="2" quotePrefix="1" applyNumberFormat="1" applyFont="1" applyFill="1" applyBorder="1" applyAlignment="1">
      <alignment horizontal="center"/>
    </xf>
    <xf numFmtId="0" fontId="0" fillId="6" borderId="28" xfId="0" applyFill="1" applyBorder="1"/>
    <xf numFmtId="0" fontId="0" fillId="6" borderId="29" xfId="0" applyFill="1" applyBorder="1"/>
    <xf numFmtId="2" fontId="0" fillId="5" borderId="13" xfId="2" quotePrefix="1" applyNumberFormat="1" applyFont="1" applyFill="1" applyBorder="1" applyAlignment="1">
      <alignment horizontal="center"/>
    </xf>
    <xf numFmtId="0" fontId="4" fillId="14" borderId="12" xfId="0" applyFont="1" applyFill="1" applyBorder="1"/>
    <xf numFmtId="0" fontId="4" fillId="4" borderId="1" xfId="0" applyFont="1" applyFill="1" applyBorder="1"/>
    <xf numFmtId="0" fontId="0" fillId="6" borderId="12" xfId="0" quotePrefix="1" applyFill="1" applyBorder="1"/>
    <xf numFmtId="0" fontId="7" fillId="6" borderId="0" xfId="0" applyFont="1" applyFill="1" applyBorder="1" applyAlignment="1">
      <alignment horizontal="center"/>
    </xf>
    <xf numFmtId="167" fontId="4" fillId="0" borderId="4" xfId="0" applyNumberFormat="1" applyFont="1" applyBorder="1"/>
    <xf numFmtId="167" fontId="0" fillId="0" borderId="10" xfId="0" applyNumberFormat="1" applyBorder="1"/>
    <xf numFmtId="0" fontId="4" fillId="2" borderId="5" xfId="0" applyFont="1" applyFill="1" applyBorder="1" applyAlignment="1">
      <alignment horizontal="center"/>
    </xf>
    <xf numFmtId="0" fontId="4" fillId="6" borderId="1" xfId="0" applyFont="1" applyFill="1" applyBorder="1" applyAlignment="1">
      <alignment horizontal="center"/>
    </xf>
    <xf numFmtId="0" fontId="4" fillId="6" borderId="5" xfId="0" applyFont="1" applyFill="1" applyBorder="1" applyAlignment="1">
      <alignment horizontal="center"/>
    </xf>
    <xf numFmtId="0" fontId="12" fillId="6" borderId="1" xfId="0" applyFont="1" applyFill="1" applyBorder="1" applyAlignment="1">
      <alignment horizontal="center"/>
    </xf>
    <xf numFmtId="0" fontId="12" fillId="6" borderId="5" xfId="0" applyFont="1" applyFill="1" applyBorder="1" applyAlignment="1">
      <alignment horizontal="center"/>
    </xf>
    <xf numFmtId="0" fontId="4" fillId="11" borderId="14" xfId="0" applyFont="1" applyFill="1" applyBorder="1" applyAlignment="1">
      <alignment wrapText="1"/>
    </xf>
    <xf numFmtId="0" fontId="8" fillId="6" borderId="0" xfId="4" applyFill="1"/>
    <xf numFmtId="0" fontId="4" fillId="6" borderId="0" xfId="0" applyFont="1" applyFill="1" applyBorder="1"/>
    <xf numFmtId="9" fontId="0" fillId="6" borderId="0" xfId="0" applyNumberFormat="1" applyFill="1" applyBorder="1"/>
    <xf numFmtId="0" fontId="0" fillId="6" borderId="0" xfId="0" applyFill="1"/>
    <xf numFmtId="0" fontId="22" fillId="17" borderId="9" xfId="0" applyFont="1" applyFill="1" applyBorder="1"/>
    <xf numFmtId="0" fontId="22" fillId="17" borderId="10" xfId="0" applyFont="1" applyFill="1" applyBorder="1"/>
    <xf numFmtId="0" fontId="8" fillId="11" borderId="12" xfId="4" applyFill="1" applyBorder="1"/>
    <xf numFmtId="0" fontId="4" fillId="3" borderId="14" xfId="0" applyFont="1" applyFill="1" applyBorder="1"/>
    <xf numFmtId="0" fontId="4" fillId="11" borderId="13" xfId="0" applyFont="1" applyFill="1" applyBorder="1"/>
    <xf numFmtId="0" fontId="0" fillId="0" borderId="13" xfId="0" applyBorder="1"/>
    <xf numFmtId="0" fontId="0" fillId="0" borderId="15" xfId="0" applyBorder="1"/>
    <xf numFmtId="0" fontId="23" fillId="6" borderId="2" xfId="0" applyFont="1" applyFill="1" applyBorder="1"/>
    <xf numFmtId="0" fontId="23" fillId="0" borderId="2" xfId="0" applyFont="1" applyBorder="1"/>
    <xf numFmtId="0" fontId="23" fillId="0" borderId="2" xfId="0" applyFont="1" applyBorder="1" applyAlignment="1">
      <alignment horizontal="right"/>
    </xf>
    <xf numFmtId="0" fontId="4" fillId="6" borderId="30" xfId="0" applyFont="1" applyFill="1" applyBorder="1"/>
    <xf numFmtId="0" fontId="4" fillId="2" borderId="30" xfId="0" applyFont="1" applyFill="1" applyBorder="1"/>
    <xf numFmtId="0" fontId="28" fillId="10" borderId="1" xfId="3" applyFont="1" applyFill="1" applyBorder="1" applyAlignment="1">
      <alignment vertical="center"/>
    </xf>
    <xf numFmtId="0" fontId="0" fillId="6" borderId="31" xfId="0" applyFill="1" applyBorder="1"/>
    <xf numFmtId="0" fontId="4" fillId="6" borderId="31" xfId="0" applyFont="1" applyFill="1" applyBorder="1" applyAlignment="1">
      <alignment horizontal="center"/>
    </xf>
    <xf numFmtId="0" fontId="6" fillId="10" borderId="5" xfId="3" applyFont="1" applyFill="1" applyBorder="1" applyAlignment="1">
      <alignment vertical="center"/>
    </xf>
    <xf numFmtId="10" fontId="3" fillId="5" borderId="0" xfId="2" quotePrefix="1" applyNumberFormat="1" applyFont="1" applyFill="1" applyBorder="1" applyAlignment="1">
      <alignment horizontal="center"/>
    </xf>
    <xf numFmtId="0" fontId="7" fillId="6" borderId="14" xfId="0" applyFont="1" applyFill="1" applyBorder="1"/>
    <xf numFmtId="0" fontId="7" fillId="6" borderId="13" xfId="0" applyFont="1" applyFill="1" applyBorder="1"/>
    <xf numFmtId="0" fontId="7" fillId="0" borderId="13" xfId="0" applyFont="1" applyBorder="1"/>
    <xf numFmtId="0" fontId="7" fillId="0" borderId="15" xfId="0" applyFont="1" applyBorder="1"/>
    <xf numFmtId="0" fontId="4" fillId="6" borderId="9" xfId="0" applyFont="1" applyFill="1" applyBorder="1"/>
    <xf numFmtId="0" fontId="0" fillId="6" borderId="10" xfId="0" applyFill="1" applyBorder="1"/>
    <xf numFmtId="0" fontId="0" fillId="6" borderId="11" xfId="0" applyFill="1" applyBorder="1"/>
    <xf numFmtId="0" fontId="2" fillId="9" borderId="28" xfId="0" applyFont="1" applyFill="1" applyBorder="1"/>
    <xf numFmtId="0" fontId="2" fillId="9" borderId="27" xfId="0" applyFont="1" applyFill="1" applyBorder="1"/>
    <xf numFmtId="0" fontId="0" fillId="2" borderId="30" xfId="0" applyFont="1" applyFill="1" applyBorder="1"/>
    <xf numFmtId="0" fontId="0" fillId="6" borderId="30" xfId="0" applyFont="1" applyFill="1" applyBorder="1"/>
    <xf numFmtId="0" fontId="4" fillId="2" borderId="27" xfId="0" applyFont="1" applyFill="1" applyBorder="1"/>
    <xf numFmtId="0" fontId="0" fillId="2" borderId="27" xfId="0" applyFont="1" applyFill="1" applyBorder="1"/>
    <xf numFmtId="0" fontId="4" fillId="6" borderId="27" xfId="0" applyFont="1" applyFill="1" applyBorder="1"/>
    <xf numFmtId="0" fontId="0" fillId="6" borderId="27" xfId="0" applyFont="1" applyFill="1" applyBorder="1"/>
    <xf numFmtId="43" fontId="1" fillId="6" borderId="27" xfId="1" applyFont="1" applyFill="1" applyBorder="1"/>
    <xf numFmtId="43" fontId="4" fillId="6" borderId="27" xfId="1" applyFont="1" applyFill="1" applyBorder="1"/>
    <xf numFmtId="0" fontId="0" fillId="19" borderId="13" xfId="0" applyFill="1" applyBorder="1"/>
    <xf numFmtId="0" fontId="4" fillId="15" borderId="13" xfId="0" applyFont="1" applyFill="1" applyBorder="1" applyAlignment="1">
      <alignment horizontal="center"/>
    </xf>
    <xf numFmtId="0" fontId="0" fillId="14" borderId="13" xfId="0" applyFill="1" applyBorder="1"/>
    <xf numFmtId="0" fontId="0" fillId="14" borderId="15" xfId="0" applyFill="1" applyBorder="1"/>
    <xf numFmtId="0" fontId="31" fillId="14" borderId="13" xfId="0" applyFont="1" applyFill="1" applyBorder="1" applyAlignment="1"/>
    <xf numFmtId="0" fontId="32" fillId="14" borderId="13" xfId="0" applyFont="1" applyFill="1" applyBorder="1"/>
    <xf numFmtId="0" fontId="27" fillId="19" borderId="13" xfId="0" applyFont="1" applyFill="1" applyBorder="1"/>
    <xf numFmtId="0" fontId="2" fillId="17" borderId="1" xfId="0" applyFont="1" applyFill="1" applyBorder="1"/>
    <xf numFmtId="0" fontId="4" fillId="2" borderId="28" xfId="0" applyFont="1" applyFill="1" applyBorder="1"/>
    <xf numFmtId="0" fontId="4" fillId="6" borderId="28" xfId="0" applyFont="1" applyFill="1" applyBorder="1"/>
    <xf numFmtId="0" fontId="4" fillId="6" borderId="32" xfId="0" applyFont="1" applyFill="1" applyBorder="1"/>
    <xf numFmtId="0" fontId="4" fillId="6" borderId="33" xfId="0" applyFont="1" applyFill="1" applyBorder="1"/>
    <xf numFmtId="0" fontId="4" fillId="6" borderId="34" xfId="0" applyFont="1" applyFill="1" applyBorder="1"/>
    <xf numFmtId="9" fontId="0" fillId="0" borderId="5" xfId="0" applyNumberFormat="1" applyBorder="1"/>
    <xf numFmtId="0" fontId="4" fillId="6" borderId="29" xfId="0" applyFont="1" applyFill="1" applyBorder="1"/>
    <xf numFmtId="0" fontId="4" fillId="2" borderId="30" xfId="0" quotePrefix="1" applyFont="1" applyFill="1" applyBorder="1"/>
    <xf numFmtId="0" fontId="4" fillId="2" borderId="27" xfId="0" quotePrefix="1" applyFont="1" applyFill="1" applyBorder="1"/>
    <xf numFmtId="0" fontId="4" fillId="0" borderId="0" xfId="0" applyFont="1"/>
    <xf numFmtId="0" fontId="3" fillId="5" borderId="0" xfId="0" applyFont="1" applyFill="1" applyBorder="1"/>
    <xf numFmtId="3" fontId="4" fillId="0" borderId="2" xfId="0" applyNumberFormat="1" applyFont="1" applyBorder="1"/>
    <xf numFmtId="3" fontId="4" fillId="0" borderId="2" xfId="0" quotePrefix="1" applyNumberFormat="1" applyFont="1" applyBorder="1" applyAlignment="1">
      <alignment horizontal="right"/>
    </xf>
    <xf numFmtId="3" fontId="4" fillId="0" borderId="2" xfId="0" applyNumberFormat="1" applyFont="1" applyBorder="1" applyAlignment="1">
      <alignment horizontal="right"/>
    </xf>
    <xf numFmtId="0" fontId="4" fillId="11" borderId="3" xfId="0" applyFont="1" applyFill="1" applyBorder="1" applyAlignment="1">
      <alignment wrapText="1"/>
    </xf>
    <xf numFmtId="0" fontId="4" fillId="3" borderId="9" xfId="0" applyFont="1" applyFill="1" applyBorder="1" applyAlignment="1">
      <alignment horizontal="center"/>
    </xf>
    <xf numFmtId="0" fontId="4" fillId="3" borderId="11" xfId="0" applyFont="1" applyFill="1" applyBorder="1" applyAlignment="1">
      <alignment horizontal="center"/>
    </xf>
    <xf numFmtId="0" fontId="8" fillId="15" borderId="13" xfId="4" applyFill="1" applyBorder="1" applyAlignment="1">
      <alignment horizontal="center"/>
    </xf>
    <xf numFmtId="0" fontId="4" fillId="2" borderId="30" xfId="0" applyFont="1" applyFill="1" applyBorder="1" applyAlignment="1">
      <alignment horizontal="center"/>
    </xf>
    <xf numFmtId="0" fontId="2" fillId="17" borderId="2" xfId="0" applyFont="1" applyFill="1" applyBorder="1"/>
    <xf numFmtId="0" fontId="8" fillId="6" borderId="9" xfId="4" applyFill="1" applyBorder="1"/>
    <xf numFmtId="0" fontId="2" fillId="9" borderId="44" xfId="0" applyFont="1" applyFill="1" applyBorder="1"/>
    <xf numFmtId="0" fontId="0" fillId="2" borderId="0" xfId="0" applyFont="1" applyFill="1" applyBorder="1"/>
    <xf numFmtId="0" fontId="2" fillId="9" borderId="0" xfId="0" applyFont="1" applyFill="1" applyBorder="1"/>
    <xf numFmtId="0" fontId="4" fillId="6" borderId="7" xfId="0" applyFont="1" applyFill="1" applyBorder="1"/>
    <xf numFmtId="0" fontId="4" fillId="2" borderId="44" xfId="0" applyFont="1" applyFill="1" applyBorder="1"/>
    <xf numFmtId="0" fontId="4" fillId="2" borderId="0" xfId="0" applyFont="1" applyFill="1" applyBorder="1"/>
    <xf numFmtId="0" fontId="2" fillId="9" borderId="2" xfId="0" applyFont="1" applyFill="1" applyBorder="1"/>
    <xf numFmtId="167" fontId="0" fillId="4" borderId="0" xfId="0" applyNumberFormat="1" applyFill="1" applyBorder="1"/>
    <xf numFmtId="0" fontId="34" fillId="0" borderId="2" xfId="0" applyFont="1" applyBorder="1"/>
    <xf numFmtId="169" fontId="35" fillId="0" borderId="0" xfId="0" applyNumberFormat="1" applyFont="1" applyFill="1" applyBorder="1" applyAlignment="1">
      <alignment horizontal="right" vertical="center" wrapText="1"/>
    </xf>
    <xf numFmtId="0" fontId="0" fillId="9" borderId="1" xfId="0" applyFill="1" applyBorder="1"/>
    <xf numFmtId="0" fontId="0" fillId="16" borderId="2" xfId="0" quotePrefix="1" applyFill="1" applyBorder="1" applyAlignment="1">
      <alignment horizontal="center"/>
    </xf>
    <xf numFmtId="0" fontId="0" fillId="16" borderId="2" xfId="0" applyFill="1" applyBorder="1"/>
    <xf numFmtId="0" fontId="0" fillId="11" borderId="2" xfId="0" applyFill="1" applyBorder="1"/>
    <xf numFmtId="0" fontId="0" fillId="9" borderId="2" xfId="0" applyFill="1" applyBorder="1"/>
    <xf numFmtId="0" fontId="0" fillId="16" borderId="6" xfId="0" applyFill="1" applyBorder="1"/>
    <xf numFmtId="0" fontId="0" fillId="5" borderId="30" xfId="0" applyFill="1" applyBorder="1"/>
    <xf numFmtId="0" fontId="0" fillId="5" borderId="42" xfId="0" applyFill="1" applyBorder="1"/>
    <xf numFmtId="0" fontId="4" fillId="13" borderId="3" xfId="0" applyFont="1" applyFill="1" applyBorder="1" applyAlignment="1">
      <alignment horizontal="center"/>
    </xf>
    <xf numFmtId="0" fontId="36" fillId="11" borderId="0" xfId="0" applyFont="1" applyFill="1" applyBorder="1"/>
    <xf numFmtId="0" fontId="4" fillId="6" borderId="2" xfId="0" applyFont="1" applyFill="1" applyBorder="1"/>
    <xf numFmtId="0" fontId="0" fillId="7" borderId="4" xfId="0" applyNumberFormat="1" applyFill="1" applyBorder="1" applyAlignment="1">
      <alignment horizontal="center"/>
    </xf>
    <xf numFmtId="0" fontId="4" fillId="6" borderId="0" xfId="2" quotePrefix="1" applyNumberFormat="1" applyFont="1" applyFill="1" applyBorder="1" applyAlignment="1">
      <alignment horizontal="center"/>
    </xf>
    <xf numFmtId="0" fontId="0" fillId="5" borderId="0" xfId="2" quotePrefix="1" applyNumberFormat="1" applyFont="1" applyFill="1" applyBorder="1" applyAlignment="1">
      <alignment horizontal="center"/>
    </xf>
    <xf numFmtId="0" fontId="3" fillId="5" borderId="0" xfId="2" quotePrefix="1" applyNumberFormat="1" applyFont="1" applyFill="1" applyBorder="1" applyAlignment="1">
      <alignment horizontal="center"/>
    </xf>
    <xf numFmtId="0" fontId="0" fillId="5" borderId="7" xfId="2" quotePrefix="1" applyNumberFormat="1" applyFont="1" applyFill="1" applyBorder="1" applyAlignment="1">
      <alignment horizontal="center"/>
    </xf>
    <xf numFmtId="0" fontId="21" fillId="6" borderId="0" xfId="0" applyFont="1" applyFill="1" applyBorder="1"/>
    <xf numFmtId="0" fontId="0" fillId="6" borderId="0" xfId="0" applyFont="1" applyFill="1" applyBorder="1"/>
    <xf numFmtId="0" fontId="0" fillId="6" borderId="12" xfId="0" applyFont="1" applyFill="1" applyBorder="1"/>
    <xf numFmtId="0" fontId="0" fillId="0" borderId="0" xfId="0" applyBorder="1" applyAlignment="1">
      <alignment wrapText="1"/>
    </xf>
    <xf numFmtId="0" fontId="0" fillId="0" borderId="12" xfId="0" applyBorder="1" applyAlignment="1">
      <alignment wrapText="1"/>
    </xf>
    <xf numFmtId="0" fontId="21" fillId="6" borderId="12" xfId="0" applyFont="1" applyFill="1" applyBorder="1"/>
    <xf numFmtId="0" fontId="33" fillId="0" borderId="0" xfId="0" applyFont="1" applyBorder="1" applyAlignment="1">
      <alignment horizontal="left" vertical="center" wrapText="1"/>
    </xf>
    <xf numFmtId="0" fontId="33" fillId="0" borderId="12" xfId="0" applyFont="1" applyBorder="1" applyAlignment="1">
      <alignment horizontal="left" vertical="center" wrapText="1"/>
    </xf>
    <xf numFmtId="0" fontId="4" fillId="2" borderId="6" xfId="0" applyFont="1" applyFill="1" applyBorder="1"/>
    <xf numFmtId="0" fontId="8" fillId="0" borderId="7" xfId="4" applyBorder="1"/>
    <xf numFmtId="0" fontId="8" fillId="0" borderId="8" xfId="4" applyBorder="1"/>
    <xf numFmtId="0" fontId="0" fillId="4" borderId="0" xfId="0" quotePrefix="1" applyFill="1" applyBorder="1"/>
    <xf numFmtId="0" fontId="4" fillId="4" borderId="0" xfId="0" quotePrefix="1" applyFont="1" applyFill="1" applyBorder="1" applyAlignment="1">
      <alignment horizontal="center"/>
    </xf>
    <xf numFmtId="43" fontId="4" fillId="4" borderId="0" xfId="1" applyFont="1" applyFill="1" applyBorder="1" applyAlignment="1">
      <alignment horizontal="center"/>
    </xf>
    <xf numFmtId="43" fontId="4" fillId="5" borderId="0" xfId="1" quotePrefix="1" applyFont="1" applyFill="1" applyBorder="1" applyAlignment="1">
      <alignment horizontal="center"/>
    </xf>
    <xf numFmtId="0" fontId="4" fillId="4" borderId="0" xfId="0" applyFont="1" applyFill="1" applyBorder="1" applyAlignment="1">
      <alignment horizontal="center"/>
    </xf>
    <xf numFmtId="0" fontId="0" fillId="4" borderId="12" xfId="0" quotePrefix="1" applyFill="1" applyBorder="1"/>
    <xf numFmtId="0" fontId="3" fillId="4" borderId="0" xfId="0" applyFont="1" applyFill="1" applyBorder="1"/>
    <xf numFmtId="43" fontId="3" fillId="5" borderId="0" xfId="1" quotePrefix="1" applyFont="1" applyFill="1" applyBorder="1" applyAlignment="1">
      <alignment horizontal="center"/>
    </xf>
    <xf numFmtId="3" fontId="0" fillId="5" borderId="0" xfId="0" quotePrefix="1" applyNumberFormat="1" applyFill="1" applyBorder="1" applyAlignment="1">
      <alignment horizontal="right"/>
    </xf>
    <xf numFmtId="0" fontId="4" fillId="4" borderId="10" xfId="0" applyFont="1" applyFill="1" applyBorder="1" applyAlignment="1">
      <alignment horizontal="center"/>
    </xf>
    <xf numFmtId="43" fontId="0" fillId="5" borderId="0" xfId="1" quotePrefix="1" applyFont="1" applyFill="1" applyBorder="1" applyAlignment="1">
      <alignment horizontal="center" wrapText="1"/>
    </xf>
    <xf numFmtId="0" fontId="4" fillId="0" borderId="2" xfId="0" applyFont="1" applyBorder="1" applyAlignment="1">
      <alignment vertical="top"/>
    </xf>
    <xf numFmtId="9" fontId="2" fillId="9" borderId="27" xfId="0" applyNumberFormat="1" applyFont="1" applyFill="1" applyBorder="1"/>
    <xf numFmtId="0" fontId="2" fillId="19" borderId="13" xfId="0" applyFont="1" applyFill="1" applyBorder="1"/>
    <xf numFmtId="0" fontId="4" fillId="19" borderId="13" xfId="0" applyFont="1" applyFill="1" applyBorder="1"/>
    <xf numFmtId="0" fontId="2" fillId="17" borderId="14" xfId="0" applyFont="1" applyFill="1" applyBorder="1"/>
    <xf numFmtId="0" fontId="2" fillId="17" borderId="13" xfId="0" applyFont="1" applyFill="1" applyBorder="1"/>
    <xf numFmtId="0" fontId="2" fillId="17" borderId="15" xfId="0" applyFont="1" applyFill="1" applyBorder="1"/>
    <xf numFmtId="0" fontId="2" fillId="17" borderId="14" xfId="0" applyFont="1" applyFill="1" applyBorder="1" applyAlignment="1">
      <alignment wrapText="1"/>
    </xf>
    <xf numFmtId="0" fontId="2" fillId="9" borderId="5" xfId="0" applyFont="1" applyFill="1" applyBorder="1"/>
    <xf numFmtId="0" fontId="2" fillId="9" borderId="12" xfId="0" applyFont="1" applyFill="1" applyBorder="1"/>
    <xf numFmtId="0" fontId="2" fillId="9" borderId="6" xfId="0" applyFont="1" applyFill="1" applyBorder="1"/>
    <xf numFmtId="0" fontId="2" fillId="9" borderId="8" xfId="0" applyFont="1" applyFill="1" applyBorder="1"/>
    <xf numFmtId="0" fontId="2" fillId="9" borderId="5" xfId="0" quotePrefix="1" applyFont="1" applyFill="1" applyBorder="1" applyAlignment="1">
      <alignment wrapText="1"/>
    </xf>
    <xf numFmtId="0" fontId="2" fillId="9" borderId="12" xfId="0" quotePrefix="1" applyFont="1" applyFill="1" applyBorder="1" applyAlignment="1">
      <alignment wrapText="1"/>
    </xf>
    <xf numFmtId="0" fontId="2" fillId="9" borderId="12" xfId="0" quotePrefix="1" applyFont="1" applyFill="1" applyBorder="1"/>
    <xf numFmtId="0" fontId="2" fillId="9" borderId="8" xfId="0" quotePrefix="1" applyFont="1" applyFill="1" applyBorder="1" applyAlignment="1">
      <alignment wrapText="1"/>
    </xf>
    <xf numFmtId="0" fontId="2" fillId="9" borderId="3" xfId="0" applyFont="1" applyFill="1" applyBorder="1"/>
    <xf numFmtId="0" fontId="0" fillId="11" borderId="14" xfId="0" applyFill="1" applyBorder="1" applyAlignment="1">
      <alignment wrapText="1"/>
    </xf>
    <xf numFmtId="0" fontId="0" fillId="2" borderId="13" xfId="0" applyFill="1" applyBorder="1" applyAlignment="1">
      <alignment wrapText="1"/>
    </xf>
    <xf numFmtId="0" fontId="0" fillId="11" borderId="13" xfId="0" applyFill="1" applyBorder="1" applyAlignment="1">
      <alignment wrapText="1"/>
    </xf>
    <xf numFmtId="0" fontId="0" fillId="11" borderId="15" xfId="0" applyFill="1" applyBorder="1" applyAlignment="1">
      <alignment wrapText="1"/>
    </xf>
    <xf numFmtId="0" fontId="0" fillId="2" borderId="14" xfId="0" applyFill="1" applyBorder="1" applyAlignment="1">
      <alignment wrapText="1"/>
    </xf>
    <xf numFmtId="0" fontId="0" fillId="2" borderId="15" xfId="0" applyFill="1" applyBorder="1" applyAlignment="1">
      <alignment wrapText="1"/>
    </xf>
    <xf numFmtId="0" fontId="2" fillId="9" borderId="9" xfId="0" applyFont="1" applyFill="1" applyBorder="1" applyAlignment="1"/>
    <xf numFmtId="0" fontId="2" fillId="9" borderId="0" xfId="0" applyFont="1" applyFill="1" applyBorder="1" applyAlignment="1"/>
    <xf numFmtId="0" fontId="8" fillId="14" borderId="10" xfId="4" applyFill="1" applyBorder="1" applyAlignment="1">
      <alignment horizontal="center"/>
    </xf>
    <xf numFmtId="0" fontId="0" fillId="0" borderId="0" xfId="0" applyAlignment="1">
      <alignment wrapText="1"/>
    </xf>
    <xf numFmtId="164" fontId="4" fillId="11" borderId="0" xfId="0" applyNumberFormat="1" applyFont="1" applyFill="1" applyBorder="1"/>
    <xf numFmtId="10" fontId="4" fillId="6" borderId="1" xfId="2" applyNumberFormat="1" applyFont="1" applyFill="1" applyBorder="1"/>
    <xf numFmtId="10" fontId="9" fillId="6" borderId="5" xfId="2" applyNumberFormat="1" applyFont="1" applyFill="1" applyBorder="1"/>
    <xf numFmtId="10" fontId="4" fillId="6" borderId="6" xfId="2" quotePrefix="1" applyNumberFormat="1" applyFont="1" applyFill="1" applyBorder="1" applyAlignment="1">
      <alignment horizontal="right" vertical="center"/>
    </xf>
    <xf numFmtId="0" fontId="0" fillId="6" borderId="2" xfId="0" quotePrefix="1" applyFill="1" applyBorder="1"/>
    <xf numFmtId="10" fontId="10" fillId="4" borderId="8" xfId="2" quotePrefix="1" applyNumberFormat="1" applyFont="1" applyFill="1" applyBorder="1"/>
    <xf numFmtId="164" fontId="18" fillId="6" borderId="2" xfId="0" applyNumberFormat="1" applyFont="1" applyFill="1" applyBorder="1"/>
    <xf numFmtId="164" fontId="18" fillId="4" borderId="2" xfId="0" applyNumberFormat="1" applyFont="1" applyFill="1" applyBorder="1"/>
    <xf numFmtId="2" fontId="0" fillId="5" borderId="15" xfId="2" quotePrefix="1" applyNumberFormat="1" applyFont="1" applyFill="1" applyBorder="1" applyAlignment="1">
      <alignment horizontal="center"/>
    </xf>
    <xf numFmtId="0" fontId="4" fillId="4" borderId="10" xfId="0" applyFont="1" applyFill="1" applyBorder="1" applyAlignment="1">
      <alignment horizontal="center"/>
    </xf>
    <xf numFmtId="0" fontId="2" fillId="9" borderId="11" xfId="0" applyFont="1" applyFill="1" applyBorder="1"/>
    <xf numFmtId="0" fontId="0" fillId="6" borderId="35" xfId="0" applyFont="1" applyFill="1" applyBorder="1"/>
    <xf numFmtId="0" fontId="2" fillId="9" borderId="46" xfId="0" applyFont="1" applyFill="1" applyBorder="1"/>
    <xf numFmtId="0" fontId="0" fillId="6" borderId="5" xfId="0" applyFont="1" applyFill="1" applyBorder="1"/>
    <xf numFmtId="0" fontId="0" fillId="6" borderId="8" xfId="0" applyFont="1" applyFill="1" applyBorder="1"/>
    <xf numFmtId="0" fontId="2" fillId="9" borderId="4" xfId="0" applyFont="1" applyFill="1" applyBorder="1"/>
    <xf numFmtId="0" fontId="0" fillId="6" borderId="36" xfId="0" applyFont="1" applyFill="1" applyBorder="1"/>
    <xf numFmtId="0" fontId="0" fillId="6" borderId="47" xfId="0" applyFont="1" applyFill="1" applyBorder="1"/>
    <xf numFmtId="0" fontId="0" fillId="6" borderId="48" xfId="0" applyFont="1" applyFill="1" applyBorder="1"/>
    <xf numFmtId="0" fontId="0" fillId="6" borderId="37" xfId="0" applyFont="1" applyFill="1" applyBorder="1"/>
    <xf numFmtId="0" fontId="0" fillId="6" borderId="38" xfId="0" applyFont="1" applyFill="1" applyBorder="1"/>
    <xf numFmtId="0" fontId="2" fillId="9" borderId="49" xfId="0" applyFont="1" applyFill="1" applyBorder="1"/>
    <xf numFmtId="0" fontId="2" fillId="9" borderId="45" xfId="0" applyFont="1" applyFill="1" applyBorder="1"/>
    <xf numFmtId="0" fontId="2" fillId="9" borderId="43" xfId="0" applyFont="1" applyFill="1" applyBorder="1"/>
    <xf numFmtId="10" fontId="0" fillId="6" borderId="0" xfId="2" applyNumberFormat="1" applyFont="1" applyFill="1" applyBorder="1"/>
    <xf numFmtId="10" fontId="0" fillId="4" borderId="12" xfId="2" applyNumberFormat="1" applyFont="1" applyFill="1" applyBorder="1"/>
    <xf numFmtId="10" fontId="4" fillId="6" borderId="12" xfId="2" applyNumberFormat="1" applyFont="1" applyFill="1" applyBorder="1"/>
    <xf numFmtId="10" fontId="0" fillId="6" borderId="0" xfId="0" quotePrefix="1" applyNumberFormat="1" applyFill="1" applyBorder="1" applyAlignment="1">
      <alignment horizontal="center"/>
    </xf>
    <xf numFmtId="2" fontId="0" fillId="4" borderId="0" xfId="0" applyNumberFormat="1" applyFill="1" applyBorder="1" applyAlignment="1">
      <alignment horizontal="right"/>
    </xf>
    <xf numFmtId="2" fontId="0" fillId="4" borderId="12" xfId="0" applyNumberFormat="1" applyFill="1" applyBorder="1" applyAlignment="1">
      <alignment horizontal="right"/>
    </xf>
    <xf numFmtId="43" fontId="4" fillId="0" borderId="2" xfId="1" applyFont="1" applyBorder="1"/>
    <xf numFmtId="0" fontId="4" fillId="3" borderId="9" xfId="0" applyFont="1" applyFill="1" applyBorder="1" applyAlignment="1">
      <alignment wrapText="1"/>
    </xf>
    <xf numFmtId="0" fontId="4" fillId="3" borderId="3" xfId="0" applyFont="1" applyFill="1" applyBorder="1" applyAlignment="1">
      <alignment wrapText="1"/>
    </xf>
    <xf numFmtId="43" fontId="4" fillId="0" borderId="1" xfId="1" applyFont="1" applyBorder="1"/>
    <xf numFmtId="43" fontId="4" fillId="0" borderId="12" xfId="1" applyFont="1" applyBorder="1"/>
    <xf numFmtId="9" fontId="18" fillId="4" borderId="9" xfId="0" applyNumberFormat="1" applyFont="1" applyFill="1" applyBorder="1" applyAlignment="1">
      <alignment horizontal="center"/>
    </xf>
    <xf numFmtId="170" fontId="4" fillId="4" borderId="9" xfId="0" applyNumberFormat="1" applyFont="1" applyFill="1" applyBorder="1" applyAlignment="1">
      <alignment horizontal="center"/>
    </xf>
    <xf numFmtId="0" fontId="37" fillId="0" borderId="2" xfId="0" applyFont="1" applyBorder="1"/>
    <xf numFmtId="167" fontId="38" fillId="4" borderId="0" xfId="0" applyNumberFormat="1" applyFont="1" applyFill="1" applyBorder="1"/>
    <xf numFmtId="0" fontId="38" fillId="5" borderId="0" xfId="0" quotePrefix="1" applyFont="1" applyFill="1" applyBorder="1" applyAlignment="1">
      <alignment horizontal="right"/>
    </xf>
    <xf numFmtId="0" fontId="38" fillId="4" borderId="12" xfId="0" applyFont="1" applyFill="1" applyBorder="1"/>
    <xf numFmtId="2" fontId="38" fillId="4" borderId="12" xfId="0" applyNumberFormat="1" applyFont="1" applyFill="1" applyBorder="1"/>
    <xf numFmtId="0" fontId="38" fillId="4" borderId="0" xfId="0" applyFont="1" applyFill="1" applyBorder="1"/>
    <xf numFmtId="0" fontId="38" fillId="5" borderId="0" xfId="0" applyFont="1" applyFill="1" applyBorder="1"/>
    <xf numFmtId="0" fontId="38" fillId="5" borderId="0" xfId="0" quotePrefix="1" applyFont="1" applyFill="1" applyBorder="1" applyAlignment="1">
      <alignment horizontal="center"/>
    </xf>
    <xf numFmtId="2" fontId="38" fillId="4" borderId="0" xfId="0" applyNumberFormat="1" applyFont="1" applyFill="1" applyBorder="1"/>
    <xf numFmtId="10" fontId="0" fillId="4" borderId="7" xfId="0" applyNumberFormat="1" applyFill="1" applyBorder="1"/>
    <xf numFmtId="2" fontId="39" fillId="11" borderId="0" xfId="0" applyNumberFormat="1" applyFont="1" applyFill="1" applyBorder="1"/>
    <xf numFmtId="10" fontId="0" fillId="6" borderId="0" xfId="0" applyNumberFormat="1" applyFill="1" applyBorder="1"/>
    <xf numFmtId="165" fontId="18" fillId="11" borderId="0" xfId="0" applyNumberFormat="1" applyFont="1" applyFill="1" applyBorder="1"/>
    <xf numFmtId="10" fontId="4" fillId="3" borderId="9" xfId="0" applyNumberFormat="1" applyFont="1" applyFill="1" applyBorder="1"/>
    <xf numFmtId="10" fontId="4" fillId="3" borderId="11" xfId="0" applyNumberFormat="1" applyFont="1" applyFill="1" applyBorder="1"/>
    <xf numFmtId="10" fontId="4" fillId="11" borderId="9" xfId="0" applyNumberFormat="1" applyFont="1" applyFill="1" applyBorder="1"/>
    <xf numFmtId="10" fontId="4" fillId="11" borderId="11" xfId="0" applyNumberFormat="1" applyFont="1" applyFill="1" applyBorder="1"/>
    <xf numFmtId="10" fontId="4" fillId="3" borderId="10" xfId="0" applyNumberFormat="1" applyFont="1" applyFill="1" applyBorder="1"/>
    <xf numFmtId="10" fontId="7" fillId="6" borderId="2" xfId="0" applyNumberFormat="1" applyFont="1" applyFill="1" applyBorder="1"/>
    <xf numFmtId="10" fontId="7" fillId="0" borderId="2" xfId="0" applyNumberFormat="1" applyFont="1" applyBorder="1"/>
    <xf numFmtId="10" fontId="7" fillId="0" borderId="6" xfId="0" applyNumberFormat="1" applyFont="1" applyBorder="1"/>
    <xf numFmtId="10" fontId="10" fillId="4" borderId="8" xfId="0" quotePrefix="1" applyNumberFormat="1" applyFont="1" applyFill="1" applyBorder="1"/>
    <xf numFmtId="2" fontId="4" fillId="6" borderId="2" xfId="2" applyNumberFormat="1" applyFont="1" applyFill="1" applyBorder="1"/>
    <xf numFmtId="2" fontId="4" fillId="6" borderId="0" xfId="2" applyNumberFormat="1" applyFont="1" applyFill="1" applyBorder="1"/>
    <xf numFmtId="2" fontId="0" fillId="6" borderId="2" xfId="2" applyNumberFormat="1" applyFont="1" applyFill="1" applyBorder="1"/>
    <xf numFmtId="2" fontId="0" fillId="6" borderId="0" xfId="2" applyNumberFormat="1" applyFont="1" applyFill="1" applyBorder="1"/>
    <xf numFmtId="2" fontId="4" fillId="4" borderId="2" xfId="2" applyNumberFormat="1" applyFont="1" applyFill="1" applyBorder="1"/>
    <xf numFmtId="2" fontId="4" fillId="4" borderId="0" xfId="2" applyNumberFormat="1" applyFont="1" applyFill="1" applyBorder="1"/>
    <xf numFmtId="2" fontId="18" fillId="6" borderId="2" xfId="2" applyNumberFormat="1" applyFont="1" applyFill="1" applyBorder="1"/>
    <xf numFmtId="2" fontId="18" fillId="6" borderId="0" xfId="2" applyNumberFormat="1" applyFont="1" applyFill="1" applyBorder="1"/>
    <xf numFmtId="2" fontId="4" fillId="4" borderId="6" xfId="2" quotePrefix="1" applyNumberFormat="1" applyFont="1" applyFill="1" applyBorder="1"/>
    <xf numFmtId="2" fontId="4" fillId="4" borderId="7" xfId="2" quotePrefix="1" applyNumberFormat="1" applyFont="1" applyFill="1" applyBorder="1"/>
    <xf numFmtId="167" fontId="3" fillId="4" borderId="0" xfId="0" applyNumberFormat="1" applyFont="1" applyFill="1" applyBorder="1"/>
    <xf numFmtId="0" fontId="4" fillId="15" borderId="9" xfId="0" applyFont="1" applyFill="1" applyBorder="1" applyAlignment="1">
      <alignment horizontal="center"/>
    </xf>
    <xf numFmtId="0" fontId="4" fillId="15" borderId="10" xfId="0" applyFont="1" applyFill="1" applyBorder="1" applyAlignment="1">
      <alignment horizontal="center"/>
    </xf>
    <xf numFmtId="0" fontId="4" fillId="15" borderId="11" xfId="0" applyFont="1" applyFill="1" applyBorder="1" applyAlignment="1">
      <alignment horizontal="center"/>
    </xf>
    <xf numFmtId="0" fontId="4" fillId="11" borderId="0" xfId="0" applyFont="1" applyFill="1" applyBorder="1" applyAlignment="1">
      <alignment horizontal="center"/>
    </xf>
    <xf numFmtId="0" fontId="4" fillId="11" borderId="12" xfId="0" applyFont="1" applyFill="1" applyBorder="1" applyAlignment="1">
      <alignment horizontal="center"/>
    </xf>
    <xf numFmtId="43" fontId="0" fillId="4" borderId="0" xfId="1" applyFont="1" applyFill="1" applyBorder="1" applyAlignment="1">
      <alignment horizontal="center" wrapText="1"/>
    </xf>
    <xf numFmtId="0" fontId="0" fillId="4" borderId="0" xfId="0" applyFill="1" applyBorder="1" applyAlignment="1">
      <alignment horizontal="center" wrapText="1"/>
    </xf>
    <xf numFmtId="43" fontId="0" fillId="4" borderId="12" xfId="1" applyFont="1" applyFill="1" applyBorder="1" applyAlignment="1">
      <alignment horizontal="center" wrapText="1"/>
    </xf>
    <xf numFmtId="0" fontId="0" fillId="4" borderId="12" xfId="0" applyFill="1" applyBorder="1" applyAlignment="1">
      <alignment horizontal="center" wrapText="1"/>
    </xf>
    <xf numFmtId="0" fontId="0" fillId="4" borderId="0" xfId="0" applyFill="1" applyBorder="1" applyAlignment="1">
      <alignment horizontal="center"/>
    </xf>
    <xf numFmtId="0" fontId="0" fillId="4" borderId="12" xfId="0" applyFill="1" applyBorder="1" applyAlignment="1">
      <alignment horizontal="center"/>
    </xf>
    <xf numFmtId="167" fontId="0" fillId="4" borderId="0" xfId="0" applyNumberFormat="1" applyFill="1" applyBorder="1" applyAlignment="1">
      <alignment horizontal="center" vertical="center"/>
    </xf>
    <xf numFmtId="167" fontId="0" fillId="4" borderId="12" xfId="0" applyNumberFormat="1" applyFill="1" applyBorder="1" applyAlignment="1">
      <alignment horizontal="center" vertical="center"/>
    </xf>
    <xf numFmtId="167" fontId="0" fillId="4" borderId="0" xfId="0" applyNumberFormat="1" applyFill="1" applyBorder="1" applyAlignment="1">
      <alignment horizontal="center"/>
    </xf>
    <xf numFmtId="167" fontId="0" fillId="4" borderId="12" xfId="0" applyNumberFormat="1" applyFill="1" applyBorder="1" applyAlignment="1">
      <alignment horizontal="center"/>
    </xf>
    <xf numFmtId="0" fontId="4" fillId="7" borderId="9" xfId="0" applyFont="1" applyFill="1" applyBorder="1" applyAlignment="1">
      <alignment horizontal="center"/>
    </xf>
    <xf numFmtId="0" fontId="4" fillId="7" borderId="10" xfId="0" applyFont="1" applyFill="1" applyBorder="1" applyAlignment="1">
      <alignment horizontal="center"/>
    </xf>
    <xf numFmtId="0" fontId="4" fillId="7" borderId="11" xfId="0" applyFont="1" applyFill="1" applyBorder="1" applyAlignment="1">
      <alignment horizontal="center"/>
    </xf>
    <xf numFmtId="2" fontId="4" fillId="6" borderId="2" xfId="2" quotePrefix="1" applyNumberFormat="1" applyFont="1" applyFill="1" applyBorder="1" applyAlignment="1">
      <alignment horizontal="center"/>
    </xf>
    <xf numFmtId="2" fontId="4" fillId="6" borderId="12" xfId="2" quotePrefix="1" applyNumberFormat="1" applyFont="1" applyFill="1" applyBorder="1" applyAlignment="1">
      <alignment horizontal="center"/>
    </xf>
    <xf numFmtId="2" fontId="0" fillId="5" borderId="6" xfId="2" quotePrefix="1" applyNumberFormat="1" applyFont="1" applyFill="1" applyBorder="1" applyAlignment="1">
      <alignment horizontal="center"/>
    </xf>
    <xf numFmtId="2" fontId="0" fillId="5" borderId="8" xfId="2" quotePrefix="1" applyNumberFormat="1" applyFont="1" applyFill="1" applyBorder="1" applyAlignment="1">
      <alignment horizontal="center"/>
    </xf>
    <xf numFmtId="2" fontId="0" fillId="5" borderId="2" xfId="2" quotePrefix="1" applyNumberFormat="1" applyFont="1" applyFill="1" applyBorder="1" applyAlignment="1">
      <alignment horizontal="center"/>
    </xf>
    <xf numFmtId="2" fontId="0" fillId="5" borderId="12" xfId="2" quotePrefix="1" applyNumberFormat="1" applyFont="1" applyFill="1" applyBorder="1" applyAlignment="1">
      <alignment horizontal="center"/>
    </xf>
    <xf numFmtId="2" fontId="4" fillId="6" borderId="2" xfId="1" quotePrefix="1" applyNumberFormat="1" applyFont="1" applyFill="1" applyBorder="1" applyAlignment="1">
      <alignment horizontal="center"/>
    </xf>
    <xf numFmtId="2" fontId="4" fillId="6" borderId="12" xfId="1" quotePrefix="1" applyNumberFormat="1" applyFont="1" applyFill="1" applyBorder="1" applyAlignment="1">
      <alignment horizontal="center"/>
    </xf>
    <xf numFmtId="10" fontId="4" fillId="4" borderId="9" xfId="0" applyNumberFormat="1" applyFont="1" applyFill="1" applyBorder="1" applyAlignment="1">
      <alignment horizontal="center"/>
    </xf>
    <xf numFmtId="10" fontId="4" fillId="4" borderId="10" xfId="0" applyNumberFormat="1" applyFont="1" applyFill="1" applyBorder="1" applyAlignment="1">
      <alignment horizontal="center"/>
    </xf>
    <xf numFmtId="0" fontId="4" fillId="4" borderId="9" xfId="0" applyFont="1" applyFill="1" applyBorder="1" applyAlignment="1">
      <alignment horizontal="center"/>
    </xf>
    <xf numFmtId="0" fontId="4" fillId="4" borderId="11" xfId="0" applyFont="1" applyFill="1" applyBorder="1" applyAlignment="1">
      <alignment horizontal="center"/>
    </xf>
    <xf numFmtId="2" fontId="0" fillId="6" borderId="1" xfId="0" applyNumberFormat="1" applyFill="1" applyBorder="1" applyAlignment="1">
      <alignment horizontal="center"/>
    </xf>
    <xf numFmtId="2" fontId="0" fillId="6" borderId="5" xfId="0" applyNumberFormat="1" applyFill="1" applyBorder="1" applyAlignment="1">
      <alignment horizontal="center"/>
    </xf>
    <xf numFmtId="0" fontId="4" fillId="11" borderId="9" xfId="0" applyFont="1" applyFill="1" applyBorder="1" applyAlignment="1">
      <alignment horizontal="center"/>
    </xf>
    <xf numFmtId="0" fontId="4" fillId="11" borderId="10"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11" xfId="0" applyFont="1" applyFill="1" applyBorder="1" applyAlignment="1">
      <alignment horizontal="center"/>
    </xf>
    <xf numFmtId="0" fontId="4" fillId="11" borderId="11" xfId="0" applyFont="1" applyFill="1" applyBorder="1" applyAlignment="1">
      <alignment horizontal="center"/>
    </xf>
    <xf numFmtId="10" fontId="22" fillId="17" borderId="9" xfId="0" applyNumberFormat="1" applyFont="1" applyFill="1" applyBorder="1" applyAlignment="1">
      <alignment horizontal="center"/>
    </xf>
    <xf numFmtId="10" fontId="22" fillId="17" borderId="10" xfId="0" applyNumberFormat="1" applyFont="1" applyFill="1" applyBorder="1" applyAlignment="1">
      <alignment horizontal="center"/>
    </xf>
    <xf numFmtId="10" fontId="22" fillId="17" borderId="11" xfId="0" applyNumberFormat="1" applyFont="1" applyFill="1" applyBorder="1" applyAlignment="1">
      <alignment horizontal="center"/>
    </xf>
    <xf numFmtId="0" fontId="4" fillId="13" borderId="9" xfId="0" applyFont="1" applyFill="1" applyBorder="1" applyAlignment="1">
      <alignment horizontal="center"/>
    </xf>
    <xf numFmtId="0" fontId="4" fillId="13" borderId="10" xfId="0" applyFont="1" applyFill="1" applyBorder="1" applyAlignment="1">
      <alignment horizontal="center"/>
    </xf>
    <xf numFmtId="0" fontId="4" fillId="13" borderId="11" xfId="0" applyFont="1" applyFill="1" applyBorder="1" applyAlignment="1">
      <alignment horizontal="center"/>
    </xf>
    <xf numFmtId="0" fontId="4" fillId="18" borderId="9" xfId="0" applyFont="1" applyFill="1" applyBorder="1" applyAlignment="1">
      <alignment horizontal="center"/>
    </xf>
    <xf numFmtId="0" fontId="4" fillId="18" borderId="10" xfId="0" applyFont="1" applyFill="1" applyBorder="1" applyAlignment="1">
      <alignment horizontal="center"/>
    </xf>
    <xf numFmtId="0" fontId="22" fillId="17" borderId="6" xfId="0" applyFont="1" applyFill="1" applyBorder="1" applyAlignment="1">
      <alignment horizontal="center"/>
    </xf>
    <xf numFmtId="0" fontId="22" fillId="17" borderId="7" xfId="0" applyFont="1" applyFill="1" applyBorder="1" applyAlignment="1">
      <alignment horizontal="center"/>
    </xf>
    <xf numFmtId="0" fontId="22" fillId="17" borderId="9" xfId="0" applyFont="1" applyFill="1" applyBorder="1" applyAlignment="1">
      <alignment horizontal="center"/>
    </xf>
    <xf numFmtId="0" fontId="22" fillId="17" borderId="10" xfId="0" applyFont="1" applyFill="1" applyBorder="1" applyAlignment="1">
      <alignment horizontal="center"/>
    </xf>
    <xf numFmtId="0" fontId="22" fillId="17" borderId="11" xfId="0" applyFont="1" applyFill="1" applyBorder="1" applyAlignment="1">
      <alignment horizontal="center"/>
    </xf>
    <xf numFmtId="10" fontId="3" fillId="5" borderId="0" xfId="2" quotePrefix="1" applyNumberFormat="1" applyFont="1" applyFill="1" applyBorder="1" applyAlignment="1">
      <alignment horizontal="center"/>
    </xf>
    <xf numFmtId="10" fontId="3" fillId="5" borderId="12" xfId="2" quotePrefix="1" applyNumberFormat="1" applyFont="1" applyFill="1" applyBorder="1" applyAlignment="1">
      <alignment horizontal="center"/>
    </xf>
    <xf numFmtId="10" fontId="4" fillId="4" borderId="11" xfId="0" applyNumberFormat="1" applyFont="1" applyFill="1" applyBorder="1" applyAlignment="1">
      <alignment horizontal="center"/>
    </xf>
    <xf numFmtId="10" fontId="0" fillId="5" borderId="0" xfId="2" quotePrefix="1" applyNumberFormat="1" applyFont="1" applyFill="1" applyBorder="1" applyAlignment="1">
      <alignment horizontal="center"/>
    </xf>
    <xf numFmtId="10" fontId="0" fillId="5" borderId="12" xfId="2" quotePrefix="1" applyNumberFormat="1" applyFont="1" applyFill="1" applyBorder="1" applyAlignment="1">
      <alignment horizontal="center"/>
    </xf>
    <xf numFmtId="10" fontId="4" fillId="6" borderId="0" xfId="2" quotePrefix="1" applyNumberFormat="1" applyFont="1" applyFill="1" applyBorder="1" applyAlignment="1">
      <alignment horizontal="center"/>
    </xf>
    <xf numFmtId="10" fontId="4" fillId="6" borderId="12" xfId="2" quotePrefix="1" applyNumberFormat="1" applyFont="1" applyFill="1" applyBorder="1" applyAlignment="1">
      <alignment horizontal="center"/>
    </xf>
    <xf numFmtId="10" fontId="0" fillId="7" borderId="4" xfId="0" applyNumberFormat="1" applyFill="1" applyBorder="1" applyAlignment="1">
      <alignment horizontal="center"/>
    </xf>
    <xf numFmtId="0" fontId="0" fillId="7" borderId="5" xfId="0" applyFill="1" applyBorder="1" applyAlignment="1">
      <alignment horizontal="center"/>
    </xf>
    <xf numFmtId="10" fontId="0" fillId="5" borderId="2" xfId="2" quotePrefix="1" applyNumberFormat="1" applyFont="1" applyFill="1" applyBorder="1" applyAlignment="1">
      <alignment horizontal="center"/>
    </xf>
    <xf numFmtId="10" fontId="0" fillId="5" borderId="7" xfId="2" quotePrefix="1" applyNumberFormat="1" applyFont="1" applyFill="1" applyBorder="1" applyAlignment="1">
      <alignment horizontal="center"/>
    </xf>
    <xf numFmtId="10" fontId="0" fillId="5" borderId="8" xfId="2" quotePrefix="1" applyNumberFormat="1" applyFont="1" applyFill="1" applyBorder="1" applyAlignment="1">
      <alignment horizontal="center"/>
    </xf>
    <xf numFmtId="0" fontId="4" fillId="4" borderId="10" xfId="0" applyFont="1" applyFill="1" applyBorder="1" applyAlignment="1">
      <alignment horizontal="center"/>
    </xf>
    <xf numFmtId="0" fontId="30" fillId="17" borderId="6" xfId="0" applyFont="1" applyFill="1" applyBorder="1" applyAlignment="1">
      <alignment horizontal="center"/>
    </xf>
    <xf numFmtId="0" fontId="30" fillId="17" borderId="7" xfId="0" applyFont="1" applyFill="1" applyBorder="1" applyAlignment="1">
      <alignment horizontal="center"/>
    </xf>
    <xf numFmtId="0" fontId="31" fillId="14" borderId="13" xfId="0" applyFont="1" applyFill="1" applyBorder="1" applyAlignment="1">
      <alignment horizontal="center" wrapText="1"/>
    </xf>
    <xf numFmtId="0" fontId="30" fillId="17" borderId="0" xfId="0" applyFont="1" applyFill="1" applyBorder="1" applyAlignment="1">
      <alignment horizontal="center"/>
    </xf>
    <xf numFmtId="0" fontId="0" fillId="14" borderId="13" xfId="0" applyFill="1" applyBorder="1" applyAlignment="1">
      <alignment horizontal="center" vertical="center" wrapText="1"/>
    </xf>
    <xf numFmtId="0" fontId="0" fillId="14" borderId="15" xfId="0" applyFill="1" applyBorder="1" applyAlignment="1">
      <alignment horizontal="center" vertical="center" wrapText="1"/>
    </xf>
    <xf numFmtId="0" fontId="30" fillId="17" borderId="8" xfId="0" applyFont="1" applyFill="1" applyBorder="1" applyAlignment="1">
      <alignment horizontal="center"/>
    </xf>
    <xf numFmtId="0" fontId="0" fillId="6" borderId="39" xfId="0" applyFont="1" applyFill="1" applyBorder="1" applyAlignment="1">
      <alignment horizontal="center"/>
    </xf>
    <xf numFmtId="0" fontId="0" fillId="6" borderId="41" xfId="0" applyFont="1" applyFill="1" applyBorder="1" applyAlignment="1">
      <alignment horizontal="center"/>
    </xf>
    <xf numFmtId="0" fontId="0" fillId="6" borderId="40" xfId="0" applyFont="1" applyFill="1" applyBorder="1" applyAlignment="1">
      <alignment horizontal="center"/>
    </xf>
    <xf numFmtId="0" fontId="0" fillId="6" borderId="47" xfId="0" applyFont="1" applyFill="1" applyBorder="1" applyAlignment="1">
      <alignment horizontal="center" wrapText="1"/>
    </xf>
    <xf numFmtId="0" fontId="0" fillId="6" borderId="35" xfId="0" applyFont="1" applyFill="1" applyBorder="1" applyAlignment="1">
      <alignment horizontal="center" wrapText="1"/>
    </xf>
  </cellXfs>
  <cellStyles count="5">
    <cellStyle name="Hipervínculo" xfId="4" builtinId="8"/>
    <cellStyle name="Millares" xfId="1" builtinId="3"/>
    <cellStyle name="Normal" xfId="0" builtinId="0"/>
    <cellStyle name="Normal 2" xfId="3" xr:uid="{EF14075C-897E-4135-A3D7-B67FACA40C11}"/>
    <cellStyle name="Porcentaje" xfId="2" builtinId="5"/>
  </cellStyles>
  <dxfs count="0"/>
  <tableStyles count="0" defaultTableStyle="TableStyleMedium2" defaultPivotStyle="PivotStyleLight16"/>
  <colors>
    <mruColors>
      <color rgb="FFC3ED8B"/>
      <color rgb="FFEFF6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Power Installation vs tons</a:t>
            </a:r>
            <a:r>
              <a:rPr lang="en-GB" baseline="0"/>
              <a:t> treated (kW/t)</a:t>
            </a:r>
          </a:p>
        </c:rich>
      </c:tx>
      <c:layout>
        <c:manualLayout>
          <c:xMode val="edge"/>
          <c:yMode val="edge"/>
          <c:x val="0.12007633420822397"/>
          <c:y val="4.640383493729950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9.1914260717410323E-2"/>
          <c:y val="0.16245370370370371"/>
          <c:w val="0.86174540682414702"/>
          <c:h val="0.72088764946048411"/>
        </c:manualLayout>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dispRSqr val="1"/>
            <c:dispEq val="1"/>
            <c:trendlineLbl>
              <c:layout>
                <c:manualLayout>
                  <c:x val="-0.35787248468941385"/>
                  <c:y val="4.539698162729658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'WASHING&amp;REPROCESSING'!$Z$100:$Z$104</c:f>
              <c:numCache>
                <c:formatCode>General</c:formatCode>
                <c:ptCount val="5"/>
                <c:pt idx="0">
                  <c:v>0.5</c:v>
                </c:pt>
                <c:pt idx="1">
                  <c:v>1</c:v>
                </c:pt>
                <c:pt idx="2">
                  <c:v>1.5</c:v>
                </c:pt>
                <c:pt idx="3">
                  <c:v>2</c:v>
                </c:pt>
                <c:pt idx="4">
                  <c:v>3</c:v>
                </c:pt>
              </c:numCache>
            </c:numRef>
          </c:xVal>
          <c:yVal>
            <c:numRef>
              <c:f>'WASHING&amp;REPROCESSING'!$AA$100:$AA$104</c:f>
              <c:numCache>
                <c:formatCode>General</c:formatCode>
                <c:ptCount val="5"/>
                <c:pt idx="0">
                  <c:v>250</c:v>
                </c:pt>
                <c:pt idx="1">
                  <c:v>350</c:v>
                </c:pt>
                <c:pt idx="2">
                  <c:v>470</c:v>
                </c:pt>
                <c:pt idx="3">
                  <c:v>650</c:v>
                </c:pt>
                <c:pt idx="4">
                  <c:v>850</c:v>
                </c:pt>
              </c:numCache>
            </c:numRef>
          </c:yVal>
          <c:smooth val="0"/>
          <c:extLst>
            <c:ext xmlns:c16="http://schemas.microsoft.com/office/drawing/2014/chart" uri="{C3380CC4-5D6E-409C-BE32-E72D297353CC}">
              <c16:uniqueId val="{00000000-8AFE-4EFE-A05F-FA7AA1389E25}"/>
            </c:ext>
          </c:extLst>
        </c:ser>
        <c:dLbls>
          <c:showLegendKey val="0"/>
          <c:showVal val="0"/>
          <c:showCatName val="0"/>
          <c:showSerName val="0"/>
          <c:showPercent val="0"/>
          <c:showBubbleSize val="0"/>
        </c:dLbls>
        <c:axId val="1371184280"/>
        <c:axId val="1371182640"/>
      </c:scatterChart>
      <c:valAx>
        <c:axId val="13711842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1182640"/>
        <c:crosses val="autoZero"/>
        <c:crossBetween val="midCat"/>
      </c:valAx>
      <c:valAx>
        <c:axId val="1371182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118428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25</xdr:col>
      <xdr:colOff>126438</xdr:colOff>
      <xdr:row>106</xdr:row>
      <xdr:rowOff>34738</xdr:rowOff>
    </xdr:from>
    <xdr:to>
      <xdr:col>31</xdr:col>
      <xdr:colOff>451408</xdr:colOff>
      <xdr:row>121</xdr:row>
      <xdr:rowOff>54908</xdr:rowOff>
    </xdr:to>
    <xdr:graphicFrame macro="">
      <xdr:nvGraphicFramePr>
        <xdr:cNvPr id="2" name="Gráfico 1">
          <a:extLst>
            <a:ext uri="{FF2B5EF4-FFF2-40B4-BE49-F238E27FC236}">
              <a16:creationId xmlns:a16="http://schemas.microsoft.com/office/drawing/2014/main" id="{5872079A-F30D-4622-B48D-443C5F2CBD0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Kamal Azrague" id="{A0DA4814-2D49-4331-B653-EDD5CD90D5AE}" userId="S::kamal.azrague@sintef.no::d2c8b103-a1f8-4ced-8793-b5f086d61933"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42" dT="2020-12-23T13:33:03.55" personId="{A0DA4814-2D49-4331-B653-EDD5CD90D5AE}" id="{33FD1F1D-8D98-475E-A7CE-D42EAB6FF7CD}">
    <text>Platform for reading the label and give credits depending on the content of the bag</text>
  </threadedComment>
</ThreadedComments>
</file>

<file path=xl/worksheets/_rels/sheet2.xml.rels><?xml version="1.0" encoding="UTF-8" standalone="yes"?>
<Relationships xmlns="http://schemas.openxmlformats.org/package/2006/relationships"><Relationship Id="rId8" Type="http://schemas.openxmlformats.org/officeDocument/2006/relationships/hyperlink" Target="https://www.google.es/maps/dir/S.C.+POLARIS+M.+HOLDING+ALBA+IULIA,+Strada+Tudor+Vladimirescu,+Alba+Iulia,+Rom%C3%A2nia/Galda+de+Jos,+Ruman%C3%ADa/@46.1499199,23.4467977,11z/data=!3m1!4b1!4m14!4m13!1m5!1m1!1s0x474ea9264c2b76bd:0xea4e6e9b7e7ee277!2m2!1d23.585659!2d46.0796842!1m5!1m1!1s0x474eacf05170d427:0x368c2af04e36687e!2m2!1d23.5682942!2d46.2238661!3e0" TargetMode="External"/><Relationship Id="rId13" Type="http://schemas.openxmlformats.org/officeDocument/2006/relationships/vmlDrawing" Target="../drawings/vmlDrawing1.vml"/><Relationship Id="rId3" Type="http://schemas.openxmlformats.org/officeDocument/2006/relationships/hyperlink" Target="https://www.google.com/maps/dir/San+Marcelino,+46017+Valencia/SAV+Paiporta,+Sequia+Faitanar,+26,+28,+46200+Paiporta,+Valencia/@39.4376069,-0.4058574,15z/data=!3m1!4b1!4m13!4m12!1m5!1m1!1s0xd604f20a2f5b361:0x8eefb26590a4b608!2m2!1d-0.3901397!2d39.445671!1m5!1m1!1s0xd604ef041dc5af9:0x94355c2b2ca4c51e!2m2!1d-0.4043636!2d39.4325154" TargetMode="External"/><Relationship Id="rId7" Type="http://schemas.openxmlformats.org/officeDocument/2006/relationships/hyperlink" Target="https://ec.europa.eu/environment/life/project/Projects/index.cfm?fuseaction=home.showFile&amp;rep=file&amp;fil=PLASTIC_ZERO_annex_d32_action4.2_report_on_assessment_sept2013_final.pdf" TargetMode="External"/><Relationship Id="rId12" Type="http://schemas.openxmlformats.org/officeDocument/2006/relationships/printerSettings" Target="../printerSettings/printerSettings1.bin"/><Relationship Id="rId2" Type="http://schemas.openxmlformats.org/officeDocument/2006/relationships/hyperlink" Target="https://www.google.com/maps/dir/San+Marcelino,+46017+Valencia/SAV+Paiporta,+Sequia+Faitanar,+26,+28,+46200+Paiporta,+Valencia/@39.4376069,-0.4058574,15z/data=!3m1!4b1!4m13!4m12!1m5!1m1!1s0xd604f20a2f5b361:0x8eefb26590a4b608!2m2!1d-0.3901397!2d39.445671!1m5!1m1!1s0xd604ef041dc5af9:0x94355c2b2ca4c51e!2m2!1d-0.4043636!2d39.4325154" TargetMode="External"/><Relationship Id="rId1" Type="http://schemas.openxmlformats.org/officeDocument/2006/relationships/hyperlink" Target="https://www.google.es/maps/dir/Jacob+van+Campenstraat+2,+Utrecht,+Pa%C3%ADses+Bajos/Isotopenweg+15,+3542+AS+Utrecht,+Pa%C3%ADses+Bajos/@52.1168002,5.055231,19.83z/data=!3m1!4b1!4m14!4m13!1m5!1m1!1s0x47c66faf975804a3:0xc7d5914eddf48db5!2m2!1d5.0763144!2d52.1146308!1m5!1m1!1s0x47c66fb7b4ac6f95:0xdeaf8c4dd07b9b25!2m2!1d5.0636631!2d52.117204!3e0" TargetMode="External"/><Relationship Id="rId6" Type="http://schemas.openxmlformats.org/officeDocument/2006/relationships/hyperlink" Target="https://www.google.es/maps/dir/Utrecht,+Pa%C3%ADses+Bajos/SUEZ+Recycling+and+Recovery,+Havennummer,+R%C3%B3terdam,+Pa%C3%ADses+Bajos/@51.9582708,4.5141846,10z/data=!3m1!4b1!4m14!4m13!1m5!1m1!1s0x47c66f4339d32d37:0xd6c8fc4c19af4ae9!2m2!1d5.1214201!2d52.0907374!1m5!1m1!1s0x47c4344e1ccb98b5:0xb85ac307c945c192!2m2!1d4.4272595!2d51.8866039!3e0" TargetMode="External"/><Relationship Id="rId11" Type="http://schemas.openxmlformats.org/officeDocument/2006/relationships/hyperlink" Target="https://www.google.es/maps/dir/San+Marcelino,+46017+Valencia/Vaersa+planta+de+selecci%C3%B3n+de+envases+ligeros+de+Picassent,+Poligono+Industrial+Juan+Carlos+I,+46220+Picassent,+Valencia/@39.3937497,-0.5261269,12z/data=!4m15!4m14!1m5!1m1!1s0xd604f20a2f5b361:0x8eefb26590a4b608!2m2!1d-0.3901397!2d39.445671!1m5!1m1!1s0xd60526300000041:0x81f328201a3a9863!2m2!1d-0.462031!2d39.363799!3e0!5i1" TargetMode="External"/><Relationship Id="rId5" Type="http://schemas.openxmlformats.org/officeDocument/2006/relationships/hyperlink" Target="https://www.google.es/maps/dir/Vaersa+planta+de+selecci%C3%B3n+de+envases+ligeros+de+Picassent,+Poligono+Industrial+Juan+Carlos+I,+46220+Picassent,+Valencia/SAV+Paiporta,+Sequia+Faitanar,+26,+28,+46200+Paiporta,+Valencia/@39.3937497,-0.5261269,12z/data=!4m14!4m13!1m5!1m1!1s0xd60526300000041:0x81f328201a3a9863!2m2!1d-0.462031!2d39.363799!1m5!1m1!1s0xd604ef041dc5af9:0x94355c2b2ca4c51e!2m2!1d-0.4043636!2d39.4325154!3e0" TargetMode="External"/><Relationship Id="rId10" Type="http://schemas.openxmlformats.org/officeDocument/2006/relationships/hyperlink" Target="https://www.google.es/maps/dir/San+Marcelino,+46017+Valencia/Vaersa+planta+de+selecci%C3%B3n+de+envases+ligeros+de+Picassent,+Poligono+Industrial+Juan+Carlos+I,+46220+Picassent,+Valencia/@39.3937497,-0.5261269,12z/data=!4m15!4m14!1m5!1m1!1s0xd604f20a2f5b361:0x8eefb26590a4b608!2m2!1d-0.3901397!2d39.445671!1m5!1m1!1s0xd60526300000041:0x81f328201a3a9863!2m2!1d-0.462031!2d39.363799!3e0!5i1" TargetMode="External"/><Relationship Id="rId4" Type="http://schemas.openxmlformats.org/officeDocument/2006/relationships/hyperlink" Target="https://www.google.es/maps/dir/Vaersa+planta+de+selecci%C3%B3n+de+envases+ligeros+de+Picassent,+Poligono+Industrial+Juan+Carlos+I,+46220+Picassent,+Valencia/SAV+Paiporta,+Sequia+Faitanar,+26,+28,+46200+Paiporta,+Valencia/@39.3937497,-0.5261269,12z/data=!4m14!4m13!1m5!1m1!1s0xd60526300000041:0x81f328201a3a9863!2m2!1d-0.462031!2d39.363799!1m5!1m1!1s0xd604ef041dc5af9:0x94355c2b2ca4c51e!2m2!1d-0.4043636!2d39.4325154!3e0" TargetMode="External"/><Relationship Id="rId9" Type="http://schemas.openxmlformats.org/officeDocument/2006/relationships/hyperlink" Target="https://www.google.es/maps/dir/S.C.+POLARIS+M.+HOLDING+ALBA+IULIA,+Strada+Tudor+Vladimirescu,+Alba+Iulia,+Rom%C3%A2nia/Galda+de+Jos,+Ruman%C3%ADa/@46.1499199,23.4467977,11z/data=!3m1!4b1!4m14!4m13!1m5!1m1!1s0x474ea9264c2b76bd:0xea4e6e9b7e7ee277!2m2!1d23.585659!2d46.0796842!1m5!1m1!1s0x474eacf05170d427:0x368c2af04e36687e!2m2!1d23.5682942!2d46.2238661!3e0" TargetMode="External"/><Relationship Id="rId1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https://www.google.com/maps/dir/VAERSA+Planta+Picassent,+Calle+V5+P.I.Juan+Carlos+I,+Picasent/Tous,+Val%C3%A8ncia/@39.2011232,-0.6252911,11.02z/data=!4m14!4m13!1m5!1m1!1s0xd61b2ce79ff5ca1:0x456e33ebb19c601a!2m2!1d-0.4237112!2d39.3143221!1m5!1m1!1s0xd61a7eed2e621cf:0x90e09f85de0e8e81!2m2!1d-0.5860856!2d39.138592!3e0" TargetMode="External"/><Relationship Id="rId7" Type="http://schemas.openxmlformats.org/officeDocument/2006/relationships/printerSettings" Target="../printerSettings/printerSettings2.bin"/><Relationship Id="rId2" Type="http://schemas.openxmlformats.org/officeDocument/2006/relationships/hyperlink" Target="http://www.expra.eu/downloads/book_of_expra_technical_working_grou.pdf" TargetMode="External"/><Relationship Id="rId1" Type="http://schemas.openxmlformats.org/officeDocument/2006/relationships/hyperlink" Target="https://www.ecoembes.com/sites/default/files/etmr_def_v12_0.pdf" TargetMode="External"/><Relationship Id="rId6" Type="http://schemas.openxmlformats.org/officeDocument/2006/relationships/hyperlink" Target="https://greenbestpractice.jrc.ec.europa.eu/node/169" TargetMode="External"/><Relationship Id="rId5" Type="http://schemas.openxmlformats.org/officeDocument/2006/relationships/hyperlink" Target="https://www.google.com/maps/place/Galda+de+Jos,+Ruman%C3%ADa/@46.1823134,23.6079452,14z/data=!3m1!4b1!4m5!3m4!1s0x474eab0a0c99b76f:0x38e5fbeacdc813cb!8m2!3d46.1805779!4d23.621897" TargetMode="External"/><Relationship Id="rId10" Type="http://schemas.microsoft.com/office/2017/10/relationships/threadedComment" Target="../threadedComments/threadedComment1.xml"/><Relationship Id="rId4" Type="http://schemas.openxmlformats.org/officeDocument/2006/relationships/hyperlink" Target="https://porr-group.com/en/projects/galda-landfill-waste-treatment-plant-1/" TargetMode="External"/><Relationship Id="rId9"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hyperlink" Target="https://www.plasticrecyclingmachine.net/plastic-film-washing-line/" TargetMode="External"/><Relationship Id="rId7" Type="http://schemas.openxmlformats.org/officeDocument/2006/relationships/drawing" Target="../drawings/drawing1.xml"/><Relationship Id="rId2" Type="http://schemas.openxmlformats.org/officeDocument/2006/relationships/hyperlink" Target="https://www.plasticrecyclingmachine.net/pet-bottle-washing-line/" TargetMode="External"/><Relationship Id="rId1" Type="http://schemas.openxmlformats.org/officeDocument/2006/relationships/hyperlink" Target="http://www.silverpython.net/pet-washing-line/" TargetMode="External"/><Relationship Id="rId6" Type="http://schemas.openxmlformats.org/officeDocument/2006/relationships/printerSettings" Target="../printerSettings/printerSettings3.bin"/><Relationship Id="rId5" Type="http://schemas.openxmlformats.org/officeDocument/2006/relationships/hyperlink" Target="https://www.plasticrecyclingmachine.net/plastic-film-washing-line/" TargetMode="External"/><Relationship Id="rId4" Type="http://schemas.openxmlformats.org/officeDocument/2006/relationships/hyperlink" Target="https://www.plasticrecyclingmachine.net/plastic-film-washing-line/" TargetMode="External"/><Relationship Id="rId9"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5933E-95F4-493C-B9A7-B079AC7EB315}">
  <dimension ref="B1:G24"/>
  <sheetViews>
    <sheetView zoomScale="55" zoomScaleNormal="55" workbookViewId="0">
      <selection activeCell="D24" sqref="D24"/>
    </sheetView>
  </sheetViews>
  <sheetFormatPr baseColWidth="10" defaultRowHeight="15" x14ac:dyDescent="0.25"/>
  <cols>
    <col min="3" max="3" width="14.140625" customWidth="1"/>
    <col min="4" max="4" width="26" customWidth="1"/>
    <col min="5" max="7" width="35.28515625" customWidth="1"/>
  </cols>
  <sheetData>
    <row r="1" spans="2:7" ht="15.75" thickBot="1" x14ac:dyDescent="0.3"/>
    <row r="2" spans="2:7" ht="15.75" thickBot="1" x14ac:dyDescent="0.3">
      <c r="E2" s="382" t="s">
        <v>554</v>
      </c>
      <c r="F2" s="382" t="s">
        <v>555</v>
      </c>
      <c r="G2" s="382" t="s">
        <v>360</v>
      </c>
    </row>
    <row r="3" spans="2:7" ht="64.5" customHeight="1" x14ac:dyDescent="0.25">
      <c r="B3" s="370" t="s">
        <v>561</v>
      </c>
      <c r="C3" s="193" t="s">
        <v>153</v>
      </c>
      <c r="D3" s="374" t="s">
        <v>584</v>
      </c>
      <c r="E3" s="383" t="s">
        <v>585</v>
      </c>
      <c r="F3" s="383" t="s">
        <v>604</v>
      </c>
      <c r="G3" s="383" t="s">
        <v>599</v>
      </c>
    </row>
    <row r="4" spans="2:7" ht="76.5" customHeight="1" x14ac:dyDescent="0.25">
      <c r="B4" s="371"/>
      <c r="C4" s="324"/>
      <c r="D4" s="375" t="s">
        <v>582</v>
      </c>
      <c r="E4" s="384" t="s">
        <v>586</v>
      </c>
      <c r="F4" s="384" t="s">
        <v>600</v>
      </c>
      <c r="G4" s="384" t="s">
        <v>586</v>
      </c>
    </row>
    <row r="5" spans="2:7" ht="71.099999999999994" customHeight="1" x14ac:dyDescent="0.25">
      <c r="B5" s="371"/>
      <c r="C5" s="324"/>
      <c r="D5" s="375" t="s">
        <v>590</v>
      </c>
      <c r="E5" s="385" t="s">
        <v>601</v>
      </c>
      <c r="F5" s="385" t="s">
        <v>602</v>
      </c>
      <c r="G5" s="385" t="s">
        <v>603</v>
      </c>
    </row>
    <row r="6" spans="2:7" ht="54" customHeight="1" x14ac:dyDescent="0.25">
      <c r="B6" s="371"/>
      <c r="C6" s="324"/>
      <c r="D6" s="375" t="s">
        <v>581</v>
      </c>
      <c r="E6" s="384" t="s">
        <v>610</v>
      </c>
      <c r="F6" s="384" t="s">
        <v>608</v>
      </c>
      <c r="G6" s="384" t="s">
        <v>609</v>
      </c>
    </row>
    <row r="7" spans="2:7" ht="23.45" customHeight="1" x14ac:dyDescent="0.25">
      <c r="B7" s="371"/>
      <c r="C7" s="324" t="s">
        <v>556</v>
      </c>
      <c r="D7" s="375" t="s">
        <v>583</v>
      </c>
      <c r="E7" s="385" t="s">
        <v>591</v>
      </c>
      <c r="F7" s="385" t="s">
        <v>607</v>
      </c>
      <c r="G7" s="385" t="s">
        <v>611</v>
      </c>
    </row>
    <row r="8" spans="2:7" ht="32.450000000000003" customHeight="1" x14ac:dyDescent="0.25">
      <c r="B8" s="371"/>
      <c r="C8" s="324"/>
      <c r="D8" s="375" t="s">
        <v>582</v>
      </c>
      <c r="E8" s="384" t="s">
        <v>613</v>
      </c>
      <c r="F8" s="384" t="s">
        <v>15</v>
      </c>
      <c r="G8" s="384" t="s">
        <v>612</v>
      </c>
    </row>
    <row r="9" spans="2:7" ht="21.95" customHeight="1" thickBot="1" x14ac:dyDescent="0.3">
      <c r="B9" s="372"/>
      <c r="C9" s="376"/>
      <c r="D9" s="377" t="s">
        <v>581</v>
      </c>
      <c r="E9" s="386"/>
      <c r="F9" s="386"/>
      <c r="G9" s="386"/>
    </row>
    <row r="10" spans="2:7" ht="90" x14ac:dyDescent="0.25">
      <c r="B10" s="373" t="s">
        <v>629</v>
      </c>
      <c r="C10" s="193" t="s">
        <v>351</v>
      </c>
      <c r="D10" s="374" t="s">
        <v>598</v>
      </c>
      <c r="E10" s="387" t="s">
        <v>616</v>
      </c>
      <c r="F10" s="387" t="s">
        <v>617</v>
      </c>
      <c r="G10" s="387" t="s">
        <v>618</v>
      </c>
    </row>
    <row r="11" spans="2:7" ht="60" x14ac:dyDescent="0.25">
      <c r="B11" s="371"/>
      <c r="C11" s="324"/>
      <c r="D11" s="375" t="s">
        <v>582</v>
      </c>
      <c r="E11" s="385" t="s">
        <v>614</v>
      </c>
      <c r="F11" s="385"/>
      <c r="G11" s="385" t="s">
        <v>615</v>
      </c>
    </row>
    <row r="12" spans="2:7" ht="30.75" thickBot="1" x14ac:dyDescent="0.3">
      <c r="B12" s="372"/>
      <c r="C12" s="376" t="s">
        <v>623</v>
      </c>
      <c r="D12" s="377"/>
      <c r="E12" s="388" t="s">
        <v>630</v>
      </c>
      <c r="F12" s="388" t="s">
        <v>630</v>
      </c>
      <c r="G12" s="388" t="s">
        <v>630</v>
      </c>
    </row>
    <row r="13" spans="2:7" ht="75" x14ac:dyDescent="0.25">
      <c r="B13" s="370" t="s">
        <v>557</v>
      </c>
      <c r="C13" s="193" t="s">
        <v>558</v>
      </c>
      <c r="D13" s="378" t="s">
        <v>606</v>
      </c>
      <c r="E13" s="383" t="s">
        <v>593</v>
      </c>
      <c r="F13" s="383" t="s">
        <v>619</v>
      </c>
      <c r="G13" s="383" t="s">
        <v>620</v>
      </c>
    </row>
    <row r="14" spans="2:7" ht="30" x14ac:dyDescent="0.25">
      <c r="B14" s="371"/>
      <c r="C14" s="324"/>
      <c r="D14" s="379" t="s">
        <v>594</v>
      </c>
      <c r="E14" s="384" t="s">
        <v>595</v>
      </c>
      <c r="F14" s="384" t="s">
        <v>628</v>
      </c>
      <c r="G14" s="384" t="s">
        <v>628</v>
      </c>
    </row>
    <row r="15" spans="2:7" ht="14.1" customHeight="1" x14ac:dyDescent="0.25">
      <c r="B15" s="371"/>
      <c r="C15" s="324" t="s">
        <v>559</v>
      </c>
      <c r="D15" s="380" t="s">
        <v>596</v>
      </c>
      <c r="E15" s="385" t="s">
        <v>592</v>
      </c>
      <c r="F15" s="385"/>
      <c r="G15" s="385" t="s">
        <v>621</v>
      </c>
    </row>
    <row r="16" spans="2:7" ht="14.1" customHeight="1" x14ac:dyDescent="0.25">
      <c r="B16" s="371"/>
      <c r="C16" s="324"/>
      <c r="D16" s="379" t="s">
        <v>594</v>
      </c>
      <c r="E16" s="384" t="s">
        <v>597</v>
      </c>
      <c r="F16" s="384"/>
      <c r="G16" s="384" t="s">
        <v>624</v>
      </c>
    </row>
    <row r="17" spans="2:7" ht="45" x14ac:dyDescent="0.25">
      <c r="B17" s="371"/>
      <c r="C17" s="324" t="s">
        <v>560</v>
      </c>
      <c r="D17" s="380" t="s">
        <v>605</v>
      </c>
      <c r="E17" s="385" t="s">
        <v>622</v>
      </c>
      <c r="F17" s="385" t="s">
        <v>625</v>
      </c>
      <c r="G17" s="385" t="s">
        <v>626</v>
      </c>
    </row>
    <row r="18" spans="2:7" ht="45.75" thickBot="1" x14ac:dyDescent="0.3">
      <c r="B18" s="372"/>
      <c r="C18" s="376"/>
      <c r="D18" s="381" t="s">
        <v>594</v>
      </c>
      <c r="E18" s="388" t="s">
        <v>597</v>
      </c>
      <c r="F18" s="388" t="s">
        <v>625</v>
      </c>
      <c r="G18" s="388" t="s">
        <v>627</v>
      </c>
    </row>
    <row r="24" spans="2:7" x14ac:dyDescent="0.25">
      <c r="D24" s="39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67160-B952-4835-BBC6-374EFAD36810}">
  <dimension ref="B1:Q126"/>
  <sheetViews>
    <sheetView zoomScale="55" zoomScaleNormal="55" workbookViewId="0">
      <selection activeCell="Q15" sqref="Q15"/>
    </sheetView>
  </sheetViews>
  <sheetFormatPr baseColWidth="10" defaultColWidth="11.5703125" defaultRowHeight="15" x14ac:dyDescent="0.25"/>
  <cols>
    <col min="2" max="2" width="13.140625" customWidth="1"/>
    <col min="3" max="3" width="42.85546875" customWidth="1"/>
    <col min="4" max="4" width="16.85546875" customWidth="1"/>
    <col min="5" max="5" width="17.140625" customWidth="1"/>
    <col min="6" max="6" width="15.140625" customWidth="1"/>
    <col min="7" max="7" width="23.42578125" customWidth="1"/>
    <col min="8" max="8" width="12.5703125" customWidth="1"/>
    <col min="9" max="9" width="14.42578125" customWidth="1"/>
    <col min="10" max="10" width="13.140625" customWidth="1"/>
    <col min="11" max="11" width="15.140625" customWidth="1"/>
    <col min="12" max="12" width="14.7109375" customWidth="1"/>
    <col min="13" max="13" width="44" customWidth="1"/>
    <col min="14" max="14" width="41.42578125" customWidth="1"/>
    <col min="15" max="15" width="20.85546875" customWidth="1"/>
    <col min="16" max="16" width="15.5703125" customWidth="1"/>
  </cols>
  <sheetData>
    <row r="1" spans="2:14" ht="15.75" thickBot="1" x14ac:dyDescent="0.3"/>
    <row r="2" spans="2:14" ht="15.75" thickBot="1" x14ac:dyDescent="0.3">
      <c r="B2" s="267" t="s">
        <v>50</v>
      </c>
      <c r="E2" s="478" t="s">
        <v>141</v>
      </c>
      <c r="F2" s="479"/>
      <c r="G2" s="479"/>
      <c r="H2" s="479"/>
      <c r="I2" s="480"/>
      <c r="J2" s="463" t="s">
        <v>110</v>
      </c>
      <c r="K2" s="464"/>
      <c r="L2" s="465"/>
      <c r="M2" s="145" t="s">
        <v>150</v>
      </c>
      <c r="N2" s="336" t="s">
        <v>483</v>
      </c>
    </row>
    <row r="3" spans="2:14" ht="19.5" thickBot="1" x14ac:dyDescent="0.3">
      <c r="B3" s="268"/>
      <c r="C3" s="166" t="s">
        <v>0</v>
      </c>
      <c r="D3" s="2" t="s">
        <v>4</v>
      </c>
      <c r="E3" s="3" t="s">
        <v>56</v>
      </c>
      <c r="F3" s="3" t="s">
        <v>57</v>
      </c>
      <c r="G3" s="4" t="s">
        <v>1</v>
      </c>
      <c r="H3" s="3" t="s">
        <v>58</v>
      </c>
      <c r="I3" s="26" t="s">
        <v>59</v>
      </c>
      <c r="J3" s="99" t="s">
        <v>111</v>
      </c>
      <c r="K3" s="100" t="s">
        <v>112</v>
      </c>
      <c r="L3" s="101" t="s">
        <v>113</v>
      </c>
      <c r="M3" s="99"/>
      <c r="N3" s="334"/>
    </row>
    <row r="4" spans="2:14" ht="15" customHeight="1" x14ac:dyDescent="0.25">
      <c r="B4" s="268"/>
      <c r="C4" s="5" t="s">
        <v>28</v>
      </c>
      <c r="D4" s="1"/>
      <c r="E4" s="1"/>
      <c r="F4" s="1"/>
      <c r="G4" s="1"/>
      <c r="H4" s="1"/>
      <c r="I4" s="270"/>
      <c r="J4" s="108"/>
      <c r="K4" s="109"/>
      <c r="L4" s="110"/>
      <c r="M4" s="328"/>
      <c r="N4" s="334"/>
    </row>
    <row r="5" spans="2:14" ht="15" customHeight="1" x14ac:dyDescent="0.25">
      <c r="B5" s="268"/>
      <c r="C5" s="6" t="s">
        <v>29</v>
      </c>
      <c r="D5" s="7"/>
      <c r="E5" s="8" t="s">
        <v>63</v>
      </c>
      <c r="F5" s="8" t="s">
        <v>63</v>
      </c>
      <c r="G5" s="9" t="s">
        <v>1</v>
      </c>
      <c r="H5" s="8" t="s">
        <v>2</v>
      </c>
      <c r="I5" s="27" t="s">
        <v>2</v>
      </c>
      <c r="J5" s="102"/>
      <c r="K5" s="103"/>
      <c r="L5" s="104"/>
      <c r="M5" s="329" t="s">
        <v>15</v>
      </c>
      <c r="N5" s="334"/>
    </row>
    <row r="6" spans="2:14" x14ac:dyDescent="0.25">
      <c r="B6" s="268"/>
      <c r="C6" s="10" t="s">
        <v>3</v>
      </c>
      <c r="D6" s="11" t="s">
        <v>5</v>
      </c>
      <c r="E6" s="45">
        <v>794288</v>
      </c>
      <c r="F6" s="45">
        <v>794289</v>
      </c>
      <c r="G6" s="44">
        <v>357179</v>
      </c>
      <c r="H6" s="12">
        <v>63.536000000000001</v>
      </c>
      <c r="I6" s="20">
        <v>63.536000000000001</v>
      </c>
      <c r="J6" s="102"/>
      <c r="K6" s="103"/>
      <c r="L6" s="104"/>
      <c r="M6" s="329" t="s">
        <v>15</v>
      </c>
      <c r="N6" s="334"/>
    </row>
    <row r="7" spans="2:14" x14ac:dyDescent="0.25">
      <c r="B7" s="268"/>
      <c r="C7" s="10" t="s">
        <v>536</v>
      </c>
      <c r="D7" s="11" t="s">
        <v>26</v>
      </c>
      <c r="E7" s="73">
        <f>25899.1</f>
        <v>25899.1</v>
      </c>
      <c r="F7" s="73">
        <f>25899.1</f>
        <v>25899.1</v>
      </c>
      <c r="G7" s="44">
        <v>9819.4699999999993</v>
      </c>
      <c r="H7" s="355"/>
      <c r="I7" s="360" t="s">
        <v>15</v>
      </c>
      <c r="J7" s="102"/>
      <c r="K7" s="103"/>
      <c r="L7" s="104">
        <f>53/32073*1000</f>
        <v>1.6524802793627038</v>
      </c>
      <c r="M7" s="330"/>
      <c r="N7" s="334"/>
    </row>
    <row r="8" spans="2:14" x14ac:dyDescent="0.25">
      <c r="B8" s="268"/>
      <c r="C8" s="10" t="s">
        <v>9</v>
      </c>
      <c r="D8" s="11" t="s">
        <v>27</v>
      </c>
      <c r="E8" s="45">
        <f>E7*1000/E6</f>
        <v>32.606686743347502</v>
      </c>
      <c r="F8" s="45">
        <f>F7*1000/F6</f>
        <v>32.606645691933288</v>
      </c>
      <c r="G8" s="44">
        <f>G7*1000/G6</f>
        <v>27.491733836535744</v>
      </c>
      <c r="H8" s="12">
        <f>612/42</f>
        <v>14.571428571428571</v>
      </c>
      <c r="I8" s="12">
        <f>612/42</f>
        <v>14.571428571428571</v>
      </c>
      <c r="J8" s="102" t="s">
        <v>548</v>
      </c>
      <c r="K8" s="103" t="s">
        <v>549</v>
      </c>
      <c r="L8" s="104" t="s">
        <v>550</v>
      </c>
      <c r="M8" s="330" t="s">
        <v>537</v>
      </c>
      <c r="N8" s="334">
        <v>87.6</v>
      </c>
    </row>
    <row r="9" spans="2:14" x14ac:dyDescent="0.25">
      <c r="B9" s="268"/>
      <c r="C9" s="6" t="s">
        <v>30</v>
      </c>
      <c r="D9" s="7" t="s">
        <v>31</v>
      </c>
      <c r="E9" s="466" t="s">
        <v>32</v>
      </c>
      <c r="F9" s="466"/>
      <c r="G9" s="75" t="s">
        <v>563</v>
      </c>
      <c r="H9" s="466" t="s">
        <v>562</v>
      </c>
      <c r="I9" s="467"/>
      <c r="J9" s="111"/>
      <c r="K9" s="112"/>
      <c r="L9" s="113"/>
      <c r="M9" s="331"/>
      <c r="N9" s="334">
        <f>598921/6958189*1000</f>
        <v>86.074264438634827</v>
      </c>
    </row>
    <row r="10" spans="2:14" x14ac:dyDescent="0.25">
      <c r="B10" s="268"/>
      <c r="C10" s="10" t="s">
        <v>3</v>
      </c>
      <c r="D10" s="11" t="s">
        <v>5</v>
      </c>
      <c r="E10" s="45">
        <v>9000</v>
      </c>
      <c r="F10" s="45">
        <v>9000</v>
      </c>
      <c r="G10" s="74">
        <f>3500*2</f>
        <v>7000</v>
      </c>
      <c r="H10" s="45">
        <f>4000*2.5</f>
        <v>10000</v>
      </c>
      <c r="I10" s="45">
        <f>4000*2.5</f>
        <v>10000</v>
      </c>
      <c r="J10" s="102"/>
      <c r="K10" s="103"/>
      <c r="L10" s="104"/>
      <c r="M10" s="330"/>
      <c r="N10" s="334"/>
    </row>
    <row r="11" spans="2:14" x14ac:dyDescent="0.25">
      <c r="B11" s="268"/>
      <c r="C11" s="10" t="s">
        <v>53</v>
      </c>
      <c r="D11" s="11" t="s">
        <v>26</v>
      </c>
      <c r="E11" s="12">
        <f>820*3*4*12/1000</f>
        <v>118.08</v>
      </c>
      <c r="F11" s="45">
        <f>820*3*4*12</f>
        <v>118080</v>
      </c>
      <c r="G11" s="74" t="s">
        <v>15</v>
      </c>
      <c r="H11" s="325">
        <f>9*5*4*12/H10*1000</f>
        <v>216</v>
      </c>
      <c r="I11" s="20"/>
      <c r="J11" s="102" t="s">
        <v>497</v>
      </c>
      <c r="K11" s="103"/>
      <c r="L11" s="104"/>
      <c r="M11" s="330"/>
      <c r="N11" s="334"/>
    </row>
    <row r="12" spans="2:14" x14ac:dyDescent="0.25">
      <c r="B12" s="268"/>
      <c r="C12" s="10" t="s">
        <v>547</v>
      </c>
      <c r="D12" s="11" t="s">
        <v>27</v>
      </c>
      <c r="E12" s="12">
        <f>E11*1000/E10</f>
        <v>13.12</v>
      </c>
      <c r="F12" s="12"/>
      <c r="G12" s="362">
        <v>27.49</v>
      </c>
      <c r="H12" s="462">
        <f>9*5*4*12/H10*1000*H64</f>
        <v>38.879999999999995</v>
      </c>
      <c r="I12" s="462">
        <f>9*5*4*12/I10*1000*I64</f>
        <v>62.294399999999996</v>
      </c>
      <c r="J12" s="102"/>
      <c r="K12" s="103"/>
      <c r="L12" s="104"/>
      <c r="M12" s="330" t="s">
        <v>538</v>
      </c>
      <c r="N12" s="334"/>
    </row>
    <row r="13" spans="2:14" ht="45" x14ac:dyDescent="0.25">
      <c r="B13" s="268"/>
      <c r="C13" s="366" t="s">
        <v>564</v>
      </c>
      <c r="D13" s="11"/>
      <c r="E13" s="468" t="s">
        <v>565</v>
      </c>
      <c r="F13" s="468"/>
      <c r="G13" s="365" t="s">
        <v>566</v>
      </c>
      <c r="H13" s="468" t="s">
        <v>567</v>
      </c>
      <c r="I13" s="470"/>
      <c r="J13" s="102" t="s">
        <v>41</v>
      </c>
      <c r="K13" s="103" t="s">
        <v>183</v>
      </c>
      <c r="L13" s="104" t="s">
        <v>113</v>
      </c>
      <c r="M13" s="330"/>
      <c r="N13" s="334"/>
    </row>
    <row r="14" spans="2:14" ht="43.5" customHeight="1" x14ac:dyDescent="0.25">
      <c r="B14" s="268"/>
      <c r="C14" s="366" t="s">
        <v>568</v>
      </c>
      <c r="D14" s="11"/>
      <c r="E14" s="469" t="s">
        <v>569</v>
      </c>
      <c r="F14" s="469"/>
      <c r="G14" s="365" t="s">
        <v>570</v>
      </c>
      <c r="H14" s="469" t="s">
        <v>571</v>
      </c>
      <c r="I14" s="471"/>
      <c r="J14" s="102" t="s">
        <v>41</v>
      </c>
      <c r="K14" s="103" t="s">
        <v>183</v>
      </c>
      <c r="L14" s="104" t="s">
        <v>113</v>
      </c>
      <c r="M14" s="330"/>
      <c r="N14" s="334"/>
    </row>
    <row r="15" spans="2:14" ht="30" x14ac:dyDescent="0.25">
      <c r="B15" s="268"/>
      <c r="C15" s="366" t="s">
        <v>572</v>
      </c>
      <c r="D15" s="11"/>
      <c r="E15" s="468" t="s">
        <v>573</v>
      </c>
      <c r="F15" s="468"/>
      <c r="G15" s="365" t="s">
        <v>574</v>
      </c>
      <c r="H15" s="468" t="s">
        <v>575</v>
      </c>
      <c r="I15" s="470"/>
      <c r="J15" s="102" t="s">
        <v>41</v>
      </c>
      <c r="K15" s="103" t="s">
        <v>183</v>
      </c>
      <c r="L15" s="104" t="s">
        <v>113</v>
      </c>
      <c r="M15" s="330"/>
      <c r="N15" s="334"/>
    </row>
    <row r="16" spans="2:14" x14ac:dyDescent="0.25">
      <c r="B16" s="268"/>
      <c r="C16" s="10"/>
      <c r="D16" s="11"/>
      <c r="E16" s="12"/>
      <c r="F16" s="12"/>
      <c r="G16" s="362"/>
      <c r="H16" s="361"/>
      <c r="I16" s="361"/>
      <c r="J16" s="102"/>
      <c r="K16" s="103"/>
      <c r="L16" s="104"/>
      <c r="M16" s="330"/>
      <c r="N16" s="334"/>
    </row>
    <row r="17" spans="2:14" x14ac:dyDescent="0.25">
      <c r="B17" s="268"/>
      <c r="C17" s="6" t="s">
        <v>576</v>
      </c>
      <c r="D17" s="7"/>
      <c r="E17" s="466"/>
      <c r="F17" s="466"/>
      <c r="G17" s="75"/>
      <c r="H17" s="466"/>
      <c r="I17" s="467"/>
      <c r="J17" s="111"/>
      <c r="K17" s="112"/>
      <c r="L17" s="113"/>
      <c r="M17" s="331"/>
      <c r="N17" s="334"/>
    </row>
    <row r="18" spans="2:14" ht="13.5" customHeight="1" x14ac:dyDescent="0.25">
      <c r="B18" s="268"/>
      <c r="C18" s="10" t="s">
        <v>542</v>
      </c>
      <c r="D18" s="11"/>
      <c r="E18" s="356" t="s">
        <v>47</v>
      </c>
      <c r="F18" s="357" t="s">
        <v>350</v>
      </c>
      <c r="G18" s="358" t="s">
        <v>47</v>
      </c>
      <c r="H18" s="356" t="s">
        <v>47</v>
      </c>
      <c r="I18" s="357" t="s">
        <v>350</v>
      </c>
      <c r="J18" s="102"/>
      <c r="K18" s="103"/>
      <c r="L18" s="104"/>
      <c r="M18" s="330"/>
      <c r="N18" s="334"/>
    </row>
    <row r="19" spans="2:14" ht="13.5" customHeight="1" x14ac:dyDescent="0.25">
      <c r="B19" s="268"/>
      <c r="C19" s="10" t="s">
        <v>539</v>
      </c>
      <c r="D19" s="11"/>
      <c r="E19" s="356" t="s">
        <v>47</v>
      </c>
      <c r="F19" s="359" t="s">
        <v>350</v>
      </c>
      <c r="G19" s="358" t="s">
        <v>350</v>
      </c>
      <c r="H19" s="356" t="s">
        <v>47</v>
      </c>
      <c r="I19" s="359" t="s">
        <v>350</v>
      </c>
      <c r="J19" s="102"/>
      <c r="K19" s="103"/>
      <c r="L19" s="104"/>
      <c r="M19" s="330"/>
      <c r="N19" s="334"/>
    </row>
    <row r="20" spans="2:14" ht="13.5" customHeight="1" thickBot="1" x14ac:dyDescent="0.3">
      <c r="B20" s="268"/>
      <c r="C20" s="10" t="s">
        <v>540</v>
      </c>
      <c r="D20" s="11"/>
      <c r="E20" s="356" t="s">
        <v>47</v>
      </c>
      <c r="F20" s="359" t="s">
        <v>350</v>
      </c>
      <c r="G20" s="359" t="s">
        <v>350</v>
      </c>
      <c r="H20" s="356" t="s">
        <v>47</v>
      </c>
      <c r="I20" s="359" t="s">
        <v>350</v>
      </c>
      <c r="J20" s="102" t="s">
        <v>541</v>
      </c>
      <c r="K20" s="103"/>
      <c r="L20" s="104"/>
      <c r="M20" s="330"/>
      <c r="N20" s="334"/>
    </row>
    <row r="21" spans="2:14" x14ac:dyDescent="0.25">
      <c r="B21" s="268"/>
      <c r="C21" s="5" t="s">
        <v>10</v>
      </c>
      <c r="D21" s="18"/>
      <c r="E21" s="18"/>
      <c r="F21" s="18"/>
      <c r="G21" s="18"/>
      <c r="H21" s="18"/>
      <c r="I21" s="19"/>
      <c r="J21" s="132"/>
      <c r="K21" s="133"/>
      <c r="L21" s="134"/>
      <c r="M21" s="332"/>
      <c r="N21" s="334"/>
    </row>
    <row r="22" spans="2:14" x14ac:dyDescent="0.25">
      <c r="B22" s="268"/>
      <c r="C22" s="6" t="s">
        <v>487</v>
      </c>
      <c r="D22" s="7"/>
      <c r="E22" s="7"/>
      <c r="F22" s="7"/>
      <c r="G22" s="7"/>
      <c r="H22" s="7"/>
      <c r="I22" s="28"/>
      <c r="J22" s="111"/>
      <c r="K22" s="112"/>
      <c r="L22" s="113"/>
      <c r="M22" s="331"/>
      <c r="N22" s="334"/>
    </row>
    <row r="23" spans="2:14" x14ac:dyDescent="0.25">
      <c r="B23" s="268"/>
      <c r="C23" s="10" t="s">
        <v>92</v>
      </c>
      <c r="D23" s="11"/>
      <c r="E23" s="12"/>
      <c r="F23" s="36"/>
      <c r="G23" s="13"/>
      <c r="H23" s="12"/>
      <c r="I23" s="20"/>
      <c r="J23" s="102"/>
      <c r="K23" s="103"/>
      <c r="L23" s="104"/>
      <c r="M23" s="330"/>
      <c r="N23" s="334"/>
    </row>
    <row r="24" spans="2:14" x14ac:dyDescent="0.25">
      <c r="B24" s="268"/>
      <c r="C24" s="10" t="s">
        <v>34</v>
      </c>
      <c r="D24" s="11" t="s">
        <v>5</v>
      </c>
      <c r="E24" s="12">
        <v>26</v>
      </c>
      <c r="F24" s="36">
        <v>26</v>
      </c>
      <c r="G24" s="13"/>
      <c r="H24" s="12">
        <v>0</v>
      </c>
      <c r="I24" s="20">
        <v>20</v>
      </c>
      <c r="J24" s="102"/>
      <c r="K24" s="103"/>
      <c r="L24" s="104"/>
      <c r="M24" s="330"/>
      <c r="N24" s="334"/>
    </row>
    <row r="25" spans="2:14" x14ac:dyDescent="0.25">
      <c r="B25" s="268"/>
      <c r="C25" s="21" t="s">
        <v>79</v>
      </c>
      <c r="D25" s="11" t="s">
        <v>78</v>
      </c>
      <c r="E25" s="12">
        <f>E11/E24*1000</f>
        <v>4541.5384615384619</v>
      </c>
      <c r="F25" s="12"/>
      <c r="G25" s="13"/>
      <c r="H25" s="12"/>
      <c r="I25" s="20"/>
      <c r="J25" s="102"/>
      <c r="K25" s="103"/>
      <c r="L25" s="104"/>
      <c r="M25" s="330"/>
      <c r="N25" s="334"/>
    </row>
    <row r="26" spans="2:14" x14ac:dyDescent="0.25">
      <c r="B26" s="268"/>
      <c r="C26" s="326" t="s">
        <v>469</v>
      </c>
      <c r="D26" s="11" t="s">
        <v>5</v>
      </c>
      <c r="E26" s="325">
        <v>0</v>
      </c>
      <c r="F26" s="325">
        <f>F10*15%</f>
        <v>1350</v>
      </c>
      <c r="G26" s="71" t="s">
        <v>15</v>
      </c>
      <c r="H26" s="12"/>
      <c r="I26" s="20"/>
      <c r="J26" s="102"/>
      <c r="K26" s="103"/>
      <c r="L26" s="104"/>
      <c r="M26" s="330"/>
      <c r="N26" s="334"/>
    </row>
    <row r="27" spans="2:14" x14ac:dyDescent="0.25">
      <c r="B27" s="268"/>
      <c r="C27" s="326" t="s">
        <v>470</v>
      </c>
      <c r="D27" s="67" t="s">
        <v>5</v>
      </c>
      <c r="E27" s="325">
        <f>E26/2.5</f>
        <v>0</v>
      </c>
      <c r="F27" s="325">
        <f>F26/2.5</f>
        <v>540</v>
      </c>
      <c r="G27" s="71" t="s">
        <v>15</v>
      </c>
      <c r="H27" s="12"/>
      <c r="I27" s="20"/>
      <c r="J27" s="102"/>
      <c r="K27" s="103"/>
      <c r="L27" s="104"/>
      <c r="M27" s="330"/>
      <c r="N27" s="334"/>
    </row>
    <row r="28" spans="2:14" x14ac:dyDescent="0.25">
      <c r="B28" s="268"/>
      <c r="C28" s="6" t="s">
        <v>489</v>
      </c>
      <c r="D28" s="7"/>
      <c r="E28" s="7"/>
      <c r="F28" s="7"/>
      <c r="G28" s="7"/>
      <c r="H28" s="7"/>
      <c r="I28" s="28"/>
      <c r="J28" s="111"/>
      <c r="K28" s="112"/>
      <c r="L28" s="113"/>
      <c r="M28" s="331"/>
      <c r="N28" s="334"/>
    </row>
    <row r="29" spans="2:14" x14ac:dyDescent="0.25">
      <c r="B29" s="268"/>
      <c r="C29" s="10" t="s">
        <v>490</v>
      </c>
      <c r="D29" s="67" t="s">
        <v>492</v>
      </c>
      <c r="E29" s="474">
        <f>(19200+24000)/2</f>
        <v>21600</v>
      </c>
      <c r="F29" s="474"/>
      <c r="G29" s="474"/>
      <c r="H29" s="474"/>
      <c r="I29" s="475"/>
      <c r="J29" s="102"/>
      <c r="K29" s="103"/>
      <c r="L29" s="104"/>
      <c r="M29" s="330"/>
      <c r="N29" s="334" t="s">
        <v>498</v>
      </c>
    </row>
    <row r="30" spans="2:14" x14ac:dyDescent="0.25">
      <c r="B30" s="268"/>
      <c r="C30" s="10" t="s">
        <v>491</v>
      </c>
      <c r="D30" s="67" t="s">
        <v>495</v>
      </c>
      <c r="E30" s="476">
        <f>E29/E11</f>
        <v>182.92682926829269</v>
      </c>
      <c r="F30" s="476"/>
      <c r="G30" s="476"/>
      <c r="H30" s="476"/>
      <c r="I30" s="477"/>
      <c r="J30" s="102"/>
      <c r="K30" s="103"/>
      <c r="L30" s="104"/>
      <c r="M30" s="330"/>
      <c r="N30" s="334" t="s">
        <v>498</v>
      </c>
    </row>
    <row r="31" spans="2:14" x14ac:dyDescent="0.25">
      <c r="B31" s="268"/>
      <c r="C31" s="21" t="s">
        <v>494</v>
      </c>
      <c r="D31" s="67" t="s">
        <v>493</v>
      </c>
      <c r="E31" s="476">
        <v>1900</v>
      </c>
      <c r="F31" s="476"/>
      <c r="G31" s="476"/>
      <c r="H31" s="476"/>
      <c r="I31" s="477"/>
      <c r="J31" s="102"/>
      <c r="K31" s="103"/>
      <c r="L31" s="104"/>
      <c r="M31" s="330"/>
      <c r="N31" s="334"/>
    </row>
    <row r="32" spans="2:14" x14ac:dyDescent="0.25">
      <c r="B32" s="268"/>
      <c r="C32" s="21" t="s">
        <v>496</v>
      </c>
      <c r="D32" s="67" t="s">
        <v>495</v>
      </c>
      <c r="E32" s="476">
        <f>E31*0.1/E11</f>
        <v>1.609078590785908</v>
      </c>
      <c r="F32" s="476"/>
      <c r="G32" s="476"/>
      <c r="H32" s="476"/>
      <c r="I32" s="477"/>
      <c r="J32" s="102"/>
      <c r="K32" s="103"/>
      <c r="L32" s="104"/>
      <c r="M32" s="330"/>
      <c r="N32" s="334"/>
    </row>
    <row r="33" spans="2:14" x14ac:dyDescent="0.25">
      <c r="B33" s="268"/>
      <c r="C33" s="6" t="s">
        <v>488</v>
      </c>
      <c r="D33" s="7"/>
      <c r="E33" s="7"/>
      <c r="F33" s="7"/>
      <c r="G33" s="7"/>
      <c r="H33" s="7"/>
      <c r="I33" s="28"/>
      <c r="J33" s="111"/>
      <c r="K33" s="112"/>
      <c r="L33" s="113"/>
      <c r="M33" s="331"/>
      <c r="N33" s="334"/>
    </row>
    <row r="34" spans="2:14" x14ac:dyDescent="0.25">
      <c r="B34" s="268"/>
      <c r="C34" s="430" t="s">
        <v>467</v>
      </c>
      <c r="D34" s="11" t="s">
        <v>468</v>
      </c>
      <c r="E34" s="431">
        <f>E27*1</f>
        <v>0</v>
      </c>
      <c r="F34" s="431">
        <f>F27*1</f>
        <v>540</v>
      </c>
      <c r="G34" s="432" t="s">
        <v>15</v>
      </c>
      <c r="H34" s="431">
        <f t="shared" ref="H34:H35" si="0">H27*1</f>
        <v>0</v>
      </c>
      <c r="I34" s="433">
        <v>540</v>
      </c>
      <c r="J34" s="102"/>
      <c r="K34" s="103"/>
      <c r="L34" s="104"/>
      <c r="M34" s="330"/>
      <c r="N34" s="334" t="s">
        <v>481</v>
      </c>
    </row>
    <row r="35" spans="2:14" x14ac:dyDescent="0.25">
      <c r="B35" s="268"/>
      <c r="C35" s="430" t="s">
        <v>207</v>
      </c>
      <c r="D35" s="11" t="s">
        <v>472</v>
      </c>
      <c r="E35" s="431">
        <f>E28*1</f>
        <v>0</v>
      </c>
      <c r="F35" s="431">
        <f>0.015*10000/15     /4</f>
        <v>2.5</v>
      </c>
      <c r="G35" s="432" t="s">
        <v>15</v>
      </c>
      <c r="H35" s="431">
        <f t="shared" si="0"/>
        <v>0</v>
      </c>
      <c r="I35" s="433">
        <v>2.5</v>
      </c>
      <c r="J35" s="102"/>
      <c r="K35" s="103"/>
      <c r="L35" s="104"/>
      <c r="M35" s="330"/>
      <c r="N35" s="334"/>
    </row>
    <row r="36" spans="2:14" x14ac:dyDescent="0.25">
      <c r="B36" s="268"/>
      <c r="C36" s="430" t="s">
        <v>471</v>
      </c>
      <c r="D36" s="67" t="s">
        <v>468</v>
      </c>
      <c r="E36" s="431">
        <v>0</v>
      </c>
      <c r="F36" s="431">
        <f xml:space="preserve"> ROUND(2.5*4*12/(E12/1000), 0)</f>
        <v>9146</v>
      </c>
      <c r="G36" s="432" t="s">
        <v>15</v>
      </c>
      <c r="H36" s="431">
        <v>0</v>
      </c>
      <c r="I36" s="433">
        <v>9146</v>
      </c>
      <c r="J36" s="102"/>
      <c r="K36" s="103"/>
      <c r="L36" s="104"/>
      <c r="M36" s="330"/>
      <c r="N36" s="334"/>
    </row>
    <row r="37" spans="2:14" hidden="1" x14ac:dyDescent="0.25">
      <c r="B37" s="268"/>
      <c r="C37" s="430" t="s">
        <v>473</v>
      </c>
      <c r="D37" s="67" t="s">
        <v>472</v>
      </c>
      <c r="E37" s="431"/>
      <c r="F37" s="431">
        <f xml:space="preserve"> (70*35*0.5)*0.00000001*0.95    *  F36</f>
        <v>0.10643657499999998</v>
      </c>
      <c r="G37" s="432" t="s">
        <v>15</v>
      </c>
      <c r="H37" s="431">
        <f t="shared" ref="H37:H38" si="1">H30*1</f>
        <v>0</v>
      </c>
      <c r="I37" s="433">
        <v>0.10643657499999998</v>
      </c>
      <c r="J37" s="102"/>
      <c r="K37" s="103"/>
      <c r="L37" s="104"/>
      <c r="M37" s="330"/>
      <c r="N37" s="334" t="s">
        <v>482</v>
      </c>
    </row>
    <row r="38" spans="2:14" hidden="1" x14ac:dyDescent="0.25">
      <c r="B38" s="268"/>
      <c r="C38" s="430" t="s">
        <v>474</v>
      </c>
      <c r="D38" s="67" t="s">
        <v>472</v>
      </c>
      <c r="E38" s="431"/>
      <c r="F38" s="431">
        <f>F37/15*100*0.5</f>
        <v>0.35478858333333324</v>
      </c>
      <c r="G38" s="432" t="s">
        <v>15</v>
      </c>
      <c r="H38" s="431">
        <f t="shared" si="1"/>
        <v>0</v>
      </c>
      <c r="I38" s="433">
        <v>0.35478858333333324</v>
      </c>
      <c r="J38" s="102"/>
      <c r="K38" s="103"/>
      <c r="L38" s="104"/>
      <c r="M38" s="330"/>
      <c r="N38" s="334" t="s">
        <v>482</v>
      </c>
    </row>
    <row r="39" spans="2:14" ht="14.1" customHeight="1" x14ac:dyDescent="0.25">
      <c r="B39" s="268"/>
      <c r="C39" s="430" t="s">
        <v>475</v>
      </c>
      <c r="D39" s="67" t="s">
        <v>472</v>
      </c>
      <c r="E39" s="431"/>
      <c r="F39" s="431">
        <f>F36/15/1000</f>
        <v>0.60973333333333335</v>
      </c>
      <c r="G39" s="432" t="s">
        <v>15</v>
      </c>
      <c r="H39" s="431">
        <v>0</v>
      </c>
      <c r="I39" s="434">
        <v>0.60973333333333335</v>
      </c>
      <c r="J39" s="102"/>
      <c r="K39" s="103"/>
      <c r="L39" s="104"/>
      <c r="M39" s="330"/>
      <c r="N39" s="334" t="s">
        <v>482</v>
      </c>
    </row>
    <row r="40" spans="2:14" x14ac:dyDescent="0.25">
      <c r="B40" s="269" t="s">
        <v>350</v>
      </c>
      <c r="C40" s="21" t="s">
        <v>19</v>
      </c>
      <c r="D40" s="11" t="s">
        <v>14</v>
      </c>
      <c r="E40" s="435">
        <v>0</v>
      </c>
      <c r="F40" s="435">
        <v>1</v>
      </c>
      <c r="G40" s="436">
        <v>1</v>
      </c>
      <c r="H40" s="435">
        <v>0</v>
      </c>
      <c r="I40" s="433">
        <v>1</v>
      </c>
      <c r="J40" s="102"/>
      <c r="K40" s="103"/>
      <c r="L40" s="104"/>
      <c r="M40" s="330"/>
      <c r="N40" s="334" t="s">
        <v>479</v>
      </c>
    </row>
    <row r="41" spans="2:14" x14ac:dyDescent="0.25">
      <c r="B41" s="269" t="s">
        <v>350</v>
      </c>
      <c r="C41" s="21" t="s">
        <v>16</v>
      </c>
      <c r="D41" s="11" t="s">
        <v>17</v>
      </c>
      <c r="E41" s="435">
        <v>0</v>
      </c>
      <c r="F41" s="435">
        <v>72</v>
      </c>
      <c r="G41" s="436">
        <v>100</v>
      </c>
      <c r="H41" s="435">
        <v>0</v>
      </c>
      <c r="I41" s="433">
        <v>72</v>
      </c>
      <c r="J41" s="102"/>
      <c r="K41" s="103"/>
      <c r="L41" s="104"/>
      <c r="M41" s="330"/>
      <c r="N41" s="334"/>
    </row>
    <row r="42" spans="2:14" x14ac:dyDescent="0.25">
      <c r="B42" s="269" t="s">
        <v>350</v>
      </c>
      <c r="C42" s="21" t="s">
        <v>18</v>
      </c>
      <c r="D42" s="11" t="s">
        <v>14</v>
      </c>
      <c r="E42" s="435">
        <v>0</v>
      </c>
      <c r="F42" s="435">
        <v>1</v>
      </c>
      <c r="G42" s="437" t="s">
        <v>15</v>
      </c>
      <c r="H42" s="435">
        <v>0</v>
      </c>
      <c r="I42" s="433">
        <v>1</v>
      </c>
      <c r="J42" s="102"/>
      <c r="K42" s="103"/>
      <c r="L42" s="104"/>
      <c r="M42" s="330"/>
      <c r="N42" s="334" t="s">
        <v>480</v>
      </c>
    </row>
    <row r="43" spans="2:14" x14ac:dyDescent="0.25">
      <c r="B43" s="269" t="s">
        <v>350</v>
      </c>
      <c r="C43" s="21" t="s">
        <v>20</v>
      </c>
      <c r="D43" s="11" t="s">
        <v>17</v>
      </c>
      <c r="E43" s="435">
        <v>0</v>
      </c>
      <c r="F43" s="435">
        <v>979.19999999999993</v>
      </c>
      <c r="G43" s="437" t="s">
        <v>15</v>
      </c>
      <c r="H43" s="435">
        <v>0</v>
      </c>
      <c r="I43" s="433">
        <v>979.19999999999993</v>
      </c>
      <c r="J43" s="102"/>
      <c r="K43" s="103"/>
      <c r="L43" s="104"/>
      <c r="M43" s="330"/>
      <c r="N43" s="334"/>
    </row>
    <row r="44" spans="2:14" x14ac:dyDescent="0.25">
      <c r="B44" s="269" t="s">
        <v>350</v>
      </c>
      <c r="C44" s="21" t="s">
        <v>22</v>
      </c>
      <c r="D44" s="11" t="s">
        <v>14</v>
      </c>
      <c r="E44" s="435">
        <v>0</v>
      </c>
      <c r="F44" s="438">
        <f>5/E24</f>
        <v>0.19230769230769232</v>
      </c>
      <c r="G44" s="437" t="s">
        <v>15</v>
      </c>
      <c r="H44" s="435">
        <v>0</v>
      </c>
      <c r="I44" s="433">
        <f>11/I24</f>
        <v>0.55000000000000004</v>
      </c>
      <c r="J44" s="102"/>
      <c r="K44" s="103"/>
      <c r="L44" s="104"/>
      <c r="M44" s="330"/>
      <c r="N44" s="334" t="s">
        <v>484</v>
      </c>
    </row>
    <row r="45" spans="2:14" x14ac:dyDescent="0.25">
      <c r="B45" s="269" t="s">
        <v>350</v>
      </c>
      <c r="C45" s="21" t="s">
        <v>21</v>
      </c>
      <c r="D45" s="11" t="s">
        <v>17</v>
      </c>
      <c r="E45" s="435">
        <v>0</v>
      </c>
      <c r="F45" s="438">
        <f>3.85*F44</f>
        <v>0.74038461538461542</v>
      </c>
      <c r="G45" s="437" t="s">
        <v>15</v>
      </c>
      <c r="H45" s="435">
        <v>0</v>
      </c>
      <c r="I45" s="438">
        <f>3.85*I44</f>
        <v>2.1175000000000002</v>
      </c>
      <c r="J45" s="102"/>
      <c r="K45" s="103"/>
      <c r="L45" s="104"/>
      <c r="M45" s="330"/>
      <c r="N45" s="334"/>
    </row>
    <row r="46" spans="2:14" x14ac:dyDescent="0.25">
      <c r="B46" s="269" t="s">
        <v>350</v>
      </c>
      <c r="C46" s="21" t="s">
        <v>476</v>
      </c>
      <c r="D46" s="67" t="s">
        <v>352</v>
      </c>
      <c r="E46" s="435">
        <v>0</v>
      </c>
      <c r="F46" s="438">
        <f>SUM(F41,F43,F45)/1000*F24/E11</f>
        <v>0.23162643970189695</v>
      </c>
      <c r="G46" s="437" t="s">
        <v>15</v>
      </c>
      <c r="H46" s="435">
        <v>0</v>
      </c>
      <c r="I46" s="438">
        <f>SUM(I41,I43,I45)/1000*I24/H11</f>
        <v>9.752939814814815E-2</v>
      </c>
      <c r="J46" s="102" t="s">
        <v>486</v>
      </c>
      <c r="K46" s="103"/>
      <c r="L46" s="104"/>
      <c r="M46" s="330"/>
      <c r="N46" s="334" t="s">
        <v>485</v>
      </c>
    </row>
    <row r="47" spans="2:14" x14ac:dyDescent="0.25">
      <c r="B47" s="268"/>
      <c r="C47" s="6" t="s">
        <v>80</v>
      </c>
      <c r="D47" s="7"/>
      <c r="E47" s="51"/>
      <c r="F47" s="7"/>
      <c r="G47" s="7"/>
      <c r="H47" s="7"/>
      <c r="I47" s="28"/>
      <c r="J47" s="111"/>
      <c r="K47" s="112"/>
      <c r="L47" s="113"/>
      <c r="M47" s="331"/>
      <c r="N47" s="334"/>
    </row>
    <row r="48" spans="2:14" x14ac:dyDescent="0.25">
      <c r="B48" s="269" t="s">
        <v>350</v>
      </c>
      <c r="C48" s="49" t="s">
        <v>64</v>
      </c>
      <c r="D48" s="50"/>
      <c r="E48" s="53">
        <v>0.21589999999999998</v>
      </c>
      <c r="F48" s="54">
        <v>8.7100000000000066E-2</v>
      </c>
      <c r="G48" s="420">
        <f>1-SUM(G49,G52,G55,G56,G57,G60,G63)</f>
        <v>0.26810402612573847</v>
      </c>
      <c r="H48" s="441">
        <f>1-H64</f>
        <v>0.82000000000000006</v>
      </c>
      <c r="I48" s="441">
        <f>1-I64</f>
        <v>0.71160000000000001</v>
      </c>
      <c r="J48" s="114" t="s">
        <v>327</v>
      </c>
      <c r="K48" s="115" t="s">
        <v>336</v>
      </c>
      <c r="L48" s="116" t="s">
        <v>337</v>
      </c>
      <c r="M48" s="144"/>
      <c r="N48" s="334"/>
    </row>
    <row r="49" spans="2:14" x14ac:dyDescent="0.25">
      <c r="B49" s="269" t="s">
        <v>350</v>
      </c>
      <c r="C49" s="49" t="s">
        <v>65</v>
      </c>
      <c r="D49" s="50"/>
      <c r="E49" s="53">
        <v>0.2329</v>
      </c>
      <c r="F49" s="54">
        <v>0.30459999999999998</v>
      </c>
      <c r="G49" s="55">
        <v>0.17712057233973377</v>
      </c>
      <c r="H49" s="53">
        <v>4.9000000000000002E-2</v>
      </c>
      <c r="I49" s="419">
        <v>0.13220000000000001</v>
      </c>
      <c r="J49" s="114" t="s">
        <v>327</v>
      </c>
      <c r="K49" s="115" t="s">
        <v>336</v>
      </c>
      <c r="L49" s="116" t="s">
        <v>337</v>
      </c>
      <c r="M49" s="144"/>
      <c r="N49" s="334"/>
    </row>
    <row r="50" spans="2:14" x14ac:dyDescent="0.25">
      <c r="B50" s="268"/>
      <c r="C50" s="21" t="s">
        <v>71</v>
      </c>
      <c r="D50" s="11"/>
      <c r="E50" s="46">
        <v>0.15490000000000001</v>
      </c>
      <c r="F50" s="48">
        <v>0.23150000000000001</v>
      </c>
      <c r="G50" s="59">
        <v>6.5704424794367555E-2</v>
      </c>
      <c r="H50" s="46">
        <v>3.2000000000000001E-2</v>
      </c>
      <c r="I50" s="418">
        <v>0.1241</v>
      </c>
      <c r="J50" s="102" t="s">
        <v>327</v>
      </c>
      <c r="K50" s="103" t="s">
        <v>336</v>
      </c>
      <c r="L50" s="104" t="s">
        <v>337</v>
      </c>
      <c r="M50" s="330"/>
      <c r="N50" s="334"/>
    </row>
    <row r="51" spans="2:14" x14ac:dyDescent="0.25">
      <c r="B51" s="268"/>
      <c r="C51" s="21" t="s">
        <v>74</v>
      </c>
      <c r="D51" s="11"/>
      <c r="E51" s="46">
        <v>7.8100000000000003E-2</v>
      </c>
      <c r="F51" s="48">
        <v>7.3099999999999998E-2</v>
      </c>
      <c r="G51" s="59">
        <v>0.11086135264263243</v>
      </c>
      <c r="H51" s="46">
        <v>1.7000000000000001E-2</v>
      </c>
      <c r="I51" s="418">
        <v>8.0999999999999996E-3</v>
      </c>
      <c r="J51" s="102" t="s">
        <v>327</v>
      </c>
      <c r="K51" s="103" t="s">
        <v>336</v>
      </c>
      <c r="L51" s="104" t="s">
        <v>337</v>
      </c>
      <c r="M51" s="330"/>
      <c r="N51" s="334"/>
    </row>
    <row r="52" spans="2:14" x14ac:dyDescent="0.25">
      <c r="B52" s="269" t="s">
        <v>350</v>
      </c>
      <c r="C52" s="49" t="s">
        <v>66</v>
      </c>
      <c r="D52" s="50"/>
      <c r="E52" s="53">
        <v>0.13400000000000001</v>
      </c>
      <c r="F52" s="54">
        <v>0.08</v>
      </c>
      <c r="G52" s="55">
        <v>5.4691859522632731E-2</v>
      </c>
      <c r="H52" s="53">
        <v>2.8000000000000001E-2</v>
      </c>
      <c r="I52" s="419">
        <v>4.3099999999999999E-2</v>
      </c>
      <c r="J52" s="114" t="s">
        <v>327</v>
      </c>
      <c r="K52" s="115" t="s">
        <v>336</v>
      </c>
      <c r="L52" s="116" t="s">
        <v>337</v>
      </c>
      <c r="M52" s="144"/>
      <c r="N52" s="334"/>
    </row>
    <row r="53" spans="2:14" x14ac:dyDescent="0.25">
      <c r="B53" s="268"/>
      <c r="C53" s="21" t="s">
        <v>75</v>
      </c>
      <c r="D53" s="11"/>
      <c r="E53" s="52">
        <v>9.3399999999999997E-2</v>
      </c>
      <c r="F53" s="48">
        <v>6.8400000000000002E-2</v>
      </c>
      <c r="G53" s="22" t="s">
        <v>15</v>
      </c>
      <c r="H53" s="46">
        <v>8.0000000000000002E-3</v>
      </c>
      <c r="I53" s="418">
        <f>I52-I54</f>
        <v>1.4200000000000001E-2</v>
      </c>
      <c r="J53" s="102" t="s">
        <v>327</v>
      </c>
      <c r="K53" s="103" t="s">
        <v>336</v>
      </c>
      <c r="L53" s="104" t="s">
        <v>337</v>
      </c>
      <c r="M53" s="330"/>
      <c r="N53" s="334"/>
    </row>
    <row r="54" spans="2:14" x14ac:dyDescent="0.25">
      <c r="B54" s="268"/>
      <c r="C54" s="21" t="s">
        <v>76</v>
      </c>
      <c r="D54" s="11"/>
      <c r="E54" s="52">
        <v>3.61E-2</v>
      </c>
      <c r="F54" s="48">
        <v>1.1599999999999999E-2</v>
      </c>
      <c r="G54" s="22" t="s">
        <v>15</v>
      </c>
      <c r="H54" s="46">
        <v>0.02</v>
      </c>
      <c r="I54" s="418">
        <v>2.8899999999999999E-2</v>
      </c>
      <c r="J54" s="102" t="s">
        <v>327</v>
      </c>
      <c r="K54" s="103" t="s">
        <v>336</v>
      </c>
      <c r="L54" s="104" t="s">
        <v>337</v>
      </c>
      <c r="M54" s="330"/>
      <c r="N54" s="334"/>
    </row>
    <row r="55" spans="2:14" x14ac:dyDescent="0.25">
      <c r="B55" s="269" t="s">
        <v>350</v>
      </c>
      <c r="C55" s="49" t="s">
        <v>77</v>
      </c>
      <c r="D55" s="50"/>
      <c r="E55" s="56" t="s">
        <v>15</v>
      </c>
      <c r="F55" s="57" t="s">
        <v>15</v>
      </c>
      <c r="G55" s="55">
        <v>8.1868111985937519E-2</v>
      </c>
      <c r="H55" s="417" t="s">
        <v>15</v>
      </c>
      <c r="I55" s="417" t="s">
        <v>15</v>
      </c>
      <c r="J55" s="114" t="s">
        <v>327</v>
      </c>
      <c r="K55" s="115" t="s">
        <v>336</v>
      </c>
      <c r="L55" s="116" t="s">
        <v>337</v>
      </c>
      <c r="M55" s="144"/>
      <c r="N55" s="334"/>
    </row>
    <row r="56" spans="2:14" x14ac:dyDescent="0.25">
      <c r="B56" s="269" t="s">
        <v>350</v>
      </c>
      <c r="C56" s="49" t="s">
        <v>67</v>
      </c>
      <c r="D56" s="50"/>
      <c r="E56" s="53">
        <v>6.4199999999999993E-2</v>
      </c>
      <c r="F56" s="54">
        <v>9.1700000000000004E-2</v>
      </c>
      <c r="G56" s="55">
        <v>2.1057819237225876E-2</v>
      </c>
      <c r="H56" s="53">
        <v>2.9000000000000001E-2</v>
      </c>
      <c r="I56" s="419">
        <v>2.8899999999999999E-2</v>
      </c>
      <c r="J56" s="114" t="s">
        <v>327</v>
      </c>
      <c r="K56" s="115" t="s">
        <v>336</v>
      </c>
      <c r="L56" s="116" t="s">
        <v>337</v>
      </c>
      <c r="M56" s="144"/>
      <c r="N56" s="334"/>
    </row>
    <row r="57" spans="2:14" ht="15.95" customHeight="1" x14ac:dyDescent="0.25">
      <c r="B57" s="269" t="s">
        <v>350</v>
      </c>
      <c r="C57" s="49" t="s">
        <v>68</v>
      </c>
      <c r="D57" s="50"/>
      <c r="E57" s="53">
        <v>0.1386</v>
      </c>
      <c r="F57" s="54">
        <v>0.15459999999999999</v>
      </c>
      <c r="G57" s="55">
        <v>0.19920534040678378</v>
      </c>
      <c r="H57" s="53">
        <v>3.3000000000000002E-2</v>
      </c>
      <c r="I57" s="419">
        <v>4.5600000000000002E-2</v>
      </c>
      <c r="J57" s="114" t="s">
        <v>327</v>
      </c>
      <c r="K57" s="115" t="s">
        <v>336</v>
      </c>
      <c r="L57" s="116" t="s">
        <v>337</v>
      </c>
      <c r="M57" s="144"/>
      <c r="N57" s="334"/>
    </row>
    <row r="58" spans="2:14" ht="15.95" customHeight="1" x14ac:dyDescent="0.25">
      <c r="B58" s="268"/>
      <c r="C58" s="21" t="s">
        <v>82</v>
      </c>
      <c r="D58" s="11"/>
      <c r="E58" s="52">
        <f>0.46%+3.08%</f>
        <v>3.5400000000000001E-2</v>
      </c>
      <c r="F58" s="48">
        <f>3.42%+0.42%</f>
        <v>3.8400000000000004E-2</v>
      </c>
      <c r="G58" s="59">
        <v>1.8456764864483825E-2</v>
      </c>
      <c r="H58" s="46"/>
      <c r="I58" s="418"/>
      <c r="J58" s="102" t="s">
        <v>327</v>
      </c>
      <c r="K58" s="103" t="s">
        <v>336</v>
      </c>
      <c r="L58" s="104" t="s">
        <v>337</v>
      </c>
      <c r="M58" s="330"/>
      <c r="N58" s="334"/>
    </row>
    <row r="59" spans="2:14" ht="15.95" customHeight="1" x14ac:dyDescent="0.25">
      <c r="B59" s="268"/>
      <c r="C59" s="21" t="s">
        <v>81</v>
      </c>
      <c r="D59" s="11"/>
      <c r="E59" s="52">
        <f>1.55%+8.76%</f>
        <v>0.1031</v>
      </c>
      <c r="F59" s="48">
        <v>0.1162</v>
      </c>
      <c r="G59" s="59">
        <v>0.18692188260407724</v>
      </c>
      <c r="H59" s="46"/>
      <c r="I59" s="418"/>
      <c r="J59" s="102" t="s">
        <v>327</v>
      </c>
      <c r="K59" s="103" t="s">
        <v>336</v>
      </c>
      <c r="L59" s="104" t="s">
        <v>337</v>
      </c>
      <c r="M59" s="330"/>
      <c r="N59" s="334"/>
    </row>
    <row r="60" spans="2:14" x14ac:dyDescent="0.25">
      <c r="B60" s="269" t="s">
        <v>350</v>
      </c>
      <c r="C60" s="49" t="s">
        <v>69</v>
      </c>
      <c r="D60" s="50"/>
      <c r="E60" s="53">
        <v>9.8500000000000004E-2</v>
      </c>
      <c r="F60" s="54">
        <v>0.13569999999999999</v>
      </c>
      <c r="G60" s="55">
        <v>7.0605884071970423E-2</v>
      </c>
      <c r="H60" s="53">
        <v>2.4E-2</v>
      </c>
      <c r="I60" s="419">
        <v>3.2500000000000001E-2</v>
      </c>
      <c r="J60" s="114" t="s">
        <v>327</v>
      </c>
      <c r="K60" s="115" t="s">
        <v>336</v>
      </c>
      <c r="L60" s="116" t="s">
        <v>337</v>
      </c>
      <c r="M60" s="144"/>
      <c r="N60" s="334"/>
    </row>
    <row r="61" spans="2:14" x14ac:dyDescent="0.25">
      <c r="B61" s="269" t="s">
        <v>350</v>
      </c>
      <c r="C61" s="21" t="s">
        <v>72</v>
      </c>
      <c r="D61" s="11"/>
      <c r="E61" s="52">
        <v>5.6899999999999999E-2</v>
      </c>
      <c r="F61" s="48">
        <v>7.51E-2</v>
      </c>
      <c r="G61" s="59" t="s">
        <v>15</v>
      </c>
      <c r="H61" s="46">
        <v>6.0000000000000001E-3</v>
      </c>
      <c r="I61" s="418">
        <v>1.6199999999999999E-2</v>
      </c>
      <c r="J61" s="102" t="s">
        <v>327</v>
      </c>
      <c r="K61" s="103" t="s">
        <v>336</v>
      </c>
      <c r="L61" s="104" t="s">
        <v>337</v>
      </c>
      <c r="M61" s="330"/>
      <c r="N61" s="334"/>
    </row>
    <row r="62" spans="2:14" x14ac:dyDescent="0.25">
      <c r="B62" s="269" t="s">
        <v>350</v>
      </c>
      <c r="C62" s="21" t="s">
        <v>73</v>
      </c>
      <c r="D62" s="11"/>
      <c r="E62" s="52">
        <v>4.1599999999999998E-2</v>
      </c>
      <c r="F62" s="48">
        <v>6.0600000000000001E-2</v>
      </c>
      <c r="G62" s="59" t="s">
        <v>15</v>
      </c>
      <c r="H62" s="46">
        <v>1.7999999999999999E-2</v>
      </c>
      <c r="I62" s="418">
        <v>1.6299999999999999E-2</v>
      </c>
      <c r="J62" s="102" t="s">
        <v>327</v>
      </c>
      <c r="K62" s="103" t="s">
        <v>336</v>
      </c>
      <c r="L62" s="104" t="s">
        <v>337</v>
      </c>
      <c r="M62" s="330"/>
      <c r="N62" s="334"/>
    </row>
    <row r="63" spans="2:14" x14ac:dyDescent="0.25">
      <c r="B63" s="269" t="s">
        <v>350</v>
      </c>
      <c r="C63" s="49" t="s">
        <v>632</v>
      </c>
      <c r="D63" s="50"/>
      <c r="E63" s="53">
        <v>0.1159</v>
      </c>
      <c r="F63" s="54">
        <v>0.14630000000000001</v>
      </c>
      <c r="G63" s="55">
        <v>0.12734638630997741</v>
      </c>
      <c r="H63" s="53">
        <v>1.7000000000000001E-2</v>
      </c>
      <c r="I63" s="419">
        <v>6.1000000000000004E-3</v>
      </c>
      <c r="J63" s="114" t="s">
        <v>327</v>
      </c>
      <c r="K63" s="115" t="s">
        <v>336</v>
      </c>
      <c r="L63" s="116" t="s">
        <v>337</v>
      </c>
      <c r="M63" s="144"/>
      <c r="N63" s="334"/>
    </row>
    <row r="64" spans="2:14" ht="15.75" thickBot="1" x14ac:dyDescent="0.3">
      <c r="B64" s="268"/>
      <c r="C64" s="23"/>
      <c r="D64" s="15"/>
      <c r="E64" s="47"/>
      <c r="F64" s="43"/>
      <c r="G64" s="60"/>
      <c r="H64" s="439">
        <f>SUM(H49,H52,H56,H57,H60,H63)</f>
        <v>0.18</v>
      </c>
      <c r="I64" s="439">
        <f>SUM(I49,I52,I56,I57,I60,I63)</f>
        <v>0.28839999999999999</v>
      </c>
      <c r="J64" s="102"/>
      <c r="K64" s="103"/>
      <c r="L64" s="104"/>
      <c r="M64" s="330">
        <f>34.5/100</f>
        <v>0.34499999999999997</v>
      </c>
      <c r="N64" s="334"/>
    </row>
    <row r="65" spans="2:15" x14ac:dyDescent="0.25">
      <c r="B65" s="268"/>
      <c r="C65" s="5" t="s">
        <v>11</v>
      </c>
      <c r="D65" s="18"/>
      <c r="E65" s="18"/>
      <c r="F65" s="18"/>
      <c r="G65" s="18"/>
      <c r="H65" s="18"/>
      <c r="I65" s="19"/>
      <c r="J65" s="132"/>
      <c r="K65" s="133"/>
      <c r="L65" s="134"/>
      <c r="M65" s="332"/>
      <c r="N65" s="334" t="s">
        <v>552</v>
      </c>
    </row>
    <row r="66" spans="2:15" x14ac:dyDescent="0.25">
      <c r="B66" s="268"/>
      <c r="C66" s="6" t="s">
        <v>33</v>
      </c>
      <c r="D66" s="7" t="s">
        <v>658</v>
      </c>
      <c r="E66" s="83">
        <f t="shared" ref="E66:F68" si="2">SUM(E81,E84,E94,E98,E101,E89)</f>
        <v>135.4</v>
      </c>
      <c r="F66" s="83">
        <f t="shared" si="2"/>
        <v>106.56860465116279</v>
      </c>
      <c r="G66" s="7">
        <f>SUM(G81,G84,G98,G102)</f>
        <v>226</v>
      </c>
      <c r="H66" s="7">
        <f>SUM(H81,H84,H94,H98)</f>
        <v>60.050000000000004</v>
      </c>
      <c r="I66" s="7">
        <f>SUM(I81,I84,I94,I98)</f>
        <v>59.314</v>
      </c>
      <c r="J66" s="111"/>
      <c r="K66" s="112"/>
      <c r="L66" s="113"/>
      <c r="M66" s="331"/>
      <c r="N66" s="334"/>
      <c r="O66" t="s">
        <v>553</v>
      </c>
    </row>
    <row r="67" spans="2:15" x14ac:dyDescent="0.25">
      <c r="B67" s="268"/>
      <c r="C67" s="6" t="s">
        <v>39</v>
      </c>
      <c r="D67" s="7" t="s">
        <v>86</v>
      </c>
      <c r="E67" s="83">
        <f t="shared" si="2"/>
        <v>6.49</v>
      </c>
      <c r="F67" s="83">
        <f t="shared" si="2"/>
        <v>4.9401010101010101</v>
      </c>
      <c r="G67" s="65">
        <f>(9022+8128)/3600+G103</f>
        <v>6.0138888888888893</v>
      </c>
      <c r="H67" s="66">
        <f>SUM(H82,H85,H90,H95,H99)</f>
        <v>1.7808333333333333</v>
      </c>
      <c r="I67" s="66">
        <f>SUM(I82,I85,I90,I95,I99)</f>
        <v>1.726388888888889</v>
      </c>
      <c r="J67" s="111"/>
      <c r="K67" s="112"/>
      <c r="L67" s="113"/>
      <c r="M67" s="331"/>
      <c r="N67" s="334"/>
    </row>
    <row r="68" spans="2:15" x14ac:dyDescent="0.25">
      <c r="B68" s="268"/>
      <c r="C68" s="6" t="s">
        <v>101</v>
      </c>
      <c r="D68" s="7" t="s">
        <v>102</v>
      </c>
      <c r="E68" s="83">
        <f t="shared" si="2"/>
        <v>59.900000000000006</v>
      </c>
      <c r="F68" s="83">
        <f t="shared" si="2"/>
        <v>51.281818181818181</v>
      </c>
      <c r="G68" s="66">
        <f>SUM(G83,G86,G96,G100,G91,G104)</f>
        <v>329.84311475409834</v>
      </c>
      <c r="H68" s="66">
        <f>SUM(H83,H86,H96,H100,H91)</f>
        <v>31.2</v>
      </c>
      <c r="I68" s="66">
        <f>SUM(I83,I86,I96,I100,I91)</f>
        <v>30.7</v>
      </c>
      <c r="J68" s="111"/>
      <c r="K68" s="112"/>
      <c r="L68" s="113"/>
      <c r="M68" s="331"/>
      <c r="N68" s="334"/>
    </row>
    <row r="69" spans="2:15" x14ac:dyDescent="0.25">
      <c r="B69" s="268"/>
      <c r="C69" s="6" t="s">
        <v>40</v>
      </c>
      <c r="D69" s="7" t="s">
        <v>87</v>
      </c>
      <c r="E69" s="83">
        <f>E68/E66</f>
        <v>0.44239290989660268</v>
      </c>
      <c r="F69" s="83">
        <f t="shared" ref="F69" si="3">F68/F66</f>
        <v>0.48120943639716351</v>
      </c>
      <c r="G69" s="393" t="e">
        <f>G132/ (G141/G67*G66)</f>
        <v>#DIV/0!</v>
      </c>
      <c r="H69" s="442">
        <f>H68/H66</f>
        <v>0.51956702747710237</v>
      </c>
      <c r="I69" s="442">
        <f>I68/I66</f>
        <v>0.51758438142765617</v>
      </c>
      <c r="J69" s="111" t="s">
        <v>545</v>
      </c>
      <c r="K69" s="112" t="s">
        <v>546</v>
      </c>
      <c r="L69" s="113" t="s">
        <v>353</v>
      </c>
      <c r="M69" s="331" t="s">
        <v>551</v>
      </c>
      <c r="N69" s="334"/>
    </row>
    <row r="70" spans="2:15" ht="15.75" thickBot="1" x14ac:dyDescent="0.3">
      <c r="B70" s="268"/>
      <c r="C70" s="6" t="s">
        <v>499</v>
      </c>
      <c r="D70" s="337" t="s">
        <v>500</v>
      </c>
      <c r="E70" s="440">
        <f>E68/E66/ (E74/1000) *0.85</f>
        <v>0.10293839951057002</v>
      </c>
      <c r="F70" s="440">
        <f>F68/F66/ (F74/1000) *0.85</f>
        <v>0.11197044099030631</v>
      </c>
      <c r="G70" s="7"/>
      <c r="H70" s="7"/>
      <c r="I70" s="28"/>
      <c r="J70" s="111"/>
      <c r="K70" s="112"/>
      <c r="L70" s="113"/>
      <c r="M70" s="6" t="s">
        <v>657</v>
      </c>
      <c r="N70" s="334"/>
    </row>
    <row r="71" spans="2:15" ht="14.1" customHeight="1" x14ac:dyDescent="0.25">
      <c r="B71" s="268"/>
      <c r="C71" s="84" t="s">
        <v>103</v>
      </c>
      <c r="D71" s="85" t="s">
        <v>85</v>
      </c>
      <c r="E71" s="86">
        <f>SUM(E81,E84,E94,E98,E101)</f>
        <v>58.5</v>
      </c>
      <c r="F71" s="86">
        <f>SUM(F81,F84,F94,F98,F101)</f>
        <v>55.599999999999994</v>
      </c>
      <c r="G71" s="86" t="s">
        <v>15</v>
      </c>
      <c r="H71" s="86"/>
      <c r="I71" s="87"/>
      <c r="J71" s="111"/>
      <c r="K71" s="112"/>
      <c r="L71" s="113"/>
      <c r="M71" s="331"/>
      <c r="N71" s="334"/>
    </row>
    <row r="72" spans="2:15" x14ac:dyDescent="0.25">
      <c r="B72" s="268"/>
      <c r="C72" s="81" t="s">
        <v>104</v>
      </c>
      <c r="D72" s="82" t="s">
        <v>86</v>
      </c>
      <c r="E72" s="83">
        <f>SUM(E82,E85,E95,E99)</f>
        <v>2</v>
      </c>
      <c r="F72" s="83">
        <f>SUM(F82,F85,F95,F99)</f>
        <v>1.7200000000000002</v>
      </c>
      <c r="G72" s="83" t="s">
        <v>15</v>
      </c>
      <c r="H72" s="7"/>
      <c r="I72" s="28"/>
      <c r="J72" s="111"/>
      <c r="K72" s="112"/>
      <c r="L72" s="113"/>
      <c r="M72" s="331"/>
      <c r="N72" s="334"/>
    </row>
    <row r="73" spans="2:15" ht="15.75" thickBot="1" x14ac:dyDescent="0.3">
      <c r="B73" s="268"/>
      <c r="C73" s="88" t="s">
        <v>105</v>
      </c>
      <c r="D73" s="89" t="s">
        <v>87</v>
      </c>
      <c r="E73" s="90">
        <f>SUM(E83,E86,E96,E100)/E71</f>
        <v>0.34529914529914529</v>
      </c>
      <c r="F73" s="90">
        <f>SUM(F83,F86,F96,F100)/F71</f>
        <v>0.33812949640287776</v>
      </c>
      <c r="G73" s="90" t="s">
        <v>15</v>
      </c>
      <c r="H73" s="91"/>
      <c r="I73" s="92"/>
      <c r="J73" s="111"/>
      <c r="K73" s="112"/>
      <c r="L73" s="113"/>
      <c r="M73" s="331"/>
      <c r="N73" s="334"/>
    </row>
    <row r="74" spans="2:15" x14ac:dyDescent="0.25">
      <c r="B74" s="268"/>
      <c r="C74" s="6" t="s">
        <v>502</v>
      </c>
      <c r="D74" s="7" t="s">
        <v>478</v>
      </c>
      <c r="E74" s="7">
        <f>E88+E92</f>
        <v>3653</v>
      </c>
      <c r="F74" s="7">
        <f>F88+F92</f>
        <v>3653</v>
      </c>
      <c r="G74" s="7">
        <f>G88</f>
        <v>3573</v>
      </c>
      <c r="H74" s="7">
        <f>9000*H64</f>
        <v>1620</v>
      </c>
      <c r="I74" s="7">
        <f>9000*I64</f>
        <v>2595.6</v>
      </c>
      <c r="J74" s="111"/>
      <c r="K74" s="112"/>
      <c r="L74" s="113"/>
      <c r="M74" s="331"/>
      <c r="N74" s="334"/>
    </row>
    <row r="75" spans="2:15" x14ac:dyDescent="0.25">
      <c r="B75" s="269" t="s">
        <v>350</v>
      </c>
      <c r="C75" s="6" t="s">
        <v>99</v>
      </c>
      <c r="D75" s="7" t="s">
        <v>62</v>
      </c>
      <c r="E75" s="65">
        <f>E68/E74</f>
        <v>1.6397481522036683E-2</v>
      </c>
      <c r="F75" s="94">
        <f>F68/F74</f>
        <v>1.4038274892367419E-2</v>
      </c>
      <c r="G75" s="65">
        <f>G68/G74</f>
        <v>9.2315453331681591E-2</v>
      </c>
      <c r="H75" s="7"/>
      <c r="I75" s="28"/>
      <c r="J75" s="111"/>
      <c r="K75" s="112"/>
      <c r="L75" s="113"/>
      <c r="M75" s="331"/>
      <c r="N75" s="334"/>
    </row>
    <row r="76" spans="2:15" x14ac:dyDescent="0.25">
      <c r="B76" s="268"/>
      <c r="C76" s="93" t="s">
        <v>100</v>
      </c>
      <c r="D76" s="82" t="s">
        <v>62</v>
      </c>
      <c r="E76" s="65">
        <f>SUM(E83,E86,E96,E100)/E88</f>
        <v>2.4634146341463412E-2</v>
      </c>
      <c r="F76" s="65">
        <f>SUM(F83,F86,F96,F100)/F88</f>
        <v>2.2926829268292682E-2</v>
      </c>
      <c r="G76" s="37" t="s">
        <v>15</v>
      </c>
      <c r="H76" s="7"/>
      <c r="I76" s="28"/>
      <c r="J76" s="111"/>
      <c r="K76" s="112"/>
      <c r="L76" s="113"/>
      <c r="M76" s="331"/>
      <c r="N76" s="334"/>
    </row>
    <row r="77" spans="2:15" x14ac:dyDescent="0.25">
      <c r="B77" s="269" t="s">
        <v>350</v>
      </c>
      <c r="C77" s="6" t="s">
        <v>97</v>
      </c>
      <c r="D77" s="7" t="s">
        <v>88</v>
      </c>
      <c r="E77" s="65">
        <f t="shared" ref="E77:F77" si="4">E66/E74</f>
        <v>3.7065425677525327E-2</v>
      </c>
      <c r="F77" s="94">
        <f t="shared" si="4"/>
        <v>2.9172900260378533E-2</v>
      </c>
      <c r="G77" s="65">
        <f>G66/G74</f>
        <v>6.3252169045619921E-2</v>
      </c>
      <c r="H77" s="7"/>
      <c r="I77" s="28"/>
      <c r="J77" s="111"/>
      <c r="K77" s="112"/>
      <c r="L77" s="113"/>
      <c r="M77" s="331"/>
      <c r="N77" s="334"/>
    </row>
    <row r="78" spans="2:15" x14ac:dyDescent="0.25">
      <c r="B78" s="269" t="s">
        <v>350</v>
      </c>
      <c r="C78" s="93" t="s">
        <v>98</v>
      </c>
      <c r="D78" s="82" t="s">
        <v>88</v>
      </c>
      <c r="E78" s="65">
        <f>E71/E88</f>
        <v>7.134146341463414E-2</v>
      </c>
      <c r="F78" s="65">
        <f>F71/F88</f>
        <v>6.7804878048780479E-2</v>
      </c>
      <c r="G78" s="37" t="s">
        <v>15</v>
      </c>
      <c r="H78" s="7"/>
      <c r="I78" s="28"/>
      <c r="J78" s="111"/>
      <c r="K78" s="112"/>
      <c r="L78" s="113"/>
      <c r="M78" s="331"/>
      <c r="N78" s="334"/>
    </row>
    <row r="79" spans="2:15" x14ac:dyDescent="0.25">
      <c r="B79" s="269"/>
      <c r="C79" s="93" t="s">
        <v>577</v>
      </c>
      <c r="D79" s="82" t="s">
        <v>578</v>
      </c>
      <c r="E79" s="65">
        <v>600</v>
      </c>
      <c r="F79" s="65">
        <v>600</v>
      </c>
      <c r="G79" s="37"/>
      <c r="H79" s="7"/>
      <c r="I79" s="28"/>
      <c r="J79" s="111" t="s">
        <v>579</v>
      </c>
      <c r="K79" s="112"/>
      <c r="L79" s="113"/>
      <c r="M79" s="331"/>
      <c r="N79" s="334"/>
    </row>
    <row r="80" spans="2:15" x14ac:dyDescent="0.25">
      <c r="B80" s="268"/>
      <c r="C80" s="29" t="s">
        <v>48</v>
      </c>
      <c r="D80" s="33" t="s">
        <v>89</v>
      </c>
      <c r="E80" s="34" t="s">
        <v>51</v>
      </c>
      <c r="F80" s="34"/>
      <c r="G80" s="34" t="s">
        <v>49</v>
      </c>
      <c r="H80" s="32" t="s">
        <v>50</v>
      </c>
      <c r="I80" s="30"/>
      <c r="J80" s="102" t="s">
        <v>41</v>
      </c>
      <c r="K80" s="103" t="s">
        <v>183</v>
      </c>
      <c r="L80" s="104"/>
      <c r="M80" s="330"/>
      <c r="N80" s="334"/>
    </row>
    <row r="81" spans="2:17" ht="13.5" customHeight="1" x14ac:dyDescent="0.25">
      <c r="B81" s="268"/>
      <c r="C81" s="29" t="s">
        <v>42</v>
      </c>
      <c r="D81" s="33" t="s">
        <v>23</v>
      </c>
      <c r="E81" s="32">
        <v>3.2</v>
      </c>
      <c r="F81" s="32">
        <v>3.2</v>
      </c>
      <c r="G81" s="32">
        <v>7.7</v>
      </c>
      <c r="H81" s="32">
        <v>3.4</v>
      </c>
      <c r="I81" s="32">
        <v>3.4</v>
      </c>
      <c r="J81" s="102" t="s">
        <v>41</v>
      </c>
      <c r="K81" s="103" t="s">
        <v>183</v>
      </c>
      <c r="L81" s="104" t="s">
        <v>113</v>
      </c>
      <c r="M81" s="330"/>
      <c r="N81" s="334"/>
    </row>
    <row r="82" spans="2:17" x14ac:dyDescent="0.25">
      <c r="B82" s="268"/>
      <c r="C82" s="10" t="s">
        <v>24</v>
      </c>
      <c r="D82" s="11" t="s">
        <v>44</v>
      </c>
      <c r="E82" s="12">
        <v>0.15</v>
      </c>
      <c r="F82" s="12">
        <v>0.15</v>
      </c>
      <c r="G82" s="61" t="s">
        <v>15</v>
      </c>
      <c r="H82" s="12">
        <v>0.13</v>
      </c>
      <c r="I82" s="12">
        <v>0.13</v>
      </c>
      <c r="J82" s="102" t="s">
        <v>41</v>
      </c>
      <c r="K82" s="103" t="s">
        <v>183</v>
      </c>
      <c r="L82" s="104" t="s">
        <v>113</v>
      </c>
      <c r="M82" s="330"/>
      <c r="N82" s="334"/>
    </row>
    <row r="83" spans="2:17" x14ac:dyDescent="0.25">
      <c r="B83" s="268"/>
      <c r="C83" s="10" t="s">
        <v>25</v>
      </c>
      <c r="D83" s="11" t="s">
        <v>45</v>
      </c>
      <c r="E83" s="12">
        <v>1</v>
      </c>
      <c r="F83" s="12">
        <v>1</v>
      </c>
      <c r="G83" s="95">
        <f>G81*(1/1.22)</f>
        <v>6.3114754098360661</v>
      </c>
      <c r="H83" s="12">
        <v>0.6</v>
      </c>
      <c r="I83" s="12">
        <v>0.6</v>
      </c>
      <c r="J83" s="102" t="s">
        <v>41</v>
      </c>
      <c r="K83" s="103" t="s">
        <v>183</v>
      </c>
      <c r="L83" s="104" t="s">
        <v>113</v>
      </c>
      <c r="M83" s="330"/>
      <c r="N83" s="334"/>
    </row>
    <row r="84" spans="2:17" ht="13.5" customHeight="1" x14ac:dyDescent="0.25">
      <c r="B84" s="268"/>
      <c r="C84" s="39" t="s">
        <v>6</v>
      </c>
      <c r="D84" s="33" t="s">
        <v>43</v>
      </c>
      <c r="E84" s="32">
        <v>8.6</v>
      </c>
      <c r="F84" s="35">
        <v>5.7</v>
      </c>
      <c r="G84" s="32">
        <v>60.8</v>
      </c>
      <c r="H84" s="32">
        <v>3.55</v>
      </c>
      <c r="I84" s="30">
        <v>2.8140000000000001</v>
      </c>
      <c r="J84" s="102" t="s">
        <v>41</v>
      </c>
      <c r="K84" s="103" t="s">
        <v>183</v>
      </c>
      <c r="L84" s="104" t="s">
        <v>113</v>
      </c>
      <c r="M84" s="330"/>
      <c r="N84" s="334"/>
    </row>
    <row r="85" spans="2:17" ht="13.5" customHeight="1" x14ac:dyDescent="0.25">
      <c r="B85" s="268"/>
      <c r="C85" s="10" t="s">
        <v>24</v>
      </c>
      <c r="D85" s="11" t="s">
        <v>44</v>
      </c>
      <c r="E85" s="12">
        <v>0.99</v>
      </c>
      <c r="F85" s="36">
        <v>0.71</v>
      </c>
      <c r="G85" s="13"/>
      <c r="H85" s="421">
        <f>1695/60/60</f>
        <v>0.47083333333333333</v>
      </c>
      <c r="I85" s="422">
        <f>1499/60/60</f>
        <v>0.41638888888888892</v>
      </c>
      <c r="J85" s="102" t="s">
        <v>41</v>
      </c>
      <c r="K85" s="103" t="s">
        <v>183</v>
      </c>
      <c r="L85" s="104" t="s">
        <v>113</v>
      </c>
      <c r="M85" s="330"/>
      <c r="N85" s="334"/>
    </row>
    <row r="86" spans="2:17" ht="13.5" customHeight="1" x14ac:dyDescent="0.25">
      <c r="B86" s="268"/>
      <c r="C86" s="10" t="s">
        <v>25</v>
      </c>
      <c r="D86" s="11" t="s">
        <v>45</v>
      </c>
      <c r="E86" s="12">
        <v>7.7</v>
      </c>
      <c r="F86" s="36">
        <v>6.3</v>
      </c>
      <c r="G86" s="61">
        <v>77.63</v>
      </c>
      <c r="H86" s="12">
        <v>4.3</v>
      </c>
      <c r="I86" s="20">
        <v>3.8</v>
      </c>
      <c r="J86" s="102" t="s">
        <v>41</v>
      </c>
      <c r="K86" s="103" t="s">
        <v>183</v>
      </c>
      <c r="L86" s="104" t="s">
        <v>113</v>
      </c>
      <c r="M86" s="330"/>
      <c r="N86" s="334"/>
      <c r="P86" s="157" t="s">
        <v>176</v>
      </c>
      <c r="Q86" t="s">
        <v>50</v>
      </c>
    </row>
    <row r="87" spans="2:17" ht="13.5" customHeight="1" x14ac:dyDescent="0.25">
      <c r="B87" s="268"/>
      <c r="C87" s="10" t="s">
        <v>55</v>
      </c>
      <c r="D87" s="67" t="s">
        <v>5</v>
      </c>
      <c r="E87" s="12">
        <v>26</v>
      </c>
      <c r="F87" s="36">
        <v>19</v>
      </c>
      <c r="G87" s="13">
        <v>40</v>
      </c>
      <c r="H87" s="12">
        <v>16</v>
      </c>
      <c r="I87" s="20">
        <v>14</v>
      </c>
      <c r="J87" s="102" t="s">
        <v>41</v>
      </c>
      <c r="K87" s="103" t="s">
        <v>183</v>
      </c>
      <c r="L87" s="104"/>
      <c r="M87" s="330"/>
      <c r="N87" s="334"/>
      <c r="P87" t="s">
        <v>175</v>
      </c>
    </row>
    <row r="88" spans="2:17" ht="13.5" customHeight="1" x14ac:dyDescent="0.25">
      <c r="B88" s="268"/>
      <c r="C88" s="79" t="s">
        <v>477</v>
      </c>
      <c r="D88" s="80" t="s">
        <v>478</v>
      </c>
      <c r="E88" s="12">
        <v>820</v>
      </c>
      <c r="F88" s="36">
        <v>820</v>
      </c>
      <c r="G88" s="307">
        <v>3573</v>
      </c>
      <c r="H88" s="12">
        <v>7000</v>
      </c>
      <c r="I88" s="20">
        <v>2000</v>
      </c>
      <c r="J88" s="102" t="s">
        <v>41</v>
      </c>
      <c r="K88" s="103" t="s">
        <v>183</v>
      </c>
      <c r="L88" s="104"/>
      <c r="M88" s="330"/>
      <c r="N88" s="334"/>
      <c r="P88" t="s">
        <v>173</v>
      </c>
      <c r="Q88" t="s">
        <v>174</v>
      </c>
    </row>
    <row r="89" spans="2:17" ht="13.5" customHeight="1" x14ac:dyDescent="0.25">
      <c r="B89" s="268"/>
      <c r="C89" s="39" t="s">
        <v>52</v>
      </c>
      <c r="D89" s="33" t="s">
        <v>43</v>
      </c>
      <c r="E89" s="32">
        <v>76.900000000000006</v>
      </c>
      <c r="F89" s="62">
        <f>E89*F84/E84</f>
        <v>50.968604651162799</v>
      </c>
      <c r="G89" s="70" t="s">
        <v>47</v>
      </c>
      <c r="H89" s="70" t="s">
        <v>47</v>
      </c>
      <c r="I89" s="70" t="s">
        <v>47</v>
      </c>
      <c r="J89" s="102" t="s">
        <v>41</v>
      </c>
      <c r="K89" s="103" t="s">
        <v>183</v>
      </c>
      <c r="L89" s="104"/>
      <c r="M89" s="330"/>
      <c r="N89" s="334"/>
      <c r="O89" t="s">
        <v>171</v>
      </c>
      <c r="P89">
        <v>0.377</v>
      </c>
      <c r="Q89" t="s">
        <v>172</v>
      </c>
    </row>
    <row r="90" spans="2:17" ht="13.5" customHeight="1" x14ac:dyDescent="0.25">
      <c r="B90" s="268"/>
      <c r="C90" s="10" t="s">
        <v>24</v>
      </c>
      <c r="D90" s="11" t="s">
        <v>44</v>
      </c>
      <c r="E90" s="12">
        <v>4.49</v>
      </c>
      <c r="F90" s="63">
        <f>E90*F85/E85</f>
        <v>3.2201010101010099</v>
      </c>
      <c r="G90" s="71" t="s">
        <v>15</v>
      </c>
      <c r="H90" s="12" t="s">
        <v>47</v>
      </c>
      <c r="I90" s="20" t="s">
        <v>47</v>
      </c>
      <c r="J90" s="102" t="s">
        <v>41</v>
      </c>
      <c r="K90" s="103" t="s">
        <v>183</v>
      </c>
      <c r="L90" s="104"/>
      <c r="M90" s="330"/>
      <c r="N90" s="334"/>
      <c r="O90" t="s">
        <v>169</v>
      </c>
      <c r="P90">
        <v>0.19</v>
      </c>
      <c r="Q90" t="s">
        <v>172</v>
      </c>
    </row>
    <row r="91" spans="2:17" ht="13.5" customHeight="1" x14ac:dyDescent="0.25">
      <c r="B91" s="268"/>
      <c r="C91" s="10" t="s">
        <v>25</v>
      </c>
      <c r="D91" s="11" t="s">
        <v>45</v>
      </c>
      <c r="E91" s="12">
        <v>39.700000000000003</v>
      </c>
      <c r="F91" s="63">
        <f>E91*F86/E86</f>
        <v>32.481818181818184</v>
      </c>
      <c r="G91" s="71" t="s">
        <v>15</v>
      </c>
      <c r="H91" s="12" t="s">
        <v>47</v>
      </c>
      <c r="I91" s="20" t="s">
        <v>47</v>
      </c>
      <c r="J91" s="102" t="s">
        <v>41</v>
      </c>
      <c r="K91" s="103" t="s">
        <v>183</v>
      </c>
      <c r="L91" s="104"/>
      <c r="M91" s="330"/>
      <c r="N91" s="334"/>
      <c r="O91" t="s">
        <v>170</v>
      </c>
      <c r="P91">
        <v>0.09</v>
      </c>
      <c r="Q91" t="s">
        <v>172</v>
      </c>
    </row>
    <row r="92" spans="2:17" ht="13.5" customHeight="1" x14ac:dyDescent="0.25">
      <c r="B92" s="268"/>
      <c r="C92" s="10" t="s">
        <v>53</v>
      </c>
      <c r="D92" s="11" t="s">
        <v>54</v>
      </c>
      <c r="E92" s="64">
        <v>2833</v>
      </c>
      <c r="F92" s="78">
        <v>2833</v>
      </c>
      <c r="G92" s="363"/>
      <c r="H92" s="12" t="s">
        <v>47</v>
      </c>
      <c r="I92" s="20" t="s">
        <v>47</v>
      </c>
      <c r="J92" s="102" t="s">
        <v>41</v>
      </c>
      <c r="K92" s="103" t="s">
        <v>183</v>
      </c>
      <c r="L92" s="104"/>
      <c r="M92" s="330"/>
      <c r="N92" s="334"/>
    </row>
    <row r="93" spans="2:17" ht="13.5" customHeight="1" x14ac:dyDescent="0.25">
      <c r="B93" s="268"/>
      <c r="C93" s="29" t="s">
        <v>48</v>
      </c>
      <c r="D93" s="33" t="s">
        <v>89</v>
      </c>
      <c r="E93" s="34" t="s">
        <v>60</v>
      </c>
      <c r="F93" s="34" t="s">
        <v>61</v>
      </c>
      <c r="G93" s="72" t="s">
        <v>95</v>
      </c>
      <c r="H93" s="32" t="s">
        <v>326</v>
      </c>
      <c r="I93" s="30" t="s">
        <v>326</v>
      </c>
      <c r="J93" s="102" t="s">
        <v>41</v>
      </c>
      <c r="K93" s="103" t="s">
        <v>183</v>
      </c>
      <c r="L93" s="104"/>
      <c r="M93" s="330"/>
      <c r="N93" s="334"/>
    </row>
    <row r="94" spans="2:17" x14ac:dyDescent="0.25">
      <c r="B94" s="268"/>
      <c r="C94" s="29" t="s">
        <v>7</v>
      </c>
      <c r="D94" s="33" t="s">
        <v>23</v>
      </c>
      <c r="E94" s="32">
        <v>22.5</v>
      </c>
      <c r="F94" s="32">
        <v>22.5</v>
      </c>
      <c r="G94" s="32">
        <v>150</v>
      </c>
      <c r="H94" s="32">
        <v>50</v>
      </c>
      <c r="I94" s="30">
        <v>50</v>
      </c>
      <c r="J94" s="102" t="s">
        <v>41</v>
      </c>
      <c r="K94" s="103" t="s">
        <v>183</v>
      </c>
      <c r="L94" s="104"/>
      <c r="M94" s="330"/>
      <c r="N94" s="334"/>
    </row>
    <row r="95" spans="2:17" x14ac:dyDescent="0.25">
      <c r="B95" s="268"/>
      <c r="C95" s="10" t="s">
        <v>24</v>
      </c>
      <c r="D95" s="11" t="s">
        <v>44</v>
      </c>
      <c r="E95" s="12">
        <v>0.47</v>
      </c>
      <c r="F95" s="12">
        <v>0.47</v>
      </c>
      <c r="G95" s="13">
        <v>1.25</v>
      </c>
      <c r="H95" s="12">
        <v>1</v>
      </c>
      <c r="I95" s="20">
        <v>1</v>
      </c>
      <c r="J95" s="102" t="s">
        <v>41</v>
      </c>
      <c r="K95" s="103" t="s">
        <v>183</v>
      </c>
      <c r="L95" s="104"/>
      <c r="M95" s="330"/>
      <c r="N95" s="334"/>
    </row>
    <row r="96" spans="2:17" x14ac:dyDescent="0.25">
      <c r="B96" s="268"/>
      <c r="C96" s="10" t="s">
        <v>25</v>
      </c>
      <c r="D96" s="11" t="s">
        <v>45</v>
      </c>
      <c r="E96" s="12">
        <v>6.3</v>
      </c>
      <c r="F96" s="12">
        <v>6.3</v>
      </c>
      <c r="G96" s="61">
        <v>122.95081967213115</v>
      </c>
      <c r="H96" s="12">
        <v>25</v>
      </c>
      <c r="I96" s="20">
        <v>25</v>
      </c>
      <c r="J96" s="102" t="s">
        <v>41</v>
      </c>
      <c r="K96" s="103" t="s">
        <v>183</v>
      </c>
      <c r="L96" s="104"/>
      <c r="M96" s="330"/>
      <c r="N96" s="334"/>
    </row>
    <row r="97" spans="2:14" x14ac:dyDescent="0.25">
      <c r="B97" s="268"/>
      <c r="C97" s="29" t="s">
        <v>48</v>
      </c>
      <c r="D97" s="33" t="s">
        <v>89</v>
      </c>
      <c r="E97" s="34" t="s">
        <v>83</v>
      </c>
      <c r="F97" s="34" t="s">
        <v>84</v>
      </c>
      <c r="G97" s="34" t="s">
        <v>50</v>
      </c>
      <c r="H97" s="32"/>
      <c r="I97" s="30"/>
      <c r="J97" s="102" t="s">
        <v>41</v>
      </c>
      <c r="K97" s="103" t="s">
        <v>183</v>
      </c>
      <c r="L97" s="104"/>
      <c r="M97" s="330"/>
      <c r="N97" s="334"/>
    </row>
    <row r="98" spans="2:14" x14ac:dyDescent="0.25">
      <c r="B98" s="268"/>
      <c r="C98" s="29" t="s">
        <v>8</v>
      </c>
      <c r="D98" s="33" t="s">
        <v>23</v>
      </c>
      <c r="E98" s="32">
        <v>24.2</v>
      </c>
      <c r="F98" s="32">
        <v>24.2</v>
      </c>
      <c r="G98" s="32">
        <v>7.5</v>
      </c>
      <c r="H98" s="32">
        <v>3.1</v>
      </c>
      <c r="I98" s="32">
        <v>3.1</v>
      </c>
      <c r="J98" s="102" t="s">
        <v>41</v>
      </c>
      <c r="K98" s="103" t="s">
        <v>183</v>
      </c>
      <c r="L98" s="104" t="s">
        <v>113</v>
      </c>
      <c r="M98" s="330"/>
      <c r="N98" s="334"/>
    </row>
    <row r="99" spans="2:14" x14ac:dyDescent="0.25">
      <c r="B99" s="268"/>
      <c r="C99" s="10" t="s">
        <v>24</v>
      </c>
      <c r="D99" s="11" t="s">
        <v>44</v>
      </c>
      <c r="E99" s="12">
        <v>0.39</v>
      </c>
      <c r="F99" s="12">
        <v>0.39</v>
      </c>
      <c r="G99" s="61" t="s">
        <v>15</v>
      </c>
      <c r="H99" s="12">
        <v>0.18</v>
      </c>
      <c r="I99" s="12">
        <v>0.18</v>
      </c>
      <c r="J99" s="102" t="s">
        <v>41</v>
      </c>
      <c r="K99" s="103" t="s">
        <v>183</v>
      </c>
      <c r="L99" s="104" t="s">
        <v>113</v>
      </c>
      <c r="M99" s="330"/>
      <c r="N99" s="334"/>
    </row>
    <row r="100" spans="2:14" ht="15.6" customHeight="1" x14ac:dyDescent="0.25">
      <c r="B100" s="268"/>
      <c r="C100" s="10" t="s">
        <v>25</v>
      </c>
      <c r="D100" s="11" t="s">
        <v>45</v>
      </c>
      <c r="E100" s="12">
        <v>5.2</v>
      </c>
      <c r="F100" s="12">
        <v>5.2</v>
      </c>
      <c r="G100" s="61" t="s">
        <v>15</v>
      </c>
      <c r="H100" s="12">
        <v>1.3</v>
      </c>
      <c r="I100" s="12">
        <v>1.3</v>
      </c>
      <c r="J100" s="102" t="s">
        <v>41</v>
      </c>
      <c r="K100" s="103" t="s">
        <v>183</v>
      </c>
      <c r="L100" s="104" t="s">
        <v>113</v>
      </c>
      <c r="M100" s="330"/>
      <c r="N100" s="334"/>
    </row>
    <row r="101" spans="2:14" x14ac:dyDescent="0.25">
      <c r="B101" s="268"/>
      <c r="C101" s="6" t="s">
        <v>46</v>
      </c>
      <c r="D101" s="7"/>
      <c r="E101" s="68" t="s">
        <v>47</v>
      </c>
      <c r="F101" s="68" t="s">
        <v>47</v>
      </c>
      <c r="G101" s="77" t="s">
        <v>95</v>
      </c>
      <c r="H101" s="77" t="s">
        <v>326</v>
      </c>
      <c r="I101" s="257" t="s">
        <v>326</v>
      </c>
      <c r="J101" s="111" t="s">
        <v>50</v>
      </c>
      <c r="K101" s="112" t="s">
        <v>182</v>
      </c>
      <c r="L101" s="113" t="s">
        <v>113</v>
      </c>
      <c r="M101" s="331"/>
      <c r="N101" s="334"/>
    </row>
    <row r="102" spans="2:14" x14ac:dyDescent="0.25">
      <c r="B102" s="268"/>
      <c r="C102" s="10" t="s">
        <v>96</v>
      </c>
      <c r="D102" s="11" t="s">
        <v>23</v>
      </c>
      <c r="E102" s="69" t="s">
        <v>15</v>
      </c>
      <c r="F102" s="69" t="s">
        <v>15</v>
      </c>
      <c r="G102" s="13">
        <v>150</v>
      </c>
      <c r="H102" s="12">
        <v>50</v>
      </c>
      <c r="I102" s="20">
        <v>50</v>
      </c>
      <c r="J102" s="102"/>
      <c r="K102" s="103" t="s">
        <v>182</v>
      </c>
      <c r="L102" s="104"/>
      <c r="M102" s="330"/>
      <c r="N102" s="334"/>
    </row>
    <row r="103" spans="2:14" x14ac:dyDescent="0.25">
      <c r="B103" s="268"/>
      <c r="C103" s="10" t="s">
        <v>24</v>
      </c>
      <c r="D103" s="11" t="s">
        <v>44</v>
      </c>
      <c r="E103" s="69" t="s">
        <v>15</v>
      </c>
      <c r="F103" s="69" t="s">
        <v>15</v>
      </c>
      <c r="G103" s="38">
        <f>1*1.25</f>
        <v>1.25</v>
      </c>
      <c r="H103" s="12">
        <v>1</v>
      </c>
      <c r="I103" s="20">
        <v>1</v>
      </c>
      <c r="J103" s="102"/>
      <c r="K103" s="103" t="s">
        <v>182</v>
      </c>
      <c r="L103" s="104"/>
      <c r="M103" s="330"/>
      <c r="N103" s="334"/>
    </row>
    <row r="104" spans="2:14" x14ac:dyDescent="0.25">
      <c r="B104" s="268"/>
      <c r="C104" s="10" t="s">
        <v>25</v>
      </c>
      <c r="D104" s="11" t="s">
        <v>45</v>
      </c>
      <c r="E104" s="69" t="s">
        <v>15</v>
      </c>
      <c r="F104" s="69" t="s">
        <v>15</v>
      </c>
      <c r="G104" s="38">
        <f>G102/1.22</f>
        <v>122.95081967213115</v>
      </c>
      <c r="H104" s="12">
        <f>H102*0.5</f>
        <v>25</v>
      </c>
      <c r="I104" s="20">
        <f>I102*0.5</f>
        <v>25</v>
      </c>
      <c r="J104" s="102"/>
      <c r="K104" s="103" t="s">
        <v>182</v>
      </c>
      <c r="L104" s="104"/>
      <c r="M104" s="330"/>
      <c r="N104" s="334"/>
    </row>
    <row r="105" spans="2:14" x14ac:dyDescent="0.25">
      <c r="B105" s="268"/>
      <c r="C105" s="6" t="s">
        <v>90</v>
      </c>
      <c r="D105" s="7"/>
      <c r="E105" s="7"/>
      <c r="F105" s="7"/>
      <c r="G105" s="7"/>
      <c r="H105" s="7"/>
      <c r="I105" s="28"/>
      <c r="J105" s="111"/>
      <c r="K105" s="112"/>
      <c r="L105" s="113"/>
      <c r="M105" s="331"/>
      <c r="N105" s="334"/>
    </row>
    <row r="106" spans="2:14" x14ac:dyDescent="0.25">
      <c r="B106" s="268"/>
      <c r="C106" s="40" t="s">
        <v>12</v>
      </c>
      <c r="D106" s="11" t="s">
        <v>35</v>
      </c>
      <c r="E106" s="12">
        <v>1</v>
      </c>
      <c r="F106" s="12">
        <v>1</v>
      </c>
      <c r="G106" s="13" t="s">
        <v>91</v>
      </c>
      <c r="H106" s="12">
        <v>1</v>
      </c>
      <c r="I106" s="12">
        <v>1</v>
      </c>
      <c r="J106" s="102"/>
      <c r="K106" s="103"/>
      <c r="L106" s="104"/>
      <c r="M106" s="330"/>
      <c r="N106" s="334"/>
    </row>
    <row r="107" spans="2:14" x14ac:dyDescent="0.25">
      <c r="B107" s="268"/>
      <c r="C107" s="40" t="s">
        <v>36</v>
      </c>
      <c r="D107" s="76" t="s">
        <v>15</v>
      </c>
      <c r="E107" s="12" t="s">
        <v>37</v>
      </c>
      <c r="F107" s="12" t="s">
        <v>37</v>
      </c>
      <c r="G107" s="13" t="s">
        <v>38</v>
      </c>
      <c r="H107" s="12" t="s">
        <v>685</v>
      </c>
      <c r="I107" s="12" t="s">
        <v>685</v>
      </c>
      <c r="J107" s="102"/>
      <c r="K107" s="103"/>
      <c r="L107" s="104"/>
      <c r="M107" s="330"/>
      <c r="N107" s="334" t="s">
        <v>501</v>
      </c>
    </row>
    <row r="108" spans="2:14" x14ac:dyDescent="0.25">
      <c r="B108" s="268"/>
      <c r="C108" s="40" t="s">
        <v>587</v>
      </c>
      <c r="D108" s="76"/>
      <c r="E108" s="472" t="s">
        <v>588</v>
      </c>
      <c r="F108" s="472"/>
      <c r="G108" s="13" t="s">
        <v>589</v>
      </c>
      <c r="H108" s="472" t="s">
        <v>686</v>
      </c>
      <c r="I108" s="473"/>
      <c r="J108" s="102"/>
      <c r="K108" s="103"/>
      <c r="L108" s="104"/>
      <c r="M108" s="330"/>
      <c r="N108" s="334"/>
    </row>
    <row r="109" spans="2:14" x14ac:dyDescent="0.25">
      <c r="B109" s="268"/>
      <c r="C109" s="40" t="s">
        <v>329</v>
      </c>
      <c r="D109" s="76" t="s">
        <v>325</v>
      </c>
      <c r="E109" s="12">
        <v>16</v>
      </c>
      <c r="F109" s="12">
        <v>16</v>
      </c>
      <c r="G109" s="13"/>
      <c r="H109" s="12">
        <v>16</v>
      </c>
      <c r="I109" s="12">
        <v>16</v>
      </c>
      <c r="J109" s="102"/>
      <c r="K109" s="103"/>
      <c r="L109" s="104"/>
      <c r="M109" s="330"/>
      <c r="N109" s="334"/>
    </row>
    <row r="110" spans="2:14" x14ac:dyDescent="0.25">
      <c r="B110" s="268"/>
      <c r="C110" s="40" t="s">
        <v>13</v>
      </c>
      <c r="D110" s="67" t="s">
        <v>45</v>
      </c>
      <c r="E110" s="12" t="s">
        <v>544</v>
      </c>
      <c r="F110" s="12" t="s">
        <v>544</v>
      </c>
      <c r="G110" s="13"/>
      <c r="H110" s="12"/>
      <c r="I110" s="20"/>
      <c r="J110" s="102"/>
      <c r="K110" s="103"/>
      <c r="L110" s="104"/>
      <c r="M110" s="330"/>
      <c r="N110" s="334"/>
    </row>
    <row r="111" spans="2:14" x14ac:dyDescent="0.25">
      <c r="B111" s="268"/>
      <c r="C111" s="40" t="s">
        <v>94</v>
      </c>
      <c r="D111" s="11" t="s">
        <v>543</v>
      </c>
      <c r="E111" s="12">
        <f>4/4500</f>
        <v>8.8888888888888893E-4</v>
      </c>
      <c r="F111" s="12">
        <f>4/4500</f>
        <v>8.8888888888888893E-4</v>
      </c>
      <c r="G111" s="13"/>
      <c r="H111" s="12"/>
      <c r="I111" s="20"/>
      <c r="J111" s="102"/>
      <c r="K111" s="103"/>
      <c r="L111" s="104"/>
      <c r="M111" s="330"/>
      <c r="N111" s="334"/>
    </row>
    <row r="112" spans="2:14" ht="15.75" thickBot="1" x14ac:dyDescent="0.3">
      <c r="B112" s="268"/>
      <c r="C112" s="41" t="s">
        <v>93</v>
      </c>
      <c r="D112" s="15" t="s">
        <v>43</v>
      </c>
      <c r="E112" s="12">
        <v>100000</v>
      </c>
      <c r="F112" s="12">
        <v>100000</v>
      </c>
      <c r="G112" s="17"/>
      <c r="H112" s="16"/>
      <c r="I112" s="24"/>
      <c r="J112" s="105"/>
      <c r="K112" s="106"/>
      <c r="L112" s="107"/>
      <c r="M112" s="333"/>
      <c r="N112" s="335"/>
    </row>
    <row r="115" ht="18.95" customHeight="1" x14ac:dyDescent="0.25"/>
    <row r="116" ht="15" customHeight="1" x14ac:dyDescent="0.25"/>
    <row r="126" ht="15" customHeight="1" x14ac:dyDescent="0.25"/>
  </sheetData>
  <mergeCells count="18">
    <mergeCell ref="E31:I31"/>
    <mergeCell ref="E32:I32"/>
    <mergeCell ref="J2:L2"/>
    <mergeCell ref="E2:I2"/>
    <mergeCell ref="E9:F9"/>
    <mergeCell ref="H9:I9"/>
    <mergeCell ref="E13:F13"/>
    <mergeCell ref="E17:F17"/>
    <mergeCell ref="H17:I17"/>
    <mergeCell ref="E14:F14"/>
    <mergeCell ref="H13:I13"/>
    <mergeCell ref="H14:I14"/>
    <mergeCell ref="E15:F15"/>
    <mergeCell ref="H15:I15"/>
    <mergeCell ref="E108:F108"/>
    <mergeCell ref="H108:I108"/>
    <mergeCell ref="E29:I29"/>
    <mergeCell ref="E30:I30"/>
  </mergeCells>
  <phoneticPr fontId="11" type="noConversion"/>
  <hyperlinks>
    <hyperlink ref="G80" r:id="rId1" display="https://www.google.es/maps/dir/Jacob+van+Campenstraat+2,+Utrecht,+Pa%C3%ADses+Bajos/Isotopenweg+15,+3542+AS+Utrecht,+Pa%C3%ADses+Bajos/@52.1168002,5.055231,19.83z/data=!3m1!4b1!4m14!4m13!1m5!1m1!1s0x47c66faf975804a3:0xc7d5914eddf48db5!2m2!1d5.0763144!2d52.1146308!1m5!1m1!1s0x47c66fb7b4ac6f95:0xdeaf8c4dd07b9b25!2m2!1d5.0636631!2d52.117204!3e0" xr:uid="{94C8CF6F-568E-4738-A297-BB4525B5781E}"/>
    <hyperlink ref="E80" r:id="rId2" display="https://www.google.com/maps/dir/San+Marcelino,+46017+Valencia/SAV+Paiporta,+Sequia+Faitanar,+26,+28,+46200+Paiporta,+Valencia/@39.4376069,-0.4058574,15z/data=!3m1!4b1!4m13!4m12!1m5!1m1!1s0xd604f20a2f5b361:0x8eefb26590a4b608!2m2!1d-0.3901397!2d39.445671!1m5!1m1!1s0xd604ef041dc5af9:0x94355c2b2ca4c51e!2m2!1d-0.4043636!2d39.4325154" xr:uid="{491528D1-7479-4F60-BA21-F2E41E5AD149}"/>
    <hyperlink ref="F80" r:id="rId3" display="https://www.google.com/maps/dir/San+Marcelino,+46017+Valencia/SAV+Paiporta,+Sequia+Faitanar,+26,+28,+46200+Paiporta,+Valencia/@39.4376069,-0.4058574,15z/data=!3m1!4b1!4m13!4m12!1m5!1m1!1s0xd604f20a2f5b361:0x8eefb26590a4b608!2m2!1d-0.3901397!2d39.445671!1m5!1m1!1s0xd604ef041dc5af9:0x94355c2b2ca4c51e!2m2!1d-0.4043636!2d39.4325154" xr:uid="{381CACE7-5CD5-4E61-94C1-1559F840C829}"/>
    <hyperlink ref="E97" r:id="rId4" display="https://www.google.es/maps/dir/Vaersa+planta+de+selecci%C3%B3n+de+envases+ligeros+de+Picassent,+Poligono+Industrial+Juan+Carlos+I,+46220+Picassent,+Valencia/SAV+Paiporta,+Sequia+Faitanar,+26,+28,+46200+Paiporta,+Valencia/@39.3937497,-0.5261269,12z/data=!4m14!4m13!1m5!1m1!1s0xd60526300000041:0x81f328201a3a9863!2m2!1d-0.462031!2d39.363799!1m5!1m1!1s0xd604ef041dc5af9:0x94355c2b2ca4c51e!2m2!1d-0.4043636!2d39.4325154!3e0" xr:uid="{963075CB-B694-4E66-BB4F-5DC9110278AE}"/>
    <hyperlink ref="F97" r:id="rId5" display="https://www.google.es/maps/dir/Vaersa+planta+de+selecci%C3%B3n+de+envases+ligeros+de+Picassent,+Poligono+Industrial+Juan+Carlos+I,+46220+Picassent,+Valencia/SAV+Paiporta,+Sequia+Faitanar,+26,+28,+46200+Paiporta,+Valencia/@39.3937497,-0.5261269,12z/data=!4m14!4m13!1m5!1m1!1s0xd60526300000041:0x81f328201a3a9863!2m2!1d-0.462031!2d39.363799!1m5!1m1!1s0xd604ef041dc5af9:0x94355c2b2ca4c51e!2m2!1d-0.4043636!2d39.4325154!3e0" xr:uid="{76B6F8B6-9D35-4AD7-8A32-E7E310953092}"/>
    <hyperlink ref="G101" r:id="rId6" display="https://www.google.es/maps/dir/Utrecht,+Pa%C3%ADses+Bajos/SUEZ+Recycling+and+Recovery,+Havennummer,+R%C3%B3terdam,+Pa%C3%ADses+Bajos/@51.9582708,4.5141846,10z/data=!3m1!4b1!4m14!4m13!1m5!1m1!1s0x47c66f4339d32d37:0xd6c8fc4c19af4ae9!2m2!1d5.1214201!2d52.0907374!1m5!1m1!1s0x47c4344e1ccb98b5:0xb85ac307c945c192!2m2!1d4.4272595!2d51.8866039!3e0" xr:uid="{613C0AF7-6A26-4A40-A53E-2DB7D3F241C0}"/>
    <hyperlink ref="P86" r:id="rId7" xr:uid="{EA21437B-29CE-4363-9173-B970CD81924E}"/>
    <hyperlink ref="H101" r:id="rId8" display="https://www.google.es/maps/dir/S.C.+POLARIS+M.+HOLDING+ALBA+IULIA,+Strada+Tudor+Vladimirescu,+Alba+Iulia,+Rom%C3%A2nia/Galda+de+Jos,+Ruman%C3%ADa/@46.1499199,23.4467977,11z/data=!3m1!4b1!4m14!4m13!1m5!1m1!1s0x474ea9264c2b76bd:0xea4e6e9b7e7ee277!2m2!1d23.585659!2d46.0796842!1m5!1m1!1s0x474eacf05170d427:0x368c2af04e36687e!2m2!1d23.5682942!2d46.2238661!3e0" xr:uid="{F36D6849-D3D1-4F7A-AB89-5E65AA5FF4F7}"/>
    <hyperlink ref="I101" r:id="rId9" display="https://www.google.es/maps/dir/S.C.+POLARIS+M.+HOLDING+ALBA+IULIA,+Strada+Tudor+Vladimirescu,+Alba+Iulia,+Rom%C3%A2nia/Galda+de+Jos,+Ruman%C3%ADa/@46.1499199,23.4467977,11z/data=!3m1!4b1!4m14!4m13!1m5!1m1!1s0x474ea9264c2b76bd:0xea4e6e9b7e7ee277!2m2!1d23.585659!2d46.0796842!1m5!1m1!1s0x474eacf05170d427:0x368c2af04e36687e!2m2!1d23.5682942!2d46.2238661!3e0" xr:uid="{658DAB59-CDED-4959-8EBC-3B73FF89E62D}"/>
    <hyperlink ref="F93" r:id="rId10" display="https://www.google.es/maps/dir/San+Marcelino,+46017+Valencia/Vaersa+planta+de+selecci%C3%B3n+de+envases+ligeros+de+Picassent,+Poligono+Industrial+Juan+Carlos+I,+46220+Picassent,+Valencia/@39.3937497,-0.5261269,12z/data=!4m15!4m14!1m5!1m1!1s0xd604f20a2f5b361:0x8eefb26590a4b608!2m2!1d-0.3901397!2d39.445671!1m5!1m1!1s0xd60526300000041:0x81f328201a3a9863!2m2!1d-0.462031!2d39.363799!3e0!5i1" xr:uid="{36F3F907-81DA-4F7A-BBC6-2F79E75B8A64}"/>
    <hyperlink ref="E93" r:id="rId11" display="https://www.google.es/maps/dir/San+Marcelino,+46017+Valencia/Vaersa+planta+de+selecci%C3%B3n+de+envases+ligeros+de+Picassent,+Poligono+Industrial+Juan+Carlos+I,+46220+Picassent,+Valencia/@39.3937497,-0.5261269,12z/data=!4m15!4m14!1m5!1m1!1s0xd604f20a2f5b361:0x8eefb26590a4b608!2m2!1d-0.3901397!2d39.445671!1m5!1m1!1s0xd60526300000041:0x81f328201a3a9863!2m2!1d-0.462031!2d39.363799!3e0!5i1" xr:uid="{05EDD9E3-8702-46FB-A664-50204323EB2B}"/>
  </hyperlinks>
  <pageMargins left="0.7" right="0.7" top="0.75" bottom="0.75" header="0.3" footer="0.3"/>
  <pageSetup paperSize="9" orientation="portrait" r:id="rId12"/>
  <legacyDrawing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2004A-9358-4D46-BD0B-45E2375F076F}">
  <dimension ref="A1:AC191"/>
  <sheetViews>
    <sheetView zoomScale="40" zoomScaleNormal="40" workbookViewId="0">
      <selection activeCell="F75" sqref="F75"/>
    </sheetView>
  </sheetViews>
  <sheetFormatPr baseColWidth="10" defaultColWidth="11.5703125" defaultRowHeight="15" x14ac:dyDescent="0.25"/>
  <cols>
    <col min="2" max="2" width="30.85546875" customWidth="1"/>
    <col min="3" max="3" width="16.7109375" customWidth="1"/>
    <col min="4" max="4" width="13.85546875" customWidth="1"/>
    <col min="5" max="5" width="23.85546875" customWidth="1"/>
    <col min="6" max="6" width="24.5703125" customWidth="1"/>
    <col min="7" max="7" width="21.5703125" customWidth="1"/>
    <col min="8" max="8" width="21.140625" customWidth="1"/>
    <col min="9" max="9" width="18.85546875" customWidth="1"/>
    <col min="10" max="10" width="22.5703125" customWidth="1"/>
    <col min="11" max="11" width="22.28515625" customWidth="1"/>
    <col min="12" max="13" width="19.140625" customWidth="1"/>
    <col min="14" max="14" width="20.42578125" customWidth="1"/>
    <col min="15" max="15" width="24.140625" customWidth="1"/>
    <col min="16" max="16" width="20.140625" customWidth="1"/>
    <col min="17" max="17" width="18.140625" customWidth="1"/>
    <col min="18" max="18" width="19.140625" customWidth="1"/>
    <col min="19" max="19" width="23" customWidth="1"/>
    <col min="20" max="20" width="21.5703125" customWidth="1"/>
    <col min="21" max="21" width="25.5703125" customWidth="1"/>
    <col min="22" max="22" width="17.7109375" customWidth="1"/>
    <col min="23" max="23" width="14" customWidth="1"/>
    <col min="24" max="29" width="13.140625" customWidth="1"/>
  </cols>
  <sheetData>
    <row r="1" spans="2:17" ht="15.75" thickBot="1" x14ac:dyDescent="0.3"/>
    <row r="2" spans="2:17" ht="19.5" thickBot="1" x14ac:dyDescent="0.3">
      <c r="B2" s="166" t="s">
        <v>181</v>
      </c>
      <c r="C2" s="495" t="s">
        <v>133</v>
      </c>
      <c r="D2" s="496"/>
      <c r="E2" s="496"/>
      <c r="F2" s="496"/>
      <c r="G2" s="495" t="s">
        <v>320</v>
      </c>
      <c r="H2" s="500"/>
      <c r="I2" s="463" t="s">
        <v>134</v>
      </c>
      <c r="J2" s="464"/>
      <c r="K2" s="464"/>
      <c r="L2" s="465"/>
      <c r="M2" s="162"/>
      <c r="N2" s="497" t="s">
        <v>184</v>
      </c>
      <c r="O2" s="498"/>
      <c r="P2" s="498"/>
      <c r="Q2" s="499"/>
    </row>
    <row r="3" spans="2:17" ht="15.75" thickBot="1" x14ac:dyDescent="0.3">
      <c r="C3" s="147" t="s">
        <v>159</v>
      </c>
      <c r="D3" s="148" t="s">
        <v>4</v>
      </c>
      <c r="E3" s="148" t="s">
        <v>110</v>
      </c>
      <c r="F3" s="152" t="s">
        <v>188</v>
      </c>
      <c r="G3" s="151"/>
      <c r="H3" s="245"/>
      <c r="I3" s="161" t="s">
        <v>159</v>
      </c>
      <c r="J3" s="162" t="s">
        <v>4</v>
      </c>
      <c r="K3" s="162" t="s">
        <v>110</v>
      </c>
      <c r="L3" s="100" t="s">
        <v>188</v>
      </c>
      <c r="M3" s="100"/>
      <c r="N3" s="149" t="s">
        <v>159</v>
      </c>
      <c r="O3" s="150" t="s">
        <v>4</v>
      </c>
      <c r="P3" s="150" t="s">
        <v>110</v>
      </c>
      <c r="Q3" s="165" t="s">
        <v>188</v>
      </c>
    </row>
    <row r="4" spans="2:17" ht="15.75" thickBot="1" x14ac:dyDescent="0.3">
      <c r="B4" s="167" t="s">
        <v>151</v>
      </c>
      <c r="C4" s="158">
        <v>25939.067999999999</v>
      </c>
      <c r="D4" s="152" t="s">
        <v>179</v>
      </c>
      <c r="E4" s="181" t="s">
        <v>194</v>
      </c>
      <c r="F4" s="172" t="s">
        <v>142</v>
      </c>
      <c r="G4" s="246"/>
      <c r="H4" s="247"/>
      <c r="I4" s="163">
        <v>120000</v>
      </c>
      <c r="J4" s="100" t="s">
        <v>179</v>
      </c>
      <c r="K4" s="100" t="s">
        <v>636</v>
      </c>
      <c r="L4" s="173" t="s">
        <v>631</v>
      </c>
      <c r="M4" s="173"/>
      <c r="N4" s="160">
        <v>42200</v>
      </c>
      <c r="O4" s="154" t="s">
        <v>179</v>
      </c>
      <c r="P4" s="402" t="s">
        <v>680</v>
      </c>
      <c r="Q4" s="174"/>
    </row>
    <row r="5" spans="2:17" ht="15.75" thickBot="1" x14ac:dyDescent="0.3">
      <c r="B5" s="167" t="s">
        <v>299</v>
      </c>
      <c r="C5" s="158">
        <f>C4-C6</f>
        <v>17683.879999999997</v>
      </c>
      <c r="D5" s="152" t="s">
        <v>179</v>
      </c>
      <c r="E5" s="181" t="s">
        <v>194</v>
      </c>
      <c r="F5" s="172" t="s">
        <v>142</v>
      </c>
      <c r="G5" s="246"/>
      <c r="H5" s="247"/>
      <c r="I5" s="163">
        <f>I4*I7</f>
        <v>106800</v>
      </c>
      <c r="J5" s="100" t="s">
        <v>179</v>
      </c>
      <c r="K5" s="100" t="s">
        <v>635</v>
      </c>
      <c r="L5" s="173"/>
      <c r="M5" s="173"/>
      <c r="N5" s="160"/>
      <c r="O5" s="154" t="s">
        <v>179</v>
      </c>
      <c r="P5" s="402"/>
      <c r="Q5" s="174"/>
    </row>
    <row r="6" spans="2:17" ht="15.75" thickBot="1" x14ac:dyDescent="0.3">
      <c r="B6" s="167" t="s">
        <v>300</v>
      </c>
      <c r="C6" s="158">
        <v>8255.1880000000001</v>
      </c>
      <c r="D6" s="152" t="s">
        <v>179</v>
      </c>
      <c r="E6" s="181" t="s">
        <v>194</v>
      </c>
      <c r="F6" s="172" t="s">
        <v>142</v>
      </c>
      <c r="G6" s="246"/>
      <c r="H6" s="247"/>
      <c r="I6" s="163">
        <f>I4*(1-I7)</f>
        <v>13199.999999999998</v>
      </c>
      <c r="J6" s="100" t="s">
        <v>179</v>
      </c>
      <c r="K6" s="100" t="s">
        <v>635</v>
      </c>
      <c r="L6" s="173"/>
      <c r="M6" s="173"/>
      <c r="N6" s="160"/>
      <c r="O6" s="154" t="s">
        <v>179</v>
      </c>
      <c r="P6" s="402"/>
      <c r="Q6" s="174"/>
    </row>
    <row r="7" spans="2:17" ht="15.75" thickBot="1" x14ac:dyDescent="0.3">
      <c r="B7" s="167" t="s">
        <v>301</v>
      </c>
      <c r="C7" s="217">
        <f>C5/C4</f>
        <v>0.6817469309228843</v>
      </c>
      <c r="D7" s="152" t="s">
        <v>109</v>
      </c>
      <c r="E7" s="181" t="s">
        <v>194</v>
      </c>
      <c r="F7" s="172" t="s">
        <v>142</v>
      </c>
      <c r="G7" s="246"/>
      <c r="H7" s="247"/>
      <c r="I7" s="234">
        <v>0.89</v>
      </c>
      <c r="J7" s="100" t="s">
        <v>109</v>
      </c>
      <c r="K7" s="391" t="s">
        <v>637</v>
      </c>
      <c r="L7" s="173"/>
      <c r="M7" s="173"/>
      <c r="N7" s="429">
        <v>0.5</v>
      </c>
      <c r="O7" s="154" t="s">
        <v>109</v>
      </c>
      <c r="P7" s="402"/>
      <c r="Q7" s="174"/>
    </row>
    <row r="8" spans="2:17" ht="15.75" thickBot="1" x14ac:dyDescent="0.3">
      <c r="B8" s="167" t="s">
        <v>177</v>
      </c>
      <c r="C8" s="151">
        <v>6</v>
      </c>
      <c r="D8" s="152" t="s">
        <v>178</v>
      </c>
      <c r="E8" s="181" t="s">
        <v>194</v>
      </c>
      <c r="F8" s="172"/>
      <c r="G8" s="246"/>
      <c r="H8" s="247"/>
      <c r="I8" s="99">
        <v>17</v>
      </c>
      <c r="J8" s="100" t="s">
        <v>178</v>
      </c>
      <c r="K8" s="100"/>
      <c r="L8" s="173"/>
      <c r="M8" s="173"/>
      <c r="N8" s="153">
        <v>9</v>
      </c>
      <c r="O8" s="154" t="s">
        <v>178</v>
      </c>
      <c r="P8" s="402" t="s">
        <v>681</v>
      </c>
      <c r="Q8" s="174"/>
    </row>
    <row r="9" spans="2:17" ht="14.1" customHeight="1" thickBot="1" x14ac:dyDescent="0.3">
      <c r="B9" s="167" t="s">
        <v>158</v>
      </c>
      <c r="C9" s="151">
        <v>2</v>
      </c>
      <c r="D9" s="152" t="s">
        <v>5</v>
      </c>
      <c r="E9" s="181" t="s">
        <v>196</v>
      </c>
      <c r="F9" s="172"/>
      <c r="G9" s="246"/>
      <c r="H9" s="247"/>
      <c r="I9" s="99">
        <v>3</v>
      </c>
      <c r="J9" s="100" t="s">
        <v>5</v>
      </c>
      <c r="K9" s="100"/>
      <c r="L9" s="173"/>
      <c r="M9" s="173"/>
      <c r="N9" s="153">
        <v>2</v>
      </c>
      <c r="O9" s="154" t="s">
        <v>5</v>
      </c>
      <c r="P9" s="402" t="s">
        <v>681</v>
      </c>
      <c r="Q9" s="174"/>
    </row>
    <row r="10" spans="2:17" ht="14.1" customHeight="1" thickBot="1" x14ac:dyDescent="0.3">
      <c r="B10" s="167" t="s">
        <v>160</v>
      </c>
      <c r="C10" s="151">
        <v>4000</v>
      </c>
      <c r="D10" s="152" t="s">
        <v>190</v>
      </c>
      <c r="E10" s="181" t="s">
        <v>195</v>
      </c>
      <c r="F10" s="172"/>
      <c r="G10" s="246"/>
      <c r="H10" s="247"/>
      <c r="I10" s="99">
        <v>6000</v>
      </c>
      <c r="J10" s="100"/>
      <c r="K10" s="100" t="s">
        <v>308</v>
      </c>
      <c r="L10" s="173"/>
      <c r="M10" s="173"/>
      <c r="N10" s="153">
        <v>4000</v>
      </c>
      <c r="O10" s="154"/>
      <c r="P10" s="402"/>
      <c r="Q10" s="174"/>
    </row>
    <row r="11" spans="2:17" ht="14.1" customHeight="1" thickBot="1" x14ac:dyDescent="0.3">
      <c r="B11" s="167" t="s">
        <v>161</v>
      </c>
      <c r="C11" s="151">
        <v>20</v>
      </c>
      <c r="D11" s="152" t="s">
        <v>5</v>
      </c>
      <c r="E11" s="181"/>
      <c r="F11" s="172"/>
      <c r="G11" s="246"/>
      <c r="H11" s="247"/>
      <c r="I11" s="99">
        <v>50</v>
      </c>
      <c r="J11" s="100" t="s">
        <v>5</v>
      </c>
      <c r="K11" s="100" t="s">
        <v>308</v>
      </c>
      <c r="L11" s="173"/>
      <c r="M11" s="173"/>
      <c r="N11" s="153">
        <v>15</v>
      </c>
      <c r="O11" s="154" t="s">
        <v>5</v>
      </c>
      <c r="P11" s="402" t="s">
        <v>182</v>
      </c>
      <c r="Q11" s="174"/>
    </row>
    <row r="12" spans="2:17" ht="14.1" customHeight="1" thickBot="1" x14ac:dyDescent="0.3">
      <c r="B12" s="167" t="s">
        <v>152</v>
      </c>
      <c r="C12" s="151">
        <v>6</v>
      </c>
      <c r="D12" s="152" t="s">
        <v>5</v>
      </c>
      <c r="E12" s="181" t="s">
        <v>194</v>
      </c>
      <c r="F12" s="172"/>
      <c r="G12" s="246"/>
      <c r="H12" s="247"/>
      <c r="I12" s="164" t="s">
        <v>180</v>
      </c>
      <c r="J12" s="100" t="s">
        <v>5</v>
      </c>
      <c r="K12" s="100"/>
      <c r="L12" s="173"/>
      <c r="M12" s="173"/>
      <c r="N12" s="159" t="s">
        <v>185</v>
      </c>
      <c r="O12" s="154" t="s">
        <v>5</v>
      </c>
      <c r="P12" s="402" t="s">
        <v>682</v>
      </c>
      <c r="Q12" s="174"/>
    </row>
    <row r="13" spans="2:17" ht="14.1" customHeight="1" thickBot="1" x14ac:dyDescent="0.3">
      <c r="B13" s="167" t="s">
        <v>186</v>
      </c>
      <c r="C13" s="170">
        <v>0.7</v>
      </c>
      <c r="D13" s="152" t="s">
        <v>109</v>
      </c>
      <c r="E13" s="181" t="s">
        <v>197</v>
      </c>
      <c r="F13" s="172"/>
      <c r="G13" s="246"/>
      <c r="H13" s="247"/>
      <c r="I13" s="168">
        <v>0.7</v>
      </c>
      <c r="J13" s="100" t="s">
        <v>109</v>
      </c>
      <c r="K13" s="100" t="s">
        <v>197</v>
      </c>
      <c r="L13" s="173"/>
      <c r="M13" s="173"/>
      <c r="N13" s="169">
        <v>0.7</v>
      </c>
      <c r="O13" s="402" t="s">
        <v>109</v>
      </c>
      <c r="P13" s="402" t="s">
        <v>683</v>
      </c>
      <c r="Q13" s="174"/>
    </row>
    <row r="14" spans="2:17" ht="29.45" customHeight="1" thickBot="1" x14ac:dyDescent="0.3">
      <c r="B14" s="171" t="s">
        <v>187</v>
      </c>
      <c r="C14" s="170">
        <v>0.2</v>
      </c>
      <c r="D14" s="152" t="s">
        <v>109</v>
      </c>
      <c r="E14" s="181" t="s">
        <v>197</v>
      </c>
      <c r="F14" s="172"/>
      <c r="G14" s="246"/>
      <c r="H14" s="247"/>
      <c r="I14" s="223">
        <v>0.2</v>
      </c>
      <c r="J14" s="100" t="s">
        <v>109</v>
      </c>
      <c r="K14" s="100" t="s">
        <v>197</v>
      </c>
      <c r="L14" s="173"/>
      <c r="M14" s="173"/>
      <c r="N14" s="428">
        <v>0.5</v>
      </c>
      <c r="O14" s="402" t="s">
        <v>109</v>
      </c>
      <c r="P14" s="402" t="s">
        <v>684</v>
      </c>
      <c r="Q14" s="174"/>
    </row>
    <row r="15" spans="2:17" ht="16.5" customHeight="1" thickBot="1" x14ac:dyDescent="0.3">
      <c r="B15" s="171" t="s">
        <v>191</v>
      </c>
      <c r="C15" s="180">
        <v>1226334</v>
      </c>
      <c r="D15" s="152" t="s">
        <v>193</v>
      </c>
      <c r="E15" s="181" t="s">
        <v>194</v>
      </c>
      <c r="F15" s="172"/>
      <c r="G15" s="246"/>
      <c r="H15" s="247"/>
      <c r="I15" s="168">
        <f>4500000*I4/150000</f>
        <v>3600000</v>
      </c>
      <c r="J15" s="100" t="s">
        <v>193</v>
      </c>
      <c r="K15" s="100" t="s">
        <v>638</v>
      </c>
      <c r="L15" s="173"/>
      <c r="M15" s="173"/>
      <c r="N15" s="169"/>
      <c r="O15" s="154" t="s">
        <v>193</v>
      </c>
      <c r="P15" s="154"/>
      <c r="Q15" s="174"/>
    </row>
    <row r="16" spans="2:17" ht="16.5" customHeight="1" thickBot="1" x14ac:dyDescent="0.3">
      <c r="B16" s="389" t="s">
        <v>633</v>
      </c>
      <c r="C16" s="180">
        <f>C15/C4</f>
        <v>47.277488921344435</v>
      </c>
      <c r="D16" s="152" t="s">
        <v>192</v>
      </c>
      <c r="E16" s="181" t="s">
        <v>194</v>
      </c>
      <c r="F16" s="231">
        <f>372.2222*0.6</f>
        <v>223.33331999999999</v>
      </c>
      <c r="G16" s="248"/>
      <c r="H16" s="249"/>
      <c r="I16" s="168">
        <f>I15/I4</f>
        <v>30</v>
      </c>
      <c r="J16" s="100" t="s">
        <v>192</v>
      </c>
      <c r="K16" s="100" t="s">
        <v>635</v>
      </c>
      <c r="L16" s="173"/>
      <c r="M16" s="173"/>
      <c r="N16" s="169"/>
      <c r="O16" s="154" t="s">
        <v>192</v>
      </c>
      <c r="P16" s="154"/>
      <c r="Q16" s="174"/>
    </row>
    <row r="17" spans="2:17" ht="16.5" customHeight="1" thickBot="1" x14ac:dyDescent="0.3">
      <c r="B17" s="390" t="s">
        <v>634</v>
      </c>
      <c r="C17" s="180">
        <f>C15/C5</f>
        <v>69.3475639961366</v>
      </c>
      <c r="D17" s="152" t="s">
        <v>192</v>
      </c>
      <c r="E17" s="181" t="s">
        <v>194</v>
      </c>
      <c r="F17" s="231"/>
      <c r="G17" s="248"/>
      <c r="H17" s="249"/>
      <c r="I17" s="168">
        <f>I15/I5</f>
        <v>33.707865168539328</v>
      </c>
      <c r="J17" s="100" t="s">
        <v>192</v>
      </c>
      <c r="K17" s="100" t="s">
        <v>635</v>
      </c>
      <c r="L17" s="173"/>
      <c r="M17" s="173"/>
      <c r="N17" s="169"/>
      <c r="O17" s="364" t="s">
        <v>192</v>
      </c>
      <c r="P17" s="364"/>
      <c r="Q17" s="174"/>
    </row>
    <row r="18" spans="2:17" ht="15.75" thickBot="1" x14ac:dyDescent="0.3">
      <c r="C18" s="151"/>
      <c r="D18" s="152"/>
      <c r="E18" s="152"/>
      <c r="F18" s="172"/>
      <c r="G18" s="246"/>
      <c r="H18" s="247"/>
      <c r="I18" s="99"/>
      <c r="J18" s="100"/>
      <c r="K18" s="100"/>
      <c r="L18" s="173"/>
      <c r="M18" s="173"/>
      <c r="N18" s="153"/>
      <c r="O18" s="154"/>
      <c r="P18" s="154"/>
      <c r="Q18" s="174"/>
    </row>
    <row r="19" spans="2:17" ht="43.5" customHeight="1" thickBot="1" x14ac:dyDescent="0.3">
      <c r="B19" s="167" t="s">
        <v>106</v>
      </c>
      <c r="C19" s="122" t="s">
        <v>107</v>
      </c>
      <c r="D19" s="123" t="s">
        <v>198</v>
      </c>
      <c r="E19" s="123" t="s">
        <v>138</v>
      </c>
      <c r="F19" s="123" t="s">
        <v>139</v>
      </c>
      <c r="G19" s="311" t="s">
        <v>322</v>
      </c>
      <c r="H19" s="250" t="s">
        <v>319</v>
      </c>
      <c r="I19" s="183" t="s">
        <v>107</v>
      </c>
      <c r="J19" s="183" t="s">
        <v>131</v>
      </c>
      <c r="K19" s="184" t="s">
        <v>138</v>
      </c>
      <c r="L19" s="184" t="s">
        <v>139</v>
      </c>
      <c r="M19" s="184" t="s">
        <v>416</v>
      </c>
      <c r="N19" s="25" t="s">
        <v>107</v>
      </c>
      <c r="O19" s="25" t="s">
        <v>131</v>
      </c>
      <c r="P19" s="424" t="s">
        <v>678</v>
      </c>
      <c r="Q19" s="425" t="s">
        <v>679</v>
      </c>
    </row>
    <row r="20" spans="2:17" x14ac:dyDescent="0.25">
      <c r="B20" s="120" t="s">
        <v>114</v>
      </c>
      <c r="C20" s="124">
        <v>1</v>
      </c>
      <c r="D20" s="125">
        <v>40</v>
      </c>
      <c r="E20" s="125">
        <f>D20*$C$10*0.7</f>
        <v>112000</v>
      </c>
      <c r="F20" s="125">
        <f>E20/$C$4</f>
        <v>4.317811264460234</v>
      </c>
      <c r="G20" s="308">
        <v>50000</v>
      </c>
      <c r="H20" s="126"/>
      <c r="I20" s="124">
        <v>3</v>
      </c>
      <c r="J20" s="125">
        <f>3*50</f>
        <v>150</v>
      </c>
      <c r="K20" s="125">
        <f t="shared" ref="K20:K38" si="0">J20*$I$10*$I$13</f>
        <v>630000</v>
      </c>
      <c r="L20" s="125">
        <f t="shared" ref="L20:L38" si="1">K20/$I$4</f>
        <v>5.25</v>
      </c>
      <c r="M20" s="226">
        <v>50000</v>
      </c>
      <c r="N20" s="426">
        <f>1</f>
        <v>1</v>
      </c>
      <c r="O20" s="232">
        <f>50</f>
        <v>50</v>
      </c>
      <c r="P20" s="125">
        <f>N20*O20*$N$13*$N$10</f>
        <v>140000</v>
      </c>
      <c r="Q20" s="126"/>
    </row>
    <row r="21" spans="2:17" ht="15" customHeight="1" x14ac:dyDescent="0.25">
      <c r="B21" s="121" t="s">
        <v>115</v>
      </c>
      <c r="C21" s="10">
        <v>1</v>
      </c>
      <c r="D21" s="31">
        <v>10</v>
      </c>
      <c r="E21" s="31">
        <f t="shared" ref="E21:E33" si="2">D21*$C$10*0.7</f>
        <v>28000</v>
      </c>
      <c r="F21" s="31">
        <f t="shared" ref="F21:F33" si="3">E21/$C$4</f>
        <v>1.0794528161150585</v>
      </c>
      <c r="G21" s="308">
        <v>150000</v>
      </c>
      <c r="H21" s="127"/>
      <c r="I21" s="10">
        <v>1</v>
      </c>
      <c r="J21" s="31">
        <v>12</v>
      </c>
      <c r="K21" s="31">
        <f t="shared" si="0"/>
        <v>50400</v>
      </c>
      <c r="L21" s="31">
        <f t="shared" si="1"/>
        <v>0.42</v>
      </c>
      <c r="M21" s="226">
        <v>150000</v>
      </c>
      <c r="N21" s="423" t="s">
        <v>15</v>
      </c>
      <c r="O21" s="226" t="s">
        <v>15</v>
      </c>
      <c r="P21" s="226" t="s">
        <v>15</v>
      </c>
      <c r="Q21" s="427" t="s">
        <v>15</v>
      </c>
    </row>
    <row r="22" spans="2:17" x14ac:dyDescent="0.25">
      <c r="B22" s="121" t="s">
        <v>116</v>
      </c>
      <c r="C22" s="10">
        <v>20</v>
      </c>
      <c r="D22" s="31">
        <v>100</v>
      </c>
      <c r="E22" s="31">
        <f t="shared" si="2"/>
        <v>280000</v>
      </c>
      <c r="F22" s="31">
        <f t="shared" si="3"/>
        <v>10.794528161150586</v>
      </c>
      <c r="G22" s="308">
        <v>20000</v>
      </c>
      <c r="H22" s="127"/>
      <c r="I22" s="10">
        <v>80</v>
      </c>
      <c r="J22" s="31">
        <f>I22*5</f>
        <v>400</v>
      </c>
      <c r="K22" s="31">
        <f t="shared" si="0"/>
        <v>1680000</v>
      </c>
      <c r="L22" s="31">
        <f t="shared" si="1"/>
        <v>14</v>
      </c>
      <c r="M22" s="226">
        <v>20000</v>
      </c>
      <c r="N22" s="423">
        <v>10</v>
      </c>
      <c r="O22" s="226">
        <v>50</v>
      </c>
      <c r="P22" s="31">
        <f t="shared" ref="P22:P25" si="4">N22*O22*$N$13*$N$10</f>
        <v>1400000</v>
      </c>
      <c r="Q22" s="127"/>
    </row>
    <row r="23" spans="2:17" ht="17.45" customHeight="1" x14ac:dyDescent="0.25">
      <c r="B23" s="121" t="s">
        <v>117</v>
      </c>
      <c r="C23" s="10">
        <v>1</v>
      </c>
      <c r="D23" s="31">
        <v>15</v>
      </c>
      <c r="E23" s="31">
        <f t="shared" si="2"/>
        <v>42000</v>
      </c>
      <c r="F23" s="31">
        <f t="shared" si="3"/>
        <v>1.619179224172588</v>
      </c>
      <c r="G23" s="308">
        <v>150000</v>
      </c>
      <c r="H23" s="127"/>
      <c r="I23" s="10">
        <v>3</v>
      </c>
      <c r="J23" s="31">
        <f>3*23</f>
        <v>69</v>
      </c>
      <c r="K23" s="31">
        <f t="shared" si="0"/>
        <v>289800</v>
      </c>
      <c r="L23" s="31">
        <f t="shared" si="1"/>
        <v>2.415</v>
      </c>
      <c r="M23" s="226">
        <v>150000</v>
      </c>
      <c r="N23" s="423">
        <v>1</v>
      </c>
      <c r="O23" s="226">
        <v>15</v>
      </c>
      <c r="P23" s="31">
        <f t="shared" si="4"/>
        <v>42000</v>
      </c>
      <c r="Q23" s="127"/>
    </row>
    <row r="24" spans="2:17" ht="16.5" customHeight="1" x14ac:dyDescent="0.25">
      <c r="B24" s="121" t="s">
        <v>118</v>
      </c>
      <c r="C24" s="10">
        <v>2</v>
      </c>
      <c r="D24" s="31">
        <v>16.899999999999999</v>
      </c>
      <c r="E24" s="31">
        <f t="shared" si="2"/>
        <v>47320</v>
      </c>
      <c r="F24" s="31">
        <f t="shared" si="3"/>
        <v>1.8242752592344491</v>
      </c>
      <c r="G24" s="308">
        <v>75000</v>
      </c>
      <c r="H24" s="127"/>
      <c r="I24" s="10">
        <v>2</v>
      </c>
      <c r="J24" s="31">
        <f>3*18</f>
        <v>54</v>
      </c>
      <c r="K24" s="31">
        <f t="shared" si="0"/>
        <v>226800</v>
      </c>
      <c r="L24" s="31">
        <f t="shared" si="1"/>
        <v>1.89</v>
      </c>
      <c r="M24" s="226">
        <v>75000</v>
      </c>
      <c r="N24" s="423">
        <v>1</v>
      </c>
      <c r="O24" s="226">
        <f>8.45</f>
        <v>8.4499999999999993</v>
      </c>
      <c r="P24" s="31">
        <f t="shared" si="4"/>
        <v>23659.999999999996</v>
      </c>
      <c r="Q24" s="127"/>
    </row>
    <row r="25" spans="2:17" x14ac:dyDescent="0.25">
      <c r="B25" s="121" t="s">
        <v>119</v>
      </c>
      <c r="C25" s="10">
        <v>2</v>
      </c>
      <c r="D25" s="31">
        <v>9.5</v>
      </c>
      <c r="E25" s="31">
        <f t="shared" si="2"/>
        <v>26600</v>
      </c>
      <c r="F25" s="31">
        <f t="shared" si="3"/>
        <v>1.0254801753093057</v>
      </c>
      <c r="G25" s="308">
        <v>160000</v>
      </c>
      <c r="H25" s="127"/>
      <c r="I25" s="10">
        <v>3</v>
      </c>
      <c r="J25" s="31">
        <f>10*I25</f>
        <v>30</v>
      </c>
      <c r="K25" s="31">
        <f t="shared" si="0"/>
        <v>125999.99999999999</v>
      </c>
      <c r="L25" s="31">
        <f t="shared" si="1"/>
        <v>1.0499999999999998</v>
      </c>
      <c r="M25" s="226">
        <v>160000</v>
      </c>
      <c r="N25" s="423">
        <v>1</v>
      </c>
      <c r="O25" s="226">
        <v>4.75</v>
      </c>
      <c r="P25" s="31">
        <f t="shared" si="4"/>
        <v>13299.999999999998</v>
      </c>
      <c r="Q25" s="127"/>
    </row>
    <row r="26" spans="2:17" ht="15.95" customHeight="1" x14ac:dyDescent="0.25">
      <c r="B26" s="121" t="s">
        <v>120</v>
      </c>
      <c r="C26" s="10">
        <v>1</v>
      </c>
      <c r="D26" s="31">
        <v>35</v>
      </c>
      <c r="E26" s="31">
        <f t="shared" si="2"/>
        <v>98000</v>
      </c>
      <c r="F26" s="31">
        <f t="shared" si="3"/>
        <v>3.778084856402705</v>
      </c>
      <c r="G26" s="308">
        <v>200000</v>
      </c>
      <c r="H26" s="127"/>
      <c r="I26" s="10">
        <v>2</v>
      </c>
      <c r="J26" s="31">
        <f>60*I26</f>
        <v>120</v>
      </c>
      <c r="K26" s="31">
        <f t="shared" si="0"/>
        <v>503999.99999999994</v>
      </c>
      <c r="L26" s="31">
        <f t="shared" si="1"/>
        <v>4.1999999999999993</v>
      </c>
      <c r="M26" s="226">
        <v>200000</v>
      </c>
      <c r="N26" s="423" t="s">
        <v>15</v>
      </c>
      <c r="O26" s="226" t="s">
        <v>15</v>
      </c>
      <c r="P26" s="226" t="s">
        <v>15</v>
      </c>
      <c r="Q26" s="427" t="s">
        <v>15</v>
      </c>
    </row>
    <row r="27" spans="2:17" ht="16.5" customHeight="1" x14ac:dyDescent="0.25">
      <c r="B27" s="121" t="s">
        <v>121</v>
      </c>
      <c r="C27" s="10">
        <v>1</v>
      </c>
      <c r="D27" s="176">
        <v>36.799999999999997</v>
      </c>
      <c r="E27" s="31">
        <v>37.529081219638243</v>
      </c>
      <c r="F27" s="31">
        <f t="shared" si="3"/>
        <v>1.4468168717410451E-3</v>
      </c>
      <c r="G27" s="308"/>
      <c r="H27" s="127"/>
      <c r="I27" s="10">
        <v>1</v>
      </c>
      <c r="J27" s="176">
        <v>36.799999999999997</v>
      </c>
      <c r="K27" s="176">
        <f t="shared" si="0"/>
        <v>154559.99999999997</v>
      </c>
      <c r="L27" s="176">
        <f t="shared" si="1"/>
        <v>1.2879999999999998</v>
      </c>
      <c r="M27" s="226"/>
      <c r="N27" s="423" t="s">
        <v>15</v>
      </c>
      <c r="O27" s="226" t="s">
        <v>15</v>
      </c>
      <c r="P27" s="226" t="s">
        <v>15</v>
      </c>
      <c r="Q27" s="427" t="s">
        <v>15</v>
      </c>
    </row>
    <row r="28" spans="2:17" ht="14.1" customHeight="1" x14ac:dyDescent="0.25">
      <c r="B28" s="121" t="s">
        <v>122</v>
      </c>
      <c r="C28" s="10">
        <v>1</v>
      </c>
      <c r="D28" s="176">
        <v>44.1</v>
      </c>
      <c r="E28" s="31">
        <v>3996.4481993560635</v>
      </c>
      <c r="F28" s="31">
        <f t="shared" si="3"/>
        <v>0.15407061654474491</v>
      </c>
      <c r="G28" s="308">
        <v>212500</v>
      </c>
      <c r="H28" s="127"/>
      <c r="I28" s="10">
        <v>1</v>
      </c>
      <c r="J28" s="176">
        <v>44.1</v>
      </c>
      <c r="K28" s="176">
        <f t="shared" si="0"/>
        <v>185220</v>
      </c>
      <c r="L28" s="176">
        <f t="shared" si="1"/>
        <v>1.5435000000000001</v>
      </c>
      <c r="M28" s="226">
        <v>212500</v>
      </c>
      <c r="N28" s="423" t="s">
        <v>15</v>
      </c>
      <c r="O28" s="226" t="s">
        <v>15</v>
      </c>
      <c r="P28" s="226" t="s">
        <v>15</v>
      </c>
      <c r="Q28" s="427" t="s">
        <v>15</v>
      </c>
    </row>
    <row r="29" spans="2:17" ht="17.45" customHeight="1" x14ac:dyDescent="0.25">
      <c r="B29" s="121" t="s">
        <v>123</v>
      </c>
      <c r="C29" s="10">
        <v>1</v>
      </c>
      <c r="D29" s="176">
        <v>44.1</v>
      </c>
      <c r="E29" s="31">
        <v>11556.506990921958</v>
      </c>
      <c r="F29" s="31">
        <v>3.4681380981872598</v>
      </c>
      <c r="G29" s="308">
        <v>212500</v>
      </c>
      <c r="H29" s="127"/>
      <c r="I29" s="10">
        <v>1</v>
      </c>
      <c r="J29" s="176">
        <v>44.1</v>
      </c>
      <c r="K29" s="176">
        <f t="shared" si="0"/>
        <v>185220</v>
      </c>
      <c r="L29" s="176">
        <f t="shared" si="1"/>
        <v>1.5435000000000001</v>
      </c>
      <c r="M29" s="226">
        <v>212500</v>
      </c>
      <c r="N29" s="423" t="s">
        <v>15</v>
      </c>
      <c r="O29" s="226" t="s">
        <v>15</v>
      </c>
      <c r="P29" s="226" t="s">
        <v>15</v>
      </c>
      <c r="Q29" s="427" t="s">
        <v>15</v>
      </c>
    </row>
    <row r="30" spans="2:17" x14ac:dyDescent="0.25">
      <c r="B30" s="121" t="s">
        <v>124</v>
      </c>
      <c r="C30" s="10">
        <v>1</v>
      </c>
      <c r="D30" s="31">
        <v>2</v>
      </c>
      <c r="E30" s="31">
        <f t="shared" si="2"/>
        <v>5600</v>
      </c>
      <c r="F30" s="31">
        <f t="shared" si="3"/>
        <v>0.21589056322301173</v>
      </c>
      <c r="G30" s="308">
        <v>250000</v>
      </c>
      <c r="H30" s="127"/>
      <c r="I30" s="10">
        <v>1</v>
      </c>
      <c r="J30" s="31">
        <v>2</v>
      </c>
      <c r="K30" s="31">
        <f t="shared" si="0"/>
        <v>8400</v>
      </c>
      <c r="L30" s="31">
        <f t="shared" si="1"/>
        <v>7.0000000000000007E-2</v>
      </c>
      <c r="M30" s="226">
        <v>250000</v>
      </c>
      <c r="N30" s="423" t="s">
        <v>15</v>
      </c>
      <c r="O30" s="226" t="s">
        <v>15</v>
      </c>
      <c r="P30" s="226" t="s">
        <v>15</v>
      </c>
      <c r="Q30" s="427" t="s">
        <v>15</v>
      </c>
    </row>
    <row r="31" spans="2:17" x14ac:dyDescent="0.25">
      <c r="B31" s="121" t="s">
        <v>125</v>
      </c>
      <c r="C31" s="10">
        <v>1</v>
      </c>
      <c r="D31" s="31">
        <v>2.5</v>
      </c>
      <c r="E31" s="31">
        <f t="shared" si="2"/>
        <v>7000</v>
      </c>
      <c r="F31" s="31">
        <f t="shared" si="3"/>
        <v>0.26986320402876462</v>
      </c>
      <c r="G31" s="308">
        <v>250000</v>
      </c>
      <c r="H31" s="127"/>
      <c r="I31" s="10">
        <v>1</v>
      </c>
      <c r="J31" s="31">
        <v>2.5</v>
      </c>
      <c r="K31" s="31">
        <f t="shared" si="0"/>
        <v>10500</v>
      </c>
      <c r="L31" s="31">
        <f t="shared" si="1"/>
        <v>8.7499999999999994E-2</v>
      </c>
      <c r="M31" s="226">
        <v>250000</v>
      </c>
      <c r="N31" s="423" t="s">
        <v>15</v>
      </c>
      <c r="O31" s="226" t="s">
        <v>15</v>
      </c>
      <c r="P31" s="226" t="s">
        <v>15</v>
      </c>
      <c r="Q31" s="427" t="s">
        <v>15</v>
      </c>
    </row>
    <row r="32" spans="2:17" x14ac:dyDescent="0.25">
      <c r="B32" s="121" t="s">
        <v>126</v>
      </c>
      <c r="C32" s="10">
        <v>1</v>
      </c>
      <c r="D32" s="31">
        <v>2.5</v>
      </c>
      <c r="E32" s="31">
        <f t="shared" si="2"/>
        <v>7000</v>
      </c>
      <c r="F32" s="31">
        <f t="shared" si="3"/>
        <v>0.26986320402876462</v>
      </c>
      <c r="G32" s="308">
        <v>250000</v>
      </c>
      <c r="H32" s="127"/>
      <c r="I32" s="10">
        <v>2</v>
      </c>
      <c r="J32" s="31">
        <f>2*2.5</f>
        <v>5</v>
      </c>
      <c r="K32" s="31">
        <f t="shared" si="0"/>
        <v>21000</v>
      </c>
      <c r="L32" s="31">
        <f t="shared" si="1"/>
        <v>0.17499999999999999</v>
      </c>
      <c r="M32" s="226">
        <v>250000</v>
      </c>
      <c r="N32" s="423" t="s">
        <v>15</v>
      </c>
      <c r="O32" s="226" t="s">
        <v>15</v>
      </c>
      <c r="P32" s="226" t="s">
        <v>15</v>
      </c>
      <c r="Q32" s="427" t="s">
        <v>15</v>
      </c>
    </row>
    <row r="33" spans="2:19" x14ac:dyDescent="0.25">
      <c r="B33" s="121" t="s">
        <v>127</v>
      </c>
      <c r="C33" s="10">
        <v>1</v>
      </c>
      <c r="D33" s="31">
        <v>3</v>
      </c>
      <c r="E33" s="31">
        <f t="shared" si="2"/>
        <v>8400</v>
      </c>
      <c r="F33" s="31">
        <f t="shared" si="3"/>
        <v>0.32383584483451761</v>
      </c>
      <c r="G33" s="308">
        <v>250000</v>
      </c>
      <c r="H33" s="127"/>
      <c r="I33" s="10">
        <v>2</v>
      </c>
      <c r="J33" s="31">
        <f>2*3</f>
        <v>6</v>
      </c>
      <c r="K33" s="31">
        <f t="shared" si="0"/>
        <v>25200</v>
      </c>
      <c r="L33" s="31">
        <f t="shared" si="1"/>
        <v>0.21</v>
      </c>
      <c r="M33" s="226">
        <v>250000</v>
      </c>
      <c r="N33" s="423" t="s">
        <v>15</v>
      </c>
      <c r="O33" s="226" t="s">
        <v>15</v>
      </c>
      <c r="P33" s="226" t="s">
        <v>15</v>
      </c>
      <c r="Q33" s="427" t="s">
        <v>15</v>
      </c>
    </row>
    <row r="34" spans="2:19" x14ac:dyDescent="0.25">
      <c r="B34" s="121" t="s">
        <v>135</v>
      </c>
      <c r="C34" s="10" t="s">
        <v>15</v>
      </c>
      <c r="D34" s="31" t="s">
        <v>15</v>
      </c>
      <c r="E34" s="31" t="s">
        <v>15</v>
      </c>
      <c r="F34" s="31" t="s">
        <v>15</v>
      </c>
      <c r="G34" s="309" t="s">
        <v>15</v>
      </c>
      <c r="H34" s="127"/>
      <c r="I34" s="10">
        <v>2</v>
      </c>
      <c r="J34" s="31">
        <f>2*3</f>
        <v>6</v>
      </c>
      <c r="K34" s="31">
        <f t="shared" si="0"/>
        <v>25200</v>
      </c>
      <c r="L34" s="31">
        <f t="shared" si="1"/>
        <v>0.21</v>
      </c>
      <c r="M34" s="226">
        <v>250000</v>
      </c>
      <c r="N34" s="423" t="s">
        <v>15</v>
      </c>
      <c r="O34" s="226" t="s">
        <v>15</v>
      </c>
      <c r="P34" s="226" t="s">
        <v>15</v>
      </c>
      <c r="Q34" s="427" t="s">
        <v>15</v>
      </c>
    </row>
    <row r="35" spans="2:19" x14ac:dyDescent="0.25">
      <c r="B35" s="121" t="s">
        <v>136</v>
      </c>
      <c r="C35" s="10" t="s">
        <v>15</v>
      </c>
      <c r="D35" s="31" t="s">
        <v>15</v>
      </c>
      <c r="E35" s="31" t="s">
        <v>15</v>
      </c>
      <c r="F35" s="31" t="s">
        <v>15</v>
      </c>
      <c r="G35" s="309" t="s">
        <v>15</v>
      </c>
      <c r="H35" s="127"/>
      <c r="I35" s="10">
        <v>2</v>
      </c>
      <c r="J35" s="31">
        <f>2*2.5</f>
        <v>5</v>
      </c>
      <c r="K35" s="31">
        <f t="shared" si="0"/>
        <v>21000</v>
      </c>
      <c r="L35" s="31">
        <f t="shared" si="1"/>
        <v>0.17499999999999999</v>
      </c>
      <c r="M35" s="226">
        <v>250000</v>
      </c>
      <c r="N35" s="423" t="s">
        <v>15</v>
      </c>
      <c r="O35" s="226" t="s">
        <v>15</v>
      </c>
      <c r="P35" s="226" t="s">
        <v>15</v>
      </c>
      <c r="Q35" s="427" t="s">
        <v>15</v>
      </c>
      <c r="R35" s="306"/>
      <c r="S35" s="31"/>
    </row>
    <row r="36" spans="2:19" x14ac:dyDescent="0.25">
      <c r="B36" s="121" t="s">
        <v>137</v>
      </c>
      <c r="C36" s="10" t="s">
        <v>15</v>
      </c>
      <c r="D36" s="31" t="s">
        <v>15</v>
      </c>
      <c r="E36" s="31" t="s">
        <v>15</v>
      </c>
      <c r="F36" s="31" t="s">
        <v>15</v>
      </c>
      <c r="G36" s="309" t="s">
        <v>15</v>
      </c>
      <c r="H36" s="127"/>
      <c r="I36" s="10">
        <v>2</v>
      </c>
      <c r="J36" s="31">
        <f>2*3.5</f>
        <v>7</v>
      </c>
      <c r="K36" s="31">
        <f t="shared" si="0"/>
        <v>29399.999999999996</v>
      </c>
      <c r="L36" s="31">
        <f t="shared" si="1"/>
        <v>0.24499999999999997</v>
      </c>
      <c r="M36" s="226">
        <v>250000</v>
      </c>
      <c r="N36" s="423" t="s">
        <v>15</v>
      </c>
      <c r="O36" s="226" t="s">
        <v>15</v>
      </c>
      <c r="P36" s="226" t="s">
        <v>15</v>
      </c>
      <c r="Q36" s="427" t="s">
        <v>15</v>
      </c>
      <c r="R36" s="306"/>
      <c r="S36" s="31"/>
    </row>
    <row r="37" spans="2:19" x14ac:dyDescent="0.25">
      <c r="B37" s="121" t="s">
        <v>129</v>
      </c>
      <c r="C37" s="10" t="s">
        <v>15</v>
      </c>
      <c r="D37" s="31" t="s">
        <v>15</v>
      </c>
      <c r="E37" s="31" t="s">
        <v>15</v>
      </c>
      <c r="F37" s="31" t="s">
        <v>15</v>
      </c>
      <c r="G37" s="309" t="s">
        <v>15</v>
      </c>
      <c r="H37" s="127"/>
      <c r="I37" s="10">
        <v>1</v>
      </c>
      <c r="J37" s="31">
        <f>2*3.5</f>
        <v>7</v>
      </c>
      <c r="K37" s="31">
        <f t="shared" si="0"/>
        <v>29399.999999999996</v>
      </c>
      <c r="L37" s="31">
        <f t="shared" si="1"/>
        <v>0.24499999999999997</v>
      </c>
      <c r="M37" s="226">
        <v>250000</v>
      </c>
      <c r="N37" s="423" t="s">
        <v>15</v>
      </c>
      <c r="O37" s="226" t="s">
        <v>15</v>
      </c>
      <c r="P37" s="226" t="s">
        <v>15</v>
      </c>
      <c r="Q37" s="427" t="s">
        <v>15</v>
      </c>
      <c r="R37" s="306"/>
      <c r="S37" s="31"/>
    </row>
    <row r="38" spans="2:19" x14ac:dyDescent="0.25">
      <c r="B38" s="121" t="s">
        <v>130</v>
      </c>
      <c r="C38" s="10" t="s">
        <v>15</v>
      </c>
      <c r="D38" s="31" t="s">
        <v>15</v>
      </c>
      <c r="E38" s="31" t="s">
        <v>15</v>
      </c>
      <c r="F38" s="31" t="s">
        <v>15</v>
      </c>
      <c r="G38" s="309" t="s">
        <v>15</v>
      </c>
      <c r="H38" s="127"/>
      <c r="I38" s="10">
        <v>1</v>
      </c>
      <c r="J38" s="31">
        <f>2*2.5</f>
        <v>5</v>
      </c>
      <c r="K38" s="31">
        <f t="shared" si="0"/>
        <v>21000</v>
      </c>
      <c r="L38" s="31">
        <f t="shared" si="1"/>
        <v>0.17499999999999999</v>
      </c>
      <c r="M38" s="306"/>
      <c r="N38" s="423" t="s">
        <v>15</v>
      </c>
      <c r="O38" s="226" t="s">
        <v>15</v>
      </c>
      <c r="P38" s="226" t="s">
        <v>15</v>
      </c>
      <c r="Q38" s="427" t="s">
        <v>15</v>
      </c>
      <c r="R38" s="306"/>
      <c r="S38" s="31"/>
    </row>
    <row r="39" spans="2:19" x14ac:dyDescent="0.25">
      <c r="B39" s="121"/>
      <c r="C39" s="10"/>
      <c r="D39" s="31"/>
      <c r="E39" s="31"/>
      <c r="F39" s="31"/>
      <c r="G39" s="310"/>
      <c r="H39" s="127"/>
      <c r="I39" s="10"/>
      <c r="J39" s="31"/>
      <c r="K39" s="31"/>
      <c r="L39" s="31"/>
      <c r="M39" s="306"/>
      <c r="N39" s="10"/>
      <c r="O39" s="31"/>
      <c r="P39" s="31"/>
      <c r="Q39" s="127"/>
      <c r="R39" s="306"/>
      <c r="S39" s="31"/>
    </row>
    <row r="40" spans="2:19" ht="15.75" thickBot="1" x14ac:dyDescent="0.3">
      <c r="B40" s="130" t="s">
        <v>128</v>
      </c>
      <c r="C40" s="14">
        <v>1</v>
      </c>
      <c r="D40" s="128">
        <v>1.4</v>
      </c>
      <c r="E40" s="128">
        <f>D40*$C$10*0.7</f>
        <v>3919.9999999999995</v>
      </c>
      <c r="F40" s="128">
        <f>E40/C4</f>
        <v>0.15112339425610818</v>
      </c>
      <c r="G40" s="308"/>
      <c r="H40" s="129"/>
      <c r="I40" s="14">
        <v>3</v>
      </c>
      <c r="J40" s="128">
        <f>3*2</f>
        <v>6</v>
      </c>
      <c r="K40" s="31">
        <f>J40*$I$10*$I$13</f>
        <v>25200</v>
      </c>
      <c r="L40" s="31">
        <f>K40/$I$4</f>
        <v>0.21</v>
      </c>
      <c r="M40" s="128"/>
      <c r="N40" s="14"/>
      <c r="O40" s="128"/>
      <c r="P40" s="128"/>
      <c r="Q40" s="129"/>
      <c r="R40" s="306"/>
      <c r="S40" s="31"/>
    </row>
    <row r="41" spans="2:19" x14ac:dyDescent="0.25">
      <c r="B41" s="182" t="s">
        <v>328</v>
      </c>
      <c r="C41" s="124"/>
      <c r="D41" s="125"/>
      <c r="E41" s="232">
        <f>SUM(E20:E33,E40)*0.2</f>
        <v>136286.09685429954</v>
      </c>
      <c r="F41" s="126">
        <f>E41/C4</f>
        <v>5.2540861088108306</v>
      </c>
      <c r="G41" s="125"/>
      <c r="H41" s="125"/>
      <c r="I41" s="125"/>
      <c r="J41" s="125"/>
      <c r="K41" s="232">
        <f>(J43*I13*I10)*I14</f>
        <v>849660</v>
      </c>
      <c r="L41" s="233">
        <f>K41/I4</f>
        <v>7.0804999999999998</v>
      </c>
      <c r="M41" s="243"/>
      <c r="N41" s="186"/>
      <c r="O41" s="187"/>
      <c r="P41" s="187"/>
      <c r="Q41" s="188"/>
      <c r="R41" s="11"/>
      <c r="S41" s="11"/>
    </row>
    <row r="42" spans="2:19" x14ac:dyDescent="0.25">
      <c r="B42" s="131" t="s">
        <v>40</v>
      </c>
      <c r="C42" s="10"/>
      <c r="D42" s="31"/>
      <c r="E42" s="31"/>
      <c r="F42" s="229" t="s">
        <v>307</v>
      </c>
      <c r="G42" s="242"/>
      <c r="H42" s="242"/>
      <c r="I42" s="31"/>
      <c r="J42" s="31"/>
      <c r="K42" s="31"/>
      <c r="L42" s="229" t="s">
        <v>307</v>
      </c>
      <c r="M42" s="242"/>
      <c r="N42" s="40"/>
      <c r="O42" s="11"/>
      <c r="P42" s="11"/>
      <c r="Q42" s="98"/>
      <c r="R42" s="11"/>
      <c r="S42" s="11"/>
    </row>
    <row r="43" spans="2:19" ht="15.75" thickBot="1" x14ac:dyDescent="0.3">
      <c r="B43" s="130"/>
      <c r="C43" s="14"/>
      <c r="D43" s="128"/>
      <c r="E43" s="128"/>
      <c r="F43" s="129"/>
      <c r="G43" s="31"/>
      <c r="H43" s="31"/>
      <c r="I43" s="31"/>
      <c r="J43" s="31">
        <f>SUM(J20:J40)</f>
        <v>1011.5</v>
      </c>
      <c r="K43" s="226">
        <f>(J43*I13*I10)+(1*1*0.2)</f>
        <v>4248300.2</v>
      </c>
      <c r="L43" s="127">
        <f>J43*I10*I13/I4</f>
        <v>35.402500000000003</v>
      </c>
      <c r="M43" s="31"/>
      <c r="N43" s="41"/>
      <c r="O43" s="15"/>
      <c r="P43" s="15"/>
      <c r="Q43" s="42"/>
      <c r="R43" s="11"/>
      <c r="S43" s="11"/>
    </row>
    <row r="44" spans="2:19" ht="15.75" thickBot="1" x14ac:dyDescent="0.3">
      <c r="B44" s="177" t="s">
        <v>140</v>
      </c>
      <c r="C44" s="178">
        <f>SUM(C20:C40)</f>
        <v>36</v>
      </c>
      <c r="D44" s="178">
        <f>SUM(D20:D40)</f>
        <v>362.8</v>
      </c>
      <c r="E44" s="221">
        <f>D44*C10*C13+E41</f>
        <v>1152126.0968542993</v>
      </c>
      <c r="F44" s="179">
        <f>SUM(F20:F33,F40,F41)</f>
        <v>34.547129607630673</v>
      </c>
      <c r="G44" s="178"/>
      <c r="H44" s="178"/>
      <c r="I44" s="185">
        <f>SUM(I20:I40)</f>
        <v>114</v>
      </c>
      <c r="J44" s="178">
        <f>J43</f>
        <v>1011.5</v>
      </c>
      <c r="K44" s="221"/>
      <c r="L44" s="222">
        <f>SUM(L20:L40)+L41</f>
        <v>42.48299999999999</v>
      </c>
      <c r="M44" s="244"/>
      <c r="N44" s="178"/>
      <c r="O44" s="178"/>
      <c r="P44" s="178"/>
      <c r="Q44" s="179"/>
      <c r="R44" s="11"/>
      <c r="S44" s="11"/>
    </row>
    <row r="45" spans="2:19" ht="15.75" thickBot="1" x14ac:dyDescent="0.3">
      <c r="B45" s="171" t="s">
        <v>150</v>
      </c>
      <c r="C45" s="180"/>
      <c r="D45" s="152"/>
      <c r="E45" s="181"/>
      <c r="F45" s="222">
        <f>E44/C5</f>
        <v>65.15120532678911</v>
      </c>
      <c r="G45" s="228"/>
      <c r="H45" s="228"/>
      <c r="I45" s="11"/>
      <c r="J45" s="11"/>
      <c r="K45" s="227"/>
      <c r="L45" s="230" t="s">
        <v>306</v>
      </c>
      <c r="M45" s="242"/>
      <c r="N45" s="11"/>
      <c r="O45" s="11"/>
      <c r="P45" s="11"/>
      <c r="Q45" s="11"/>
      <c r="R45" s="11"/>
      <c r="S45" s="11"/>
    </row>
    <row r="46" spans="2:19" ht="15.75" thickBot="1" x14ac:dyDescent="0.3">
      <c r="B46" s="175"/>
      <c r="C46" s="11"/>
      <c r="D46" s="206" t="s">
        <v>199</v>
      </c>
      <c r="E46" s="207">
        <f>(E44-C15)/C15</f>
        <v>-6.0511983803515759E-2</v>
      </c>
      <c r="F46" s="230" t="s">
        <v>306</v>
      </c>
      <c r="G46" s="242" t="s">
        <v>331</v>
      </c>
      <c r="H46" s="242"/>
    </row>
    <row r="47" spans="2:19" x14ac:dyDescent="0.25">
      <c r="B47" s="175"/>
      <c r="C47" s="11"/>
      <c r="D47" s="11"/>
      <c r="E47" s="11"/>
      <c r="F47" s="242" t="s">
        <v>330</v>
      </c>
      <c r="G47" s="242" t="s">
        <v>332</v>
      </c>
      <c r="H47" s="11"/>
    </row>
    <row r="48" spans="2:19" ht="15.75" thickBot="1" x14ac:dyDescent="0.3">
      <c r="B48" s="175"/>
      <c r="C48" s="11"/>
      <c r="D48" s="11"/>
      <c r="E48" s="11"/>
      <c r="F48" s="11"/>
      <c r="G48" s="11"/>
      <c r="H48" s="11"/>
    </row>
    <row r="49" spans="2:17" ht="15.75" thickBot="1" x14ac:dyDescent="0.3">
      <c r="C49" s="507" t="s">
        <v>318</v>
      </c>
      <c r="D49" s="508"/>
      <c r="E49" s="508"/>
      <c r="F49" s="508"/>
      <c r="G49" s="508"/>
      <c r="H49" s="504" t="s">
        <v>146</v>
      </c>
      <c r="I49" s="505"/>
      <c r="J49" s="505"/>
      <c r="K49" s="505"/>
      <c r="L49" s="505"/>
      <c r="M49" s="505"/>
      <c r="N49" s="505"/>
      <c r="O49" s="505"/>
      <c r="P49" s="505"/>
      <c r="Q49" s="506"/>
    </row>
    <row r="50" spans="2:17" ht="15.75" thickBot="1" x14ac:dyDescent="0.3">
      <c r="C50" s="25" t="s">
        <v>56</v>
      </c>
      <c r="D50" s="3" t="s">
        <v>57</v>
      </c>
      <c r="E50" s="4" t="s">
        <v>1</v>
      </c>
      <c r="F50" s="3" t="s">
        <v>58</v>
      </c>
      <c r="G50" s="3" t="s">
        <v>333</v>
      </c>
      <c r="H50" s="258" t="s">
        <v>167</v>
      </c>
      <c r="I50" s="97" t="s">
        <v>302</v>
      </c>
      <c r="J50" s="239" t="s">
        <v>303</v>
      </c>
      <c r="K50" s="240" t="s">
        <v>168</v>
      </c>
      <c r="L50" s="136" t="s">
        <v>143</v>
      </c>
      <c r="M50" s="136" t="s">
        <v>165</v>
      </c>
      <c r="N50" s="136" t="s">
        <v>166</v>
      </c>
      <c r="O50" s="136" t="s">
        <v>296</v>
      </c>
      <c r="P50" s="240" t="s">
        <v>360</v>
      </c>
      <c r="Q50" s="188"/>
    </row>
    <row r="51" spans="2:17" ht="15.75" thickBot="1" x14ac:dyDescent="0.3">
      <c r="B51" s="117" t="s">
        <v>80</v>
      </c>
      <c r="C51" s="139"/>
      <c r="D51" s="118"/>
      <c r="E51" s="118"/>
      <c r="F51" s="118"/>
      <c r="G51" s="118"/>
      <c r="H51" s="259">
        <f>GEOMEAN(H53,H56,H60,H65,H66,H67)</f>
        <v>0.68226313832215235</v>
      </c>
      <c r="I51" s="7">
        <f>GEOMEAN(I53,I56,I60,I65,I66,I67)</f>
        <v>0.78509894000032687</v>
      </c>
      <c r="J51" s="28">
        <f>GEOMEAN(J53,J56,J60,J65,J66,J67)</f>
        <v>0.45596881202639367</v>
      </c>
      <c r="K51" s="6">
        <v>0.89</v>
      </c>
      <c r="L51" s="7" t="s">
        <v>149</v>
      </c>
      <c r="M51" s="7" t="s">
        <v>189</v>
      </c>
      <c r="N51" s="7" t="s">
        <v>154</v>
      </c>
      <c r="O51" s="7"/>
      <c r="P51" s="6"/>
      <c r="Q51" s="28"/>
    </row>
    <row r="52" spans="2:17" x14ac:dyDescent="0.25">
      <c r="B52" s="49" t="s">
        <v>64</v>
      </c>
      <c r="C52" s="140">
        <v>0.21589999999999998</v>
      </c>
      <c r="D52" s="54">
        <v>8.7100000000000066E-2</v>
      </c>
      <c r="E52" s="96"/>
      <c r="F52" s="50"/>
      <c r="G52" s="50"/>
      <c r="H52" s="146" t="s">
        <v>15</v>
      </c>
      <c r="I52" s="50"/>
      <c r="J52" s="58"/>
      <c r="K52" s="144"/>
      <c r="L52" s="137"/>
      <c r="M52" s="50"/>
      <c r="N52" s="50"/>
      <c r="O52" s="50"/>
      <c r="P52" s="144"/>
      <c r="Q52" s="58"/>
    </row>
    <row r="53" spans="2:17" x14ac:dyDescent="0.25">
      <c r="B53" s="49" t="s">
        <v>65</v>
      </c>
      <c r="C53" s="140">
        <v>0.2329</v>
      </c>
      <c r="D53" s="54">
        <v>0.30459999999999998</v>
      </c>
      <c r="E53" s="55">
        <v>0.17712057233973377</v>
      </c>
      <c r="F53" s="50"/>
      <c r="G53" s="50"/>
      <c r="H53" s="146">
        <v>0.84499999999999997</v>
      </c>
      <c r="I53" s="50">
        <v>0.84</v>
      </c>
      <c r="J53" s="58">
        <v>0.67</v>
      </c>
      <c r="K53" s="262">
        <v>0.9</v>
      </c>
      <c r="L53" s="137" t="s">
        <v>155</v>
      </c>
      <c r="M53" s="155" t="s">
        <v>200</v>
      </c>
      <c r="N53" s="155">
        <v>0.45</v>
      </c>
      <c r="O53" s="50" t="s">
        <v>162</v>
      </c>
      <c r="P53" s="144">
        <v>0.7</v>
      </c>
      <c r="Q53" s="58"/>
    </row>
    <row r="54" spans="2:17" x14ac:dyDescent="0.25">
      <c r="B54" s="21" t="s">
        <v>71</v>
      </c>
      <c r="C54" s="141">
        <v>0.15490000000000001</v>
      </c>
      <c r="D54" s="48">
        <v>0.23150000000000001</v>
      </c>
      <c r="E54" s="59">
        <v>6.5704424794367555E-2</v>
      </c>
      <c r="F54" s="12"/>
      <c r="G54" s="12"/>
      <c r="H54" s="260"/>
      <c r="I54" s="11"/>
      <c r="J54" s="98"/>
      <c r="K54" s="263"/>
      <c r="L54" s="138"/>
      <c r="M54" s="189"/>
      <c r="N54" s="11"/>
      <c r="O54" s="11"/>
      <c r="P54" s="40"/>
      <c r="Q54" s="98"/>
    </row>
    <row r="55" spans="2:17" x14ac:dyDescent="0.25">
      <c r="B55" s="21" t="s">
        <v>74</v>
      </c>
      <c r="C55" s="141">
        <v>7.8100000000000003E-2</v>
      </c>
      <c r="D55" s="48">
        <v>7.3099999999999998E-2</v>
      </c>
      <c r="E55" s="59">
        <v>0.11086135264263243</v>
      </c>
      <c r="F55" s="12"/>
      <c r="G55" s="12"/>
      <c r="H55" s="260"/>
      <c r="I55" s="11"/>
      <c r="J55" s="98"/>
      <c r="K55" s="263"/>
      <c r="L55" s="138"/>
      <c r="M55" s="189"/>
      <c r="N55" s="11"/>
      <c r="O55" s="11"/>
      <c r="P55" s="40"/>
      <c r="Q55" s="98"/>
    </row>
    <row r="56" spans="2:17" x14ac:dyDescent="0.25">
      <c r="B56" s="49" t="s">
        <v>66</v>
      </c>
      <c r="C56" s="140">
        <v>0.13400000000000001</v>
      </c>
      <c r="D56" s="54">
        <v>0.08</v>
      </c>
      <c r="E56" s="55">
        <v>5.4691859522632731E-2</v>
      </c>
      <c r="F56" s="50"/>
      <c r="G56" s="50"/>
      <c r="H56" s="146">
        <v>0.69099999999999995</v>
      </c>
      <c r="I56" s="50">
        <v>0.87</v>
      </c>
      <c r="J56" s="58">
        <v>0.73</v>
      </c>
      <c r="K56" s="262">
        <v>0.9</v>
      </c>
      <c r="L56" s="137" t="s">
        <v>156</v>
      </c>
      <c r="M56" s="155" t="s">
        <v>201</v>
      </c>
      <c r="N56" s="50">
        <v>0.78</v>
      </c>
      <c r="O56" s="50" t="s">
        <v>162</v>
      </c>
      <c r="P56" s="144">
        <v>0.7</v>
      </c>
      <c r="Q56" s="58"/>
    </row>
    <row r="57" spans="2:17" x14ac:dyDescent="0.25">
      <c r="B57" s="21" t="s">
        <v>75</v>
      </c>
      <c r="C57" s="142">
        <v>9.3399999999999997E-2</v>
      </c>
      <c r="D57" s="48">
        <v>6.8400000000000002E-2</v>
      </c>
      <c r="E57" s="22" t="s">
        <v>15</v>
      </c>
      <c r="F57" s="12"/>
      <c r="G57" s="12"/>
      <c r="H57" s="260"/>
      <c r="I57" s="11"/>
      <c r="J57" s="98"/>
      <c r="K57" s="264"/>
      <c r="L57" s="138"/>
      <c r="M57" s="189"/>
      <c r="N57" s="11"/>
      <c r="O57" s="11"/>
      <c r="P57" s="40"/>
      <c r="Q57" s="98"/>
    </row>
    <row r="58" spans="2:17" x14ac:dyDescent="0.25">
      <c r="B58" s="21" t="s">
        <v>76</v>
      </c>
      <c r="C58" s="142">
        <v>3.61E-2</v>
      </c>
      <c r="D58" s="48">
        <v>1.1599999999999999E-2</v>
      </c>
      <c r="E58" s="22" t="s">
        <v>15</v>
      </c>
      <c r="F58" s="12"/>
      <c r="G58" s="12"/>
      <c r="H58" s="260"/>
      <c r="I58" s="11"/>
      <c r="J58" s="98"/>
      <c r="K58" s="264"/>
      <c r="L58" s="138"/>
      <c r="M58" s="189"/>
      <c r="N58" s="11"/>
      <c r="O58" s="11"/>
      <c r="P58" s="40"/>
      <c r="Q58" s="98"/>
    </row>
    <row r="59" spans="2:17" x14ac:dyDescent="0.25">
      <c r="B59" s="49" t="s">
        <v>77</v>
      </c>
      <c r="C59" s="143" t="s">
        <v>15</v>
      </c>
      <c r="D59" s="57" t="s">
        <v>15</v>
      </c>
      <c r="E59" s="55">
        <v>8.1868111985937519E-2</v>
      </c>
      <c r="F59" s="50"/>
      <c r="G59" s="50"/>
      <c r="H59" s="146" t="s">
        <v>15</v>
      </c>
      <c r="I59" s="50"/>
      <c r="J59" s="58"/>
      <c r="K59" s="262">
        <v>0.8</v>
      </c>
      <c r="L59" s="137" t="s">
        <v>156</v>
      </c>
      <c r="M59" s="155" t="s">
        <v>202</v>
      </c>
      <c r="N59" s="50">
        <v>0.62</v>
      </c>
      <c r="O59" s="50" t="s">
        <v>162</v>
      </c>
      <c r="P59" s="144">
        <v>0.5</v>
      </c>
      <c r="Q59" s="58"/>
    </row>
    <row r="60" spans="2:17" x14ac:dyDescent="0.25">
      <c r="B60" s="49" t="s">
        <v>67</v>
      </c>
      <c r="C60" s="140">
        <v>6.4199999999999993E-2</v>
      </c>
      <c r="D60" s="54">
        <v>9.1700000000000004E-2</v>
      </c>
      <c r="E60" s="55">
        <v>2.1057819237225876E-2</v>
      </c>
      <c r="F60" s="50"/>
      <c r="G60" s="50"/>
      <c r="H60" s="146">
        <v>0.52800000000000002</v>
      </c>
      <c r="I60" s="50">
        <v>0.73</v>
      </c>
      <c r="J60" s="58">
        <v>0.1</v>
      </c>
      <c r="K60" s="262">
        <v>0.85</v>
      </c>
      <c r="L60" s="137" t="s">
        <v>144</v>
      </c>
      <c r="M60" s="50"/>
      <c r="N60" s="50"/>
      <c r="O60" s="156" t="s">
        <v>15</v>
      </c>
      <c r="P60" s="397">
        <v>0.5</v>
      </c>
      <c r="Q60" s="241"/>
    </row>
    <row r="61" spans="2:17" x14ac:dyDescent="0.25">
      <c r="B61" s="49" t="s">
        <v>68</v>
      </c>
      <c r="C61" s="140">
        <v>0.1386</v>
      </c>
      <c r="D61" s="54">
        <v>0.15459999999999999</v>
      </c>
      <c r="E61" s="55">
        <v>0.19920534040678378</v>
      </c>
      <c r="F61" s="50"/>
      <c r="G61" s="50"/>
      <c r="H61" s="146" t="s">
        <v>15</v>
      </c>
      <c r="I61" s="50">
        <v>0.72</v>
      </c>
      <c r="J61" s="58">
        <v>0.72</v>
      </c>
      <c r="K61" s="262">
        <v>0.7</v>
      </c>
      <c r="L61" s="137" t="s">
        <v>157</v>
      </c>
      <c r="M61" s="156"/>
      <c r="N61" s="156"/>
      <c r="O61" s="156" t="s">
        <v>163</v>
      </c>
      <c r="P61" s="397">
        <v>0.5</v>
      </c>
      <c r="Q61" s="241"/>
    </row>
    <row r="62" spans="2:17" x14ac:dyDescent="0.25">
      <c r="B62" s="21" t="s">
        <v>82</v>
      </c>
      <c r="C62" s="142">
        <f>0.46%+3.08%</f>
        <v>3.5400000000000001E-2</v>
      </c>
      <c r="D62" s="48">
        <f>3.42%+0.42%</f>
        <v>3.8400000000000004E-2</v>
      </c>
      <c r="E62" s="59">
        <v>1.8456764864483825E-2</v>
      </c>
      <c r="F62" s="12"/>
      <c r="G62" s="12"/>
      <c r="H62" s="260"/>
      <c r="I62" s="11"/>
      <c r="J62" s="98"/>
      <c r="K62" s="263"/>
      <c r="L62" s="138"/>
      <c r="M62" s="11"/>
      <c r="N62" s="11"/>
      <c r="O62" s="11"/>
      <c r="P62" s="40"/>
      <c r="Q62" s="98"/>
    </row>
    <row r="63" spans="2:17" x14ac:dyDescent="0.25">
      <c r="B63" s="21" t="s">
        <v>81</v>
      </c>
      <c r="C63" s="142">
        <f>1.55%+8.76%</f>
        <v>0.1031</v>
      </c>
      <c r="D63" s="48">
        <v>0.1162</v>
      </c>
      <c r="E63" s="59">
        <v>0.18692188260407724</v>
      </c>
      <c r="F63" s="12"/>
      <c r="G63" s="12"/>
      <c r="H63" s="260"/>
      <c r="I63" s="11"/>
      <c r="J63" s="98"/>
      <c r="K63" s="263"/>
      <c r="L63" s="138"/>
      <c r="M63" s="11"/>
      <c r="N63" s="11"/>
      <c r="O63" s="11"/>
      <c r="P63" s="40"/>
      <c r="Q63" s="98"/>
    </row>
    <row r="64" spans="2:17" x14ac:dyDescent="0.25">
      <c r="B64" s="49" t="s">
        <v>69</v>
      </c>
      <c r="C64" s="140">
        <v>9.8500000000000004E-2</v>
      </c>
      <c r="D64" s="54">
        <v>0.13569999999999999</v>
      </c>
      <c r="E64" s="55">
        <v>7.0605884071970423E-2</v>
      </c>
      <c r="F64" s="50"/>
      <c r="G64" s="50"/>
      <c r="H64" s="260"/>
      <c r="I64" s="11"/>
      <c r="J64" s="98"/>
      <c r="K64" s="263"/>
      <c r="L64" s="138"/>
      <c r="M64" s="11"/>
      <c r="N64" s="11"/>
      <c r="O64" s="11"/>
      <c r="P64" s="40"/>
      <c r="Q64" s="98"/>
    </row>
    <row r="65" spans="2:29" x14ac:dyDescent="0.25">
      <c r="B65" s="21" t="s">
        <v>72</v>
      </c>
      <c r="C65" s="142">
        <v>5.6899999999999999E-2</v>
      </c>
      <c r="D65" s="48">
        <v>7.51E-2</v>
      </c>
      <c r="E65" s="271">
        <v>1.06E-2</v>
      </c>
      <c r="F65" s="12"/>
      <c r="G65" s="12"/>
      <c r="H65" s="146">
        <v>0.59099999999999997</v>
      </c>
      <c r="I65" s="50">
        <v>0.59</v>
      </c>
      <c r="J65" s="58">
        <v>0.28999999999999998</v>
      </c>
      <c r="K65" s="262">
        <v>0.88</v>
      </c>
      <c r="L65" s="137" t="s">
        <v>147</v>
      </c>
      <c r="M65" s="50"/>
      <c r="N65" s="50">
        <v>0.88</v>
      </c>
      <c r="O65" s="50" t="s">
        <v>164</v>
      </c>
      <c r="P65" s="144">
        <v>0.6</v>
      </c>
      <c r="Q65" s="58"/>
      <c r="W65">
        <v>1.6299999999999999E-2</v>
      </c>
    </row>
    <row r="66" spans="2:29" x14ac:dyDescent="0.25">
      <c r="B66" s="21" t="s">
        <v>73</v>
      </c>
      <c r="C66" s="142">
        <v>4.1599999999999998E-2</v>
      </c>
      <c r="D66" s="48">
        <v>6.0600000000000001E-2</v>
      </c>
      <c r="E66" s="271">
        <v>0.06</v>
      </c>
      <c r="F66" s="12"/>
      <c r="G66" s="12"/>
      <c r="H66" s="146">
        <v>0.84899999999999998</v>
      </c>
      <c r="I66" s="50">
        <v>0.93</v>
      </c>
      <c r="J66" s="58">
        <v>0.72</v>
      </c>
      <c r="K66" s="262">
        <v>0.97</v>
      </c>
      <c r="L66" s="137" t="s">
        <v>145</v>
      </c>
      <c r="M66" s="50"/>
      <c r="N66" s="50">
        <v>0.97</v>
      </c>
      <c r="O66" s="50" t="s">
        <v>164</v>
      </c>
      <c r="P66" s="144">
        <v>0.95</v>
      </c>
      <c r="Q66" s="58"/>
      <c r="W66">
        <v>1.6199999999999999E-2</v>
      </c>
    </row>
    <row r="67" spans="2:29" x14ac:dyDescent="0.25">
      <c r="B67" s="49" t="s">
        <v>70</v>
      </c>
      <c r="C67" s="140">
        <v>0.1159</v>
      </c>
      <c r="D67" s="54">
        <v>0.14630000000000001</v>
      </c>
      <c r="E67" s="55">
        <v>0.12734638630997741</v>
      </c>
      <c r="F67" s="50"/>
      <c r="G67" s="50"/>
      <c r="H67" s="146">
        <v>0.65200000000000002</v>
      </c>
      <c r="I67" s="50">
        <v>0.8</v>
      </c>
      <c r="J67" s="58">
        <v>0.88</v>
      </c>
      <c r="K67" s="262">
        <v>0.88</v>
      </c>
      <c r="L67" s="137">
        <v>0.9</v>
      </c>
      <c r="M67" s="50"/>
      <c r="N67" s="50">
        <v>0.88</v>
      </c>
      <c r="O67" s="50"/>
      <c r="P67" s="144">
        <v>0.5</v>
      </c>
      <c r="Q67" s="58"/>
    </row>
    <row r="68" spans="2:29" ht="15.75" thickBot="1" x14ac:dyDescent="0.3">
      <c r="B68" s="23" t="s">
        <v>285</v>
      </c>
      <c r="C68" s="190" t="s">
        <v>15</v>
      </c>
      <c r="D68" s="191" t="s">
        <v>15</v>
      </c>
      <c r="E68" s="60" t="s">
        <v>15</v>
      </c>
      <c r="F68" s="192" t="s">
        <v>15</v>
      </c>
      <c r="G68" s="16"/>
      <c r="H68" s="261"/>
      <c r="I68" s="15"/>
      <c r="J68" s="42"/>
      <c r="K68" s="41"/>
      <c r="L68" s="15"/>
      <c r="M68" s="15"/>
      <c r="N68" s="15"/>
      <c r="O68" s="15"/>
      <c r="P68" s="41">
        <v>0.7</v>
      </c>
      <c r="Q68" s="42"/>
    </row>
    <row r="69" spans="2:29" x14ac:dyDescent="0.25">
      <c r="C69" s="135">
        <f>SUM(C52,C53,C56,C60,C61,C64,C67)</f>
        <v>1</v>
      </c>
      <c r="D69" s="135">
        <f t="shared" ref="D69:E69" si="5">SUM(D52,D53,D56,D60,D61,D64,D67)</f>
        <v>1.0000000000000002</v>
      </c>
      <c r="E69" s="135">
        <f t="shared" si="5"/>
        <v>0.65002786188832395</v>
      </c>
    </row>
    <row r="71" spans="2:29" ht="15.75" thickBot="1" x14ac:dyDescent="0.3"/>
    <row r="72" spans="2:29" ht="19.5" thickBot="1" x14ac:dyDescent="0.35">
      <c r="B72" s="135"/>
      <c r="C72" s="501" t="s">
        <v>334</v>
      </c>
      <c r="D72" s="502"/>
      <c r="E72" s="502"/>
      <c r="F72" s="502"/>
      <c r="G72" s="502"/>
      <c r="H72" s="503"/>
      <c r="I72" s="135"/>
      <c r="J72" s="135"/>
      <c r="M72" s="509" t="s">
        <v>335</v>
      </c>
      <c r="N72" s="510"/>
      <c r="O72" s="510"/>
      <c r="P72" s="510"/>
      <c r="Q72" s="510"/>
      <c r="R72" s="510"/>
      <c r="S72" s="510"/>
      <c r="V72" s="511" t="s">
        <v>667</v>
      </c>
      <c r="W72" s="512"/>
      <c r="X72" s="512"/>
      <c r="Y72" s="512"/>
      <c r="Z72" s="512"/>
      <c r="AA72" s="513"/>
    </row>
    <row r="73" spans="2:29" ht="15.75" thickBot="1" x14ac:dyDescent="0.3">
      <c r="B73" s="135"/>
      <c r="C73" s="443" t="s">
        <v>56</v>
      </c>
      <c r="D73" s="444" t="s">
        <v>57</v>
      </c>
      <c r="E73" s="489" t="s">
        <v>506</v>
      </c>
      <c r="F73" s="490"/>
      <c r="G73" s="489" t="s">
        <v>304</v>
      </c>
      <c r="H73" s="490"/>
      <c r="I73" s="489" t="s">
        <v>305</v>
      </c>
      <c r="J73" s="516"/>
      <c r="M73" s="312"/>
      <c r="N73" s="313"/>
      <c r="O73" s="4" t="s">
        <v>535</v>
      </c>
      <c r="P73" s="491" t="s">
        <v>304</v>
      </c>
      <c r="Q73" s="492"/>
      <c r="R73" s="491" t="s">
        <v>305</v>
      </c>
      <c r="S73" s="492"/>
      <c r="V73" s="25" t="s">
        <v>56</v>
      </c>
      <c r="W73" s="26" t="s">
        <v>57</v>
      </c>
      <c r="X73" s="491" t="s">
        <v>506</v>
      </c>
      <c r="Y73" s="526"/>
      <c r="Z73" s="491" t="s">
        <v>304</v>
      </c>
      <c r="AA73" s="526"/>
      <c r="AB73" s="491" t="s">
        <v>305</v>
      </c>
      <c r="AC73" s="492"/>
    </row>
    <row r="74" spans="2:29" ht="15.75" thickBot="1" x14ac:dyDescent="0.3">
      <c r="B74" s="445" t="s">
        <v>80</v>
      </c>
      <c r="C74" s="139"/>
      <c r="D74" s="446"/>
      <c r="E74" s="443" t="s">
        <v>56</v>
      </c>
      <c r="F74" s="447" t="s">
        <v>57</v>
      </c>
      <c r="G74" s="443" t="s">
        <v>56</v>
      </c>
      <c r="H74" s="447" t="s">
        <v>57</v>
      </c>
      <c r="I74" s="443" t="s">
        <v>56</v>
      </c>
      <c r="J74" s="444" t="s">
        <v>57</v>
      </c>
      <c r="L74" s="117" t="s">
        <v>80</v>
      </c>
      <c r="M74" s="139"/>
      <c r="N74" s="119"/>
      <c r="O74" s="312" t="s">
        <v>1</v>
      </c>
      <c r="P74" s="497" t="s">
        <v>1</v>
      </c>
      <c r="Q74" s="499"/>
      <c r="R74" s="497" t="s">
        <v>1</v>
      </c>
      <c r="S74" s="499"/>
      <c r="U74" s="117" t="s">
        <v>80</v>
      </c>
      <c r="V74" s="139"/>
      <c r="W74" s="119"/>
      <c r="X74" s="25" t="s">
        <v>56</v>
      </c>
      <c r="Y74" s="3" t="s">
        <v>57</v>
      </c>
      <c r="Z74" s="25" t="s">
        <v>56</v>
      </c>
      <c r="AA74" s="3" t="s">
        <v>57</v>
      </c>
      <c r="AB74" s="25" t="s">
        <v>56</v>
      </c>
      <c r="AC74" s="26" t="s">
        <v>57</v>
      </c>
    </row>
    <row r="75" spans="2:29" x14ac:dyDescent="0.25">
      <c r="B75" s="448" t="s">
        <v>64</v>
      </c>
      <c r="C75" s="140">
        <v>0.21589999999999998</v>
      </c>
      <c r="D75" s="208">
        <v>8.7100000000000066E-2</v>
      </c>
      <c r="E75" s="452">
        <f>1000*C75</f>
        <v>215.89999999999998</v>
      </c>
      <c r="F75" s="453">
        <f>1000*D75</f>
        <v>87.100000000000065</v>
      </c>
      <c r="G75" s="454"/>
      <c r="H75" s="455"/>
      <c r="I75" s="235"/>
      <c r="J75" s="235"/>
      <c r="L75" s="272" t="s">
        <v>64</v>
      </c>
      <c r="M75" s="521">
        <f xml:space="preserve"> 1 - SUM(M76,M79,M82,M83,M84,M87,M90)</f>
        <v>0.26810402612573847</v>
      </c>
      <c r="N75" s="522"/>
      <c r="O75" s="339">
        <f>1000*M75</f>
        <v>268.10402612573847</v>
      </c>
      <c r="P75" s="493"/>
      <c r="Q75" s="494"/>
      <c r="R75" s="493"/>
      <c r="S75" s="494"/>
      <c r="U75" s="49" t="s">
        <v>64</v>
      </c>
      <c r="V75" s="394"/>
      <c r="W75" s="395"/>
      <c r="X75" s="338">
        <f>1000*V75</f>
        <v>0</v>
      </c>
      <c r="Y75" s="252">
        <f>1000*W75</f>
        <v>0</v>
      </c>
      <c r="Z75" s="144"/>
      <c r="AA75" s="144"/>
      <c r="AB75" s="218"/>
      <c r="AC75" s="218"/>
    </row>
    <row r="76" spans="2:29" x14ac:dyDescent="0.25">
      <c r="B76" s="448" t="s">
        <v>65</v>
      </c>
      <c r="C76" s="140">
        <v>0.2329</v>
      </c>
      <c r="D76" s="208">
        <v>0.30459999999999998</v>
      </c>
      <c r="E76" s="452">
        <f t="shared" ref="E76:F90" si="6">1000*C76</f>
        <v>232.9</v>
      </c>
      <c r="F76" s="453">
        <f t="shared" si="6"/>
        <v>304.59999999999997</v>
      </c>
      <c r="G76" s="452">
        <f>C76*$H53*1000</f>
        <v>196.8005</v>
      </c>
      <c r="H76" s="453">
        <f>D76*I53*1000</f>
        <v>255.86399999999998</v>
      </c>
      <c r="I76" s="235">
        <f>G76*$C$106</f>
        <v>188.92847999999998</v>
      </c>
      <c r="J76" s="235">
        <f>H76*$C$106</f>
        <v>245.62943999999996</v>
      </c>
      <c r="K76">
        <f>I76/G76</f>
        <v>0.95999999999999985</v>
      </c>
      <c r="L76" s="273" t="s">
        <v>65</v>
      </c>
      <c r="M76" s="519">
        <v>0.17712057233973377</v>
      </c>
      <c r="N76" s="520"/>
      <c r="O76" s="340">
        <f t="shared" ref="O76:O90" si="7">1000*M76</f>
        <v>177.12057233973377</v>
      </c>
      <c r="P76" s="481">
        <f>M76*$K53*1000</f>
        <v>159.40851510576042</v>
      </c>
      <c r="Q76" s="482">
        <f>N76*Q53*1000</f>
        <v>0</v>
      </c>
      <c r="R76" s="481">
        <f>P76*$C$121</f>
        <v>146.6558338972996</v>
      </c>
      <c r="S76" s="482">
        <f>Q76*$C$106</f>
        <v>0</v>
      </c>
      <c r="T76">
        <f t="shared" ref="T76:T90" si="8">R76/P76</f>
        <v>0.92000000000000015</v>
      </c>
      <c r="U76" s="49" t="s">
        <v>65</v>
      </c>
      <c r="V76" s="140">
        <v>4.9000000000000002E-2</v>
      </c>
      <c r="W76" s="208">
        <v>0.13220000000000001</v>
      </c>
      <c r="X76" s="214">
        <f t="shared" ref="X76:X81" si="9">1000*V76</f>
        <v>49</v>
      </c>
      <c r="Y76" s="212">
        <f t="shared" ref="Y76:Y81" si="10">1000*W76</f>
        <v>132.20000000000002</v>
      </c>
      <c r="Z76" s="214">
        <f>V76*$P53*1000</f>
        <v>34.299999999999997</v>
      </c>
      <c r="AA76" s="214">
        <f>W76*P53*1000</f>
        <v>92.539999999999992</v>
      </c>
      <c r="AB76" s="225">
        <f>Z76*$C$106</f>
        <v>32.927999999999997</v>
      </c>
      <c r="AC76" s="225">
        <f>AA76*$C$106</f>
        <v>88.838399999999993</v>
      </c>
    </row>
    <row r="77" spans="2:29" x14ac:dyDescent="0.25">
      <c r="B77" s="449" t="s">
        <v>71</v>
      </c>
      <c r="C77" s="141">
        <v>0.15490000000000001</v>
      </c>
      <c r="D77" s="209">
        <v>0.23150000000000001</v>
      </c>
      <c r="E77" s="456">
        <f t="shared" si="6"/>
        <v>154.9</v>
      </c>
      <c r="F77" s="457">
        <f t="shared" si="6"/>
        <v>231.5</v>
      </c>
      <c r="G77" s="456"/>
      <c r="H77" s="457"/>
      <c r="I77" s="238"/>
      <c r="J77" s="238"/>
      <c r="L77" s="274" t="s">
        <v>71</v>
      </c>
      <c r="M77" s="523">
        <v>6.5704424794367555E-2</v>
      </c>
      <c r="N77" s="518"/>
      <c r="O77" s="341">
        <f t="shared" si="7"/>
        <v>65.704424794367554</v>
      </c>
      <c r="P77" s="485"/>
      <c r="Q77" s="486"/>
      <c r="R77" s="485"/>
      <c r="S77" s="486"/>
      <c r="U77" s="21" t="s">
        <v>71</v>
      </c>
      <c r="V77" s="141">
        <v>3.2000000000000001E-2</v>
      </c>
      <c r="W77" s="209">
        <v>0.1241</v>
      </c>
      <c r="X77" s="215">
        <f t="shared" si="9"/>
        <v>32</v>
      </c>
      <c r="Y77" s="213">
        <f t="shared" si="10"/>
        <v>124.10000000000001</v>
      </c>
      <c r="Z77" s="215"/>
      <c r="AA77" s="215"/>
      <c r="AB77" s="219"/>
      <c r="AC77" s="219"/>
    </row>
    <row r="78" spans="2:29" x14ac:dyDescent="0.25">
      <c r="B78" s="449" t="s">
        <v>74</v>
      </c>
      <c r="C78" s="141">
        <v>7.8100000000000003E-2</v>
      </c>
      <c r="D78" s="209">
        <v>7.3099999999999998E-2</v>
      </c>
      <c r="E78" s="456">
        <f t="shared" si="6"/>
        <v>78.100000000000009</v>
      </c>
      <c r="F78" s="457">
        <f t="shared" si="6"/>
        <v>73.099999999999994</v>
      </c>
      <c r="G78" s="456"/>
      <c r="H78" s="457"/>
      <c r="I78" s="238"/>
      <c r="J78" s="238"/>
      <c r="L78" s="274" t="s">
        <v>74</v>
      </c>
      <c r="M78" s="517">
        <v>0.11086135264263243</v>
      </c>
      <c r="N78" s="518"/>
      <c r="O78" s="341">
        <f t="shared" si="7"/>
        <v>110.86135264263243</v>
      </c>
      <c r="P78" s="485"/>
      <c r="Q78" s="486"/>
      <c r="R78" s="485"/>
      <c r="S78" s="486"/>
      <c r="U78" s="21" t="s">
        <v>74</v>
      </c>
      <c r="V78" s="141">
        <v>1.7000000000000001E-2</v>
      </c>
      <c r="W78" s="209">
        <v>8.0999999999999996E-3</v>
      </c>
      <c r="X78" s="215">
        <f t="shared" si="9"/>
        <v>17</v>
      </c>
      <c r="Y78" s="213">
        <f t="shared" si="10"/>
        <v>8.1</v>
      </c>
      <c r="Z78" s="215"/>
      <c r="AA78" s="215"/>
      <c r="AB78" s="219"/>
      <c r="AC78" s="219"/>
    </row>
    <row r="79" spans="2:29" x14ac:dyDescent="0.25">
      <c r="B79" s="448" t="s">
        <v>66</v>
      </c>
      <c r="C79" s="140">
        <v>0.13400000000000001</v>
      </c>
      <c r="D79" s="208">
        <v>0.08</v>
      </c>
      <c r="E79" s="452">
        <f t="shared" si="6"/>
        <v>134</v>
      </c>
      <c r="F79" s="453">
        <f t="shared" si="6"/>
        <v>80</v>
      </c>
      <c r="G79" s="452">
        <f>C79*$H56*1000</f>
        <v>92.593999999999994</v>
      </c>
      <c r="H79" s="453">
        <f>D79*I56*1000</f>
        <v>69.599999999999994</v>
      </c>
      <c r="I79" s="235">
        <f>G79*$F$107</f>
        <v>83.334599999999995</v>
      </c>
      <c r="J79" s="235">
        <f>H79*$F$107</f>
        <v>62.639999999999993</v>
      </c>
      <c r="K79">
        <f t="shared" ref="K77:K91" si="11">I79/G79</f>
        <v>0.9</v>
      </c>
      <c r="L79" s="273" t="s">
        <v>66</v>
      </c>
      <c r="M79" s="519">
        <v>5.4691859522632731E-2</v>
      </c>
      <c r="N79" s="520"/>
      <c r="O79" s="340">
        <f t="shared" si="7"/>
        <v>54.691859522632733</v>
      </c>
      <c r="P79" s="481">
        <f t="shared" ref="P79:P90" si="12">M79*$K56*1000</f>
        <v>49.222673570369459</v>
      </c>
      <c r="Q79" s="482">
        <f>N79*Q56*1000</f>
        <v>0</v>
      </c>
      <c r="R79" s="481">
        <f>P79*$F$121</f>
        <v>46.269313156147291</v>
      </c>
      <c r="S79" s="482">
        <f>Q79*$F$107</f>
        <v>0</v>
      </c>
      <c r="T79">
        <f t="shared" si="8"/>
        <v>0.94</v>
      </c>
      <c r="U79" s="49" t="s">
        <v>66</v>
      </c>
      <c r="V79" s="140">
        <v>2.8000000000000001E-2</v>
      </c>
      <c r="W79" s="208">
        <v>4.3099999999999999E-2</v>
      </c>
      <c r="X79" s="214">
        <f t="shared" si="9"/>
        <v>28</v>
      </c>
      <c r="Y79" s="212">
        <f t="shared" si="10"/>
        <v>43.1</v>
      </c>
      <c r="Z79" s="214">
        <f t="shared" ref="Z79:Z91" si="13">V79*$P56*1000</f>
        <v>19.599999999999998</v>
      </c>
      <c r="AA79" s="214">
        <f t="shared" ref="AA79:AA91" si="14">W79*P56*1000</f>
        <v>30.169999999999998</v>
      </c>
      <c r="AB79" s="235">
        <f>Z79*$F$107</f>
        <v>17.639999999999997</v>
      </c>
      <c r="AC79" s="235">
        <f>AA79*$F$107</f>
        <v>27.152999999999999</v>
      </c>
    </row>
    <row r="80" spans="2:29" x14ac:dyDescent="0.25">
      <c r="B80" s="449" t="s">
        <v>75</v>
      </c>
      <c r="C80" s="142">
        <v>9.3399999999999997E-2</v>
      </c>
      <c r="D80" s="209">
        <v>6.8400000000000002E-2</v>
      </c>
      <c r="E80" s="456">
        <f t="shared" si="6"/>
        <v>93.399999999999991</v>
      </c>
      <c r="F80" s="457">
        <f t="shared" si="6"/>
        <v>68.400000000000006</v>
      </c>
      <c r="G80" s="456"/>
      <c r="H80" s="457"/>
      <c r="I80" s="238"/>
      <c r="J80" s="238"/>
      <c r="L80" s="274" t="s">
        <v>75</v>
      </c>
      <c r="M80" s="517" t="s">
        <v>15</v>
      </c>
      <c r="N80" s="518"/>
      <c r="O80" s="341"/>
      <c r="P80" s="485"/>
      <c r="Q80" s="486"/>
      <c r="R80" s="485"/>
      <c r="S80" s="486"/>
      <c r="U80" s="21" t="s">
        <v>75</v>
      </c>
      <c r="V80" s="142">
        <v>8.0000000000000002E-3</v>
      </c>
      <c r="W80" s="209">
        <v>0</v>
      </c>
      <c r="X80" s="215">
        <f t="shared" si="9"/>
        <v>8</v>
      </c>
      <c r="Y80" s="213">
        <f t="shared" si="10"/>
        <v>0</v>
      </c>
      <c r="Z80" s="215"/>
      <c r="AA80" s="215"/>
      <c r="AB80" s="220"/>
      <c r="AC80" s="220"/>
    </row>
    <row r="81" spans="2:29" x14ac:dyDescent="0.25">
      <c r="B81" s="449" t="s">
        <v>76</v>
      </c>
      <c r="C81" s="142">
        <v>3.61E-2</v>
      </c>
      <c r="D81" s="209">
        <v>1.1599999999999999E-2</v>
      </c>
      <c r="E81" s="456">
        <f t="shared" si="6"/>
        <v>36.1</v>
      </c>
      <c r="F81" s="457">
        <f t="shared" si="6"/>
        <v>11.6</v>
      </c>
      <c r="G81" s="456"/>
      <c r="H81" s="457"/>
      <c r="I81" s="238"/>
      <c r="J81" s="238"/>
      <c r="L81" s="274" t="s">
        <v>76</v>
      </c>
      <c r="M81" s="517" t="s">
        <v>15</v>
      </c>
      <c r="N81" s="518"/>
      <c r="O81" s="341"/>
      <c r="P81" s="485"/>
      <c r="Q81" s="486"/>
      <c r="R81" s="485"/>
      <c r="S81" s="486"/>
      <c r="U81" s="21" t="s">
        <v>76</v>
      </c>
      <c r="V81" s="142">
        <v>0.02</v>
      </c>
      <c r="W81" s="209">
        <v>2.8899999999999999E-2</v>
      </c>
      <c r="X81" s="215">
        <f t="shared" si="9"/>
        <v>20</v>
      </c>
      <c r="Y81" s="213">
        <f t="shared" si="10"/>
        <v>28.9</v>
      </c>
      <c r="Z81" s="215"/>
      <c r="AA81" s="215"/>
      <c r="AB81" s="220"/>
      <c r="AC81" s="220"/>
    </row>
    <row r="82" spans="2:29" x14ac:dyDescent="0.25">
      <c r="B82" s="448" t="s">
        <v>77</v>
      </c>
      <c r="C82" s="143" t="s">
        <v>15</v>
      </c>
      <c r="D82" s="210" t="s">
        <v>15</v>
      </c>
      <c r="E82" s="452"/>
      <c r="F82" s="453"/>
      <c r="G82" s="452"/>
      <c r="H82" s="453"/>
      <c r="I82" s="235"/>
      <c r="J82" s="235"/>
      <c r="L82" s="273" t="s">
        <v>77</v>
      </c>
      <c r="M82" s="519">
        <v>8.1868111985937519E-2</v>
      </c>
      <c r="N82" s="520"/>
      <c r="O82" s="340">
        <f t="shared" si="7"/>
        <v>81.868111985937517</v>
      </c>
      <c r="P82" s="481">
        <f t="shared" si="12"/>
        <v>65.494489588750028</v>
      </c>
      <c r="Q82" s="482">
        <f>N82*Q59*1000</f>
        <v>0</v>
      </c>
      <c r="R82" s="481">
        <f>P82*I121</f>
        <v>61.564820213425023</v>
      </c>
      <c r="S82" s="482"/>
      <c r="T82">
        <f t="shared" si="8"/>
        <v>0.94</v>
      </c>
      <c r="U82" s="49" t="s">
        <v>77</v>
      </c>
      <c r="V82" s="143" t="s">
        <v>15</v>
      </c>
      <c r="W82" s="210" t="s">
        <v>15</v>
      </c>
      <c r="X82" s="399"/>
      <c r="Y82" s="212"/>
      <c r="Z82" s="214"/>
      <c r="AA82" s="214"/>
      <c r="AB82" s="218"/>
      <c r="AC82" s="218"/>
    </row>
    <row r="83" spans="2:29" x14ac:dyDescent="0.25">
      <c r="B83" s="448" t="s">
        <v>67</v>
      </c>
      <c r="C83" s="140">
        <v>6.4199999999999993E-2</v>
      </c>
      <c r="D83" s="208">
        <v>9.1700000000000004E-2</v>
      </c>
      <c r="E83" s="452">
        <f t="shared" si="6"/>
        <v>64.199999999999989</v>
      </c>
      <c r="F83" s="453">
        <f t="shared" si="6"/>
        <v>91.7</v>
      </c>
      <c r="G83" s="452">
        <f>C83*$H60*1000</f>
        <v>33.897599999999997</v>
      </c>
      <c r="H83" s="453">
        <f>D83*I60*1000</f>
        <v>66.941000000000003</v>
      </c>
      <c r="I83" s="235">
        <f>G83*$O$107</f>
        <v>27.118079999999999</v>
      </c>
      <c r="J83" s="235">
        <f>H83*$O$107</f>
        <v>53.552800000000005</v>
      </c>
      <c r="K83">
        <f t="shared" si="11"/>
        <v>0.8</v>
      </c>
      <c r="L83" s="273" t="s">
        <v>67</v>
      </c>
      <c r="M83" s="519">
        <v>2.1057819237225876E-2</v>
      </c>
      <c r="N83" s="520"/>
      <c r="O83" s="340">
        <f t="shared" si="7"/>
        <v>21.057819237225875</v>
      </c>
      <c r="P83" s="481">
        <f t="shared" si="12"/>
        <v>17.899146351641996</v>
      </c>
      <c r="Q83" s="482">
        <f>N83*Q60*1000</f>
        <v>0</v>
      </c>
      <c r="R83" s="481">
        <f>P83*$O$107</f>
        <v>14.319317081313597</v>
      </c>
      <c r="S83" s="482">
        <f>Q83*$O$107</f>
        <v>0</v>
      </c>
      <c r="T83">
        <f t="shared" si="8"/>
        <v>0.8</v>
      </c>
      <c r="U83" s="49" t="s">
        <v>67</v>
      </c>
      <c r="V83" s="140">
        <v>2.9000000000000001E-2</v>
      </c>
      <c r="W83" s="208">
        <v>2.8899999999999999E-2</v>
      </c>
      <c r="X83" s="399">
        <f t="shared" ref="X83:X90" si="15">1000*V83</f>
        <v>29</v>
      </c>
      <c r="Y83" s="212">
        <f t="shared" ref="Y83:Y90" si="16">1000*W83</f>
        <v>28.9</v>
      </c>
      <c r="Z83" s="214">
        <f t="shared" si="13"/>
        <v>14.5</v>
      </c>
      <c r="AA83" s="214">
        <f t="shared" si="14"/>
        <v>14.45</v>
      </c>
      <c r="AB83" s="235">
        <f>Z83*$O$107</f>
        <v>11.600000000000001</v>
      </c>
      <c r="AC83" s="235">
        <f>AA83*$O$107</f>
        <v>11.56</v>
      </c>
    </row>
    <row r="84" spans="2:29" x14ac:dyDescent="0.25">
      <c r="B84" s="448" t="s">
        <v>68</v>
      </c>
      <c r="C84" s="140">
        <v>0.1386</v>
      </c>
      <c r="D84" s="208">
        <v>0.15459999999999999</v>
      </c>
      <c r="E84" s="458">
        <f t="shared" si="6"/>
        <v>138.6</v>
      </c>
      <c r="F84" s="459">
        <f t="shared" si="6"/>
        <v>154.6</v>
      </c>
      <c r="G84" s="458">
        <f>C84*I61*0.9*1000</f>
        <v>89.812799999999996</v>
      </c>
      <c r="H84" s="453">
        <f>D84*I61*0.9*1000</f>
        <v>100.18079999999999</v>
      </c>
      <c r="I84" s="235">
        <f>G84*$L$108</f>
        <v>73.646495999999999</v>
      </c>
      <c r="J84" s="235">
        <f>H84*$L$108</f>
        <v>82.148255999999989</v>
      </c>
      <c r="K84">
        <f t="shared" si="11"/>
        <v>0.82000000000000006</v>
      </c>
      <c r="L84" s="273" t="s">
        <v>68</v>
      </c>
      <c r="M84" s="519">
        <v>0.19920534040678378</v>
      </c>
      <c r="N84" s="520"/>
      <c r="O84" s="340">
        <f t="shared" si="7"/>
        <v>199.20534040678379</v>
      </c>
      <c r="P84" s="481">
        <f t="shared" si="12"/>
        <v>139.44373828474863</v>
      </c>
      <c r="Q84" s="482">
        <f>N84*Q61*1000</f>
        <v>0</v>
      </c>
      <c r="R84" s="481">
        <f>P84*$L$108</f>
        <v>114.34386539349387</v>
      </c>
      <c r="S84" s="482">
        <f>Q84*$L$108</f>
        <v>0</v>
      </c>
      <c r="T84">
        <f t="shared" si="8"/>
        <v>0.82</v>
      </c>
      <c r="U84" s="49" t="s">
        <v>68</v>
      </c>
      <c r="V84" s="140">
        <v>3.3000000000000002E-2</v>
      </c>
      <c r="W84" s="208">
        <v>4.5600000000000002E-2</v>
      </c>
      <c r="X84" s="399">
        <f t="shared" si="15"/>
        <v>33</v>
      </c>
      <c r="Y84" s="212">
        <f t="shared" si="16"/>
        <v>45.6</v>
      </c>
      <c r="Z84" s="399">
        <f t="shared" si="13"/>
        <v>16.5</v>
      </c>
      <c r="AA84" s="399">
        <f t="shared" si="14"/>
        <v>22.8</v>
      </c>
      <c r="AB84" s="235">
        <f>Z84*$L$108</f>
        <v>13.53</v>
      </c>
      <c r="AC84" s="235">
        <f>AA84*$L$108</f>
        <v>18.695999999999998</v>
      </c>
    </row>
    <row r="85" spans="2:29" x14ac:dyDescent="0.25">
      <c r="B85" s="449" t="s">
        <v>82</v>
      </c>
      <c r="C85" s="142">
        <f>0.46%+3.08%</f>
        <v>3.5400000000000001E-2</v>
      </c>
      <c r="D85" s="209">
        <f>3.42%+0.42%</f>
        <v>3.8400000000000004E-2</v>
      </c>
      <c r="E85" s="456">
        <f t="shared" si="6"/>
        <v>35.4</v>
      </c>
      <c r="F85" s="457">
        <f t="shared" si="6"/>
        <v>38.400000000000006</v>
      </c>
      <c r="G85" s="456"/>
      <c r="H85" s="457"/>
      <c r="I85" s="238"/>
      <c r="J85" s="238"/>
      <c r="L85" s="274" t="s">
        <v>82</v>
      </c>
      <c r="M85" s="517">
        <v>1.8456764864483825E-2</v>
      </c>
      <c r="N85" s="518"/>
      <c r="O85" s="341">
        <f t="shared" si="7"/>
        <v>18.456764864483826</v>
      </c>
      <c r="P85" s="485"/>
      <c r="Q85" s="486"/>
      <c r="R85" s="485"/>
      <c r="S85" s="486"/>
      <c r="U85" s="21" t="s">
        <v>82</v>
      </c>
      <c r="V85" s="142"/>
      <c r="W85" s="209"/>
      <c r="X85" s="400">
        <f t="shared" si="15"/>
        <v>0</v>
      </c>
      <c r="Y85" s="213">
        <f t="shared" si="16"/>
        <v>0</v>
      </c>
      <c r="Z85" s="215"/>
      <c r="AA85" s="215"/>
      <c r="AB85" s="219"/>
      <c r="AC85" s="219"/>
    </row>
    <row r="86" spans="2:29" x14ac:dyDescent="0.25">
      <c r="B86" s="449" t="s">
        <v>81</v>
      </c>
      <c r="C86" s="142">
        <f>1.55%+8.76%</f>
        <v>0.1031</v>
      </c>
      <c r="D86" s="209">
        <v>0.1162</v>
      </c>
      <c r="E86" s="456">
        <f t="shared" si="6"/>
        <v>103.1</v>
      </c>
      <c r="F86" s="457">
        <f t="shared" si="6"/>
        <v>116.2</v>
      </c>
      <c r="G86" s="456"/>
      <c r="H86" s="457"/>
      <c r="I86" s="238"/>
      <c r="J86" s="238"/>
      <c r="L86" s="274" t="s">
        <v>81</v>
      </c>
      <c r="M86" s="517">
        <v>0.18692188260407724</v>
      </c>
      <c r="N86" s="518"/>
      <c r="O86" s="341">
        <f t="shared" si="7"/>
        <v>186.92188260407724</v>
      </c>
      <c r="P86" s="485"/>
      <c r="Q86" s="486"/>
      <c r="R86" s="485"/>
      <c r="S86" s="486"/>
      <c r="U86" s="21" t="s">
        <v>81</v>
      </c>
      <c r="V86" s="142"/>
      <c r="W86" s="209"/>
      <c r="X86" s="215">
        <f t="shared" si="15"/>
        <v>0</v>
      </c>
      <c r="Y86" s="213">
        <f t="shared" si="16"/>
        <v>0</v>
      </c>
      <c r="Z86" s="215"/>
      <c r="AA86" s="215"/>
      <c r="AB86" s="219"/>
      <c r="AC86" s="219"/>
    </row>
    <row r="87" spans="2:29" x14ac:dyDescent="0.25">
      <c r="B87" s="448" t="s">
        <v>69</v>
      </c>
      <c r="C87" s="140">
        <v>9.8500000000000004E-2</v>
      </c>
      <c r="D87" s="208">
        <v>0.13569999999999999</v>
      </c>
      <c r="E87" s="452">
        <f t="shared" si="6"/>
        <v>98.5</v>
      </c>
      <c r="F87" s="453">
        <f t="shared" si="6"/>
        <v>135.69999999999999</v>
      </c>
      <c r="G87" s="452"/>
      <c r="H87" s="453"/>
      <c r="I87" s="235"/>
      <c r="J87" s="235"/>
      <c r="L87" s="273" t="s">
        <v>69</v>
      </c>
      <c r="M87" s="519">
        <v>7.0605884071970423E-2</v>
      </c>
      <c r="N87" s="520"/>
      <c r="O87" s="340">
        <f t="shared" si="7"/>
        <v>70.605884071970422</v>
      </c>
      <c r="P87" s="481">
        <f>M87*$K65*1000</f>
        <v>62.133177983333972</v>
      </c>
      <c r="Q87" s="482">
        <f>N87*Q64*1000</f>
        <v>0</v>
      </c>
      <c r="R87" s="487">
        <f>+P87*$U$120</f>
        <v>55.919860185000573</v>
      </c>
      <c r="S87" s="488">
        <f>+Q87*$U$107</f>
        <v>0</v>
      </c>
      <c r="T87">
        <f t="shared" si="8"/>
        <v>0.89999999999999991</v>
      </c>
      <c r="U87" s="49" t="s">
        <v>69</v>
      </c>
      <c r="V87" s="140"/>
      <c r="W87" s="208"/>
      <c r="X87" s="214">
        <f t="shared" si="15"/>
        <v>0</v>
      </c>
      <c r="Y87" s="212">
        <f t="shared" si="16"/>
        <v>0</v>
      </c>
      <c r="Z87" s="214"/>
      <c r="AA87" s="214"/>
      <c r="AB87" s="218"/>
      <c r="AC87" s="218"/>
    </row>
    <row r="88" spans="2:29" x14ac:dyDescent="0.25">
      <c r="B88" s="449" t="s">
        <v>72</v>
      </c>
      <c r="C88" s="142">
        <v>5.6899999999999999E-2</v>
      </c>
      <c r="D88" s="209">
        <v>7.51E-2</v>
      </c>
      <c r="E88" s="456">
        <f t="shared" si="6"/>
        <v>56.9</v>
      </c>
      <c r="F88" s="457">
        <f t="shared" si="6"/>
        <v>75.099999999999994</v>
      </c>
      <c r="G88" s="456">
        <f>C88*$H65*1000</f>
        <v>33.627899999999997</v>
      </c>
      <c r="H88" s="457">
        <f>D88*I65*1000</f>
        <v>44.309000000000005</v>
      </c>
      <c r="I88" s="238">
        <f>+G88*$U$107</f>
        <v>30.265109999999996</v>
      </c>
      <c r="J88" s="238">
        <f>+H88*$U$107</f>
        <v>39.878100000000003</v>
      </c>
      <c r="K88">
        <f t="shared" si="11"/>
        <v>0.9</v>
      </c>
      <c r="L88" s="274" t="s">
        <v>72</v>
      </c>
      <c r="M88" s="514">
        <v>1.06E-2</v>
      </c>
      <c r="N88" s="515"/>
      <c r="O88" s="342">
        <f t="shared" si="7"/>
        <v>10.6</v>
      </c>
      <c r="P88" s="485">
        <f t="shared" ref="P88:P89" si="17">M88*$K66*1000</f>
        <v>10.282</v>
      </c>
      <c r="Q88" s="486">
        <f>N88*Q65*1000</f>
        <v>0</v>
      </c>
      <c r="R88" s="485">
        <f>+P88*$U$120</f>
        <v>9.2538</v>
      </c>
      <c r="S88" s="486">
        <f>+Q88*$U$107</f>
        <v>0</v>
      </c>
      <c r="T88">
        <f t="shared" si="8"/>
        <v>0.9</v>
      </c>
      <c r="U88" s="21" t="s">
        <v>72</v>
      </c>
      <c r="V88" s="142">
        <v>6.0000000000000001E-3</v>
      </c>
      <c r="W88" s="209">
        <v>1.6199999999999999E-2</v>
      </c>
      <c r="X88" s="215">
        <f t="shared" si="15"/>
        <v>6</v>
      </c>
      <c r="Y88" s="213">
        <f t="shared" si="16"/>
        <v>16.2</v>
      </c>
      <c r="Z88" s="215">
        <f t="shared" si="13"/>
        <v>3.6</v>
      </c>
      <c r="AA88" s="215">
        <f t="shared" si="14"/>
        <v>9.7199999999999989</v>
      </c>
      <c r="AB88" s="238">
        <f>+Z88*$U$107</f>
        <v>3.24</v>
      </c>
      <c r="AC88" s="238">
        <f>+AA88*$U$107</f>
        <v>8.7479999999999993</v>
      </c>
    </row>
    <row r="89" spans="2:29" x14ac:dyDescent="0.25">
      <c r="B89" s="449" t="s">
        <v>73</v>
      </c>
      <c r="C89" s="142">
        <v>4.1599999999999998E-2</v>
      </c>
      <c r="D89" s="209">
        <v>6.0600000000000001E-2</v>
      </c>
      <c r="E89" s="456">
        <f t="shared" si="6"/>
        <v>41.6</v>
      </c>
      <c r="F89" s="457">
        <f t="shared" si="6"/>
        <v>60.6</v>
      </c>
      <c r="G89" s="456">
        <f>C89*$H66*1000</f>
        <v>35.318399999999997</v>
      </c>
      <c r="H89" s="457">
        <f>D89*I66*1000</f>
        <v>56.358000000000004</v>
      </c>
      <c r="I89" s="238">
        <f>+G89*$X$107</f>
        <v>31.786559999999998</v>
      </c>
      <c r="J89" s="238">
        <f>+H89*$X$107</f>
        <v>50.722200000000008</v>
      </c>
      <c r="K89">
        <f t="shared" si="11"/>
        <v>0.9</v>
      </c>
      <c r="L89" s="274" t="s">
        <v>73</v>
      </c>
      <c r="M89" s="514">
        <v>0.06</v>
      </c>
      <c r="N89" s="515">
        <v>0.06</v>
      </c>
      <c r="O89" s="342">
        <f t="shared" si="7"/>
        <v>60</v>
      </c>
      <c r="P89" s="485">
        <f t="shared" si="17"/>
        <v>52.8</v>
      </c>
      <c r="Q89" s="486">
        <f>N89*Q66*1000</f>
        <v>0</v>
      </c>
      <c r="R89" s="485">
        <f>+P89*$X$107</f>
        <v>47.519999999999996</v>
      </c>
      <c r="S89" s="486">
        <f>+Q89*$X$107</f>
        <v>0</v>
      </c>
      <c r="T89">
        <f>R89/P89</f>
        <v>0.9</v>
      </c>
      <c r="U89" s="21" t="s">
        <v>73</v>
      </c>
      <c r="V89" s="142">
        <v>1.7999999999999999E-2</v>
      </c>
      <c r="W89" s="209">
        <v>1.6299999999999999E-2</v>
      </c>
      <c r="X89" s="215">
        <f t="shared" si="15"/>
        <v>18</v>
      </c>
      <c r="Y89" s="213">
        <f t="shared" si="16"/>
        <v>16.299999999999997</v>
      </c>
      <c r="Z89" s="215">
        <f t="shared" si="13"/>
        <v>17.099999999999998</v>
      </c>
      <c r="AA89" s="215">
        <f t="shared" si="14"/>
        <v>15.484999999999998</v>
      </c>
      <c r="AB89" s="238">
        <f>+Z89*$X$107</f>
        <v>15.389999999999999</v>
      </c>
      <c r="AC89" s="238">
        <f>+AA89*$X$107</f>
        <v>13.936499999999999</v>
      </c>
    </row>
    <row r="90" spans="2:29" x14ac:dyDescent="0.25">
      <c r="B90" s="448" t="s">
        <v>70</v>
      </c>
      <c r="C90" s="140">
        <v>0.1159</v>
      </c>
      <c r="D90" s="208">
        <v>0.14630000000000001</v>
      </c>
      <c r="E90" s="452">
        <f t="shared" si="6"/>
        <v>115.9</v>
      </c>
      <c r="F90" s="453">
        <f t="shared" si="6"/>
        <v>146.30000000000001</v>
      </c>
      <c r="G90" s="452">
        <f>C90*$H67*1000</f>
        <v>75.566800000000001</v>
      </c>
      <c r="H90" s="453">
        <f>D90*I67</f>
        <v>0.11704000000000002</v>
      </c>
      <c r="I90" s="235"/>
      <c r="J90" s="235"/>
      <c r="K90">
        <f>I90/G90</f>
        <v>0</v>
      </c>
      <c r="L90" s="273" t="s">
        <v>70</v>
      </c>
      <c r="M90" s="519">
        <v>0.12734638630997741</v>
      </c>
      <c r="N90" s="520"/>
      <c r="O90" s="340">
        <f t="shared" si="7"/>
        <v>127.3463863099774</v>
      </c>
      <c r="P90" s="481">
        <f t="shared" si="12"/>
        <v>112.06481995278013</v>
      </c>
      <c r="Q90" s="482">
        <f>N90*Q67*1000</f>
        <v>0</v>
      </c>
      <c r="R90" s="481"/>
      <c r="S90" s="482"/>
      <c r="T90">
        <f t="shared" si="8"/>
        <v>0</v>
      </c>
      <c r="U90" s="49" t="s">
        <v>70</v>
      </c>
      <c r="V90" s="140">
        <v>1.7000000000000001E-2</v>
      </c>
      <c r="W90" s="208">
        <v>6.1000000000000004E-3</v>
      </c>
      <c r="X90" s="214">
        <f t="shared" si="15"/>
        <v>17</v>
      </c>
      <c r="Y90" s="212">
        <f t="shared" si="16"/>
        <v>6.1000000000000005</v>
      </c>
      <c r="Z90" s="214">
        <f t="shared" si="13"/>
        <v>8.5</v>
      </c>
      <c r="AA90" s="214">
        <f t="shared" si="14"/>
        <v>3.0500000000000003</v>
      </c>
      <c r="AB90" s="218"/>
      <c r="AC90" s="218"/>
    </row>
    <row r="91" spans="2:29" ht="15.75" thickBot="1" x14ac:dyDescent="0.3">
      <c r="B91" s="450" t="s">
        <v>148</v>
      </c>
      <c r="C91" s="190" t="s">
        <v>15</v>
      </c>
      <c r="D91" s="451" t="s">
        <v>15</v>
      </c>
      <c r="E91" s="460"/>
      <c r="F91" s="461"/>
      <c r="G91" s="460"/>
      <c r="H91" s="461"/>
      <c r="I91" s="401"/>
      <c r="J91" s="401"/>
      <c r="L91" s="275" t="s">
        <v>148</v>
      </c>
      <c r="M91" s="524" t="s">
        <v>15</v>
      </c>
      <c r="N91" s="525"/>
      <c r="O91" s="343"/>
      <c r="P91" s="483"/>
      <c r="Q91" s="484"/>
      <c r="R91" s="483"/>
      <c r="S91" s="484"/>
      <c r="U91" s="23" t="s">
        <v>285</v>
      </c>
      <c r="V91" s="396">
        <v>3.2000000000000001E-2</v>
      </c>
      <c r="W91" s="398">
        <v>2.6599999999999999E-2</v>
      </c>
      <c r="X91" s="216">
        <f t="shared" ref="X91" si="18">1000*V91</f>
        <v>32</v>
      </c>
      <c r="Y91" s="211">
        <f t="shared" ref="Y91" si="19">1000*W91</f>
        <v>26.599999999999998</v>
      </c>
      <c r="Z91" s="216">
        <f t="shared" si="13"/>
        <v>22.4</v>
      </c>
      <c r="AA91" s="216">
        <f t="shared" si="14"/>
        <v>18.619999999999997</v>
      </c>
      <c r="AB91" s="401">
        <f>Z91*0.85</f>
        <v>19.04</v>
      </c>
      <c r="AC91" s="401">
        <f>AA91*0.85</f>
        <v>15.826999999999998</v>
      </c>
    </row>
    <row r="92" spans="2:29" x14ac:dyDescent="0.25">
      <c r="C92" s="135">
        <f>SUM(C75,C76,C79,C83,C84,C87,C90)</f>
        <v>1</v>
      </c>
      <c r="D92" s="135">
        <f t="shared" ref="D92" si="20">SUM(D75,D76,D79,D83,D84,D87,D90)</f>
        <v>1.0000000000000002</v>
      </c>
      <c r="E92" s="135"/>
    </row>
    <row r="93" spans="2:29" x14ac:dyDescent="0.25">
      <c r="C93" s="135"/>
      <c r="D93" s="135"/>
      <c r="E93" s="135"/>
    </row>
    <row r="94" spans="2:29" ht="15.75" thickBot="1" x14ac:dyDescent="0.3"/>
    <row r="95" spans="2:29" ht="21.75" customHeight="1" thickBot="1" x14ac:dyDescent="0.35">
      <c r="B95" s="255" t="s">
        <v>321</v>
      </c>
      <c r="C95" s="256"/>
      <c r="D95" s="256"/>
      <c r="E95" s="256"/>
      <c r="F95" s="198"/>
      <c r="G95" s="198"/>
      <c r="H95" s="199"/>
      <c r="I95" s="198"/>
      <c r="J95" s="199"/>
      <c r="K95" s="198"/>
      <c r="L95" s="198"/>
      <c r="M95" s="199"/>
      <c r="N95" s="198"/>
      <c r="O95" s="199"/>
      <c r="P95" s="198"/>
      <c r="Q95" s="199"/>
      <c r="R95" s="198"/>
      <c r="S95" s="199"/>
      <c r="T95" s="198"/>
      <c r="U95" s="199"/>
      <c r="V95" s="198"/>
      <c r="W95" s="199"/>
      <c r="X95" s="198"/>
      <c r="Y95" s="199"/>
    </row>
    <row r="96" spans="2:29" ht="15.75" thickBot="1" x14ac:dyDescent="0.3">
      <c r="B96" s="167" t="s">
        <v>216</v>
      </c>
      <c r="C96" s="200"/>
      <c r="E96" s="167" t="s">
        <v>238</v>
      </c>
      <c r="F96" s="200"/>
      <c r="H96" s="167" t="s">
        <v>255</v>
      </c>
      <c r="I96" s="200"/>
      <c r="K96" s="167" t="s">
        <v>260</v>
      </c>
      <c r="L96" s="200"/>
      <c r="N96" s="167" t="s">
        <v>280</v>
      </c>
      <c r="O96" s="200"/>
      <c r="Q96" s="167" t="s">
        <v>251</v>
      </c>
      <c r="R96" s="200"/>
      <c r="T96" s="167" t="s">
        <v>309</v>
      </c>
      <c r="U96" s="200"/>
      <c r="W96" s="167" t="s">
        <v>312</v>
      </c>
      <c r="X96" s="200"/>
    </row>
    <row r="97" spans="2:24" x14ac:dyDescent="0.25">
      <c r="B97" s="122" t="s">
        <v>204</v>
      </c>
      <c r="C97" s="188"/>
      <c r="E97" s="122" t="s">
        <v>204</v>
      </c>
      <c r="F97" s="188"/>
      <c r="H97" s="122" t="s">
        <v>204</v>
      </c>
      <c r="I97" s="202" t="s">
        <v>15</v>
      </c>
      <c r="K97" s="122" t="s">
        <v>204</v>
      </c>
      <c r="L97" s="188"/>
      <c r="N97" s="122" t="s">
        <v>204</v>
      </c>
      <c r="O97" s="188" t="s">
        <v>295</v>
      </c>
      <c r="Q97" s="122" t="s">
        <v>204</v>
      </c>
      <c r="R97" s="188"/>
      <c r="T97" s="122" t="s">
        <v>204</v>
      </c>
      <c r="U97" s="188"/>
      <c r="W97" s="122" t="s">
        <v>204</v>
      </c>
      <c r="X97" s="188"/>
    </row>
    <row r="98" spans="2:24" x14ac:dyDescent="0.25">
      <c r="B98" s="194" t="s">
        <v>358</v>
      </c>
      <c r="C98" s="98" t="s">
        <v>205</v>
      </c>
      <c r="E98" s="194" t="s">
        <v>225</v>
      </c>
      <c r="F98" s="98" t="s">
        <v>226</v>
      </c>
      <c r="H98" s="194" t="s">
        <v>256</v>
      </c>
      <c r="I98" s="98" t="s">
        <v>15</v>
      </c>
      <c r="K98" s="194" t="s">
        <v>275</v>
      </c>
      <c r="L98" s="98" t="s">
        <v>261</v>
      </c>
      <c r="N98" s="194" t="s">
        <v>294</v>
      </c>
      <c r="O98" s="98" t="s">
        <v>288</v>
      </c>
      <c r="Q98" s="194" t="s">
        <v>225</v>
      </c>
      <c r="R98" s="98" t="s">
        <v>226</v>
      </c>
      <c r="T98" s="194" t="s">
        <v>310</v>
      </c>
      <c r="U98" s="98" t="s">
        <v>226</v>
      </c>
      <c r="W98" s="194" t="s">
        <v>313</v>
      </c>
      <c r="X98" s="98" t="s">
        <v>226</v>
      </c>
    </row>
    <row r="99" spans="2:24" x14ac:dyDescent="0.25">
      <c r="B99" s="194" t="s">
        <v>241</v>
      </c>
      <c r="C99" s="98" t="s">
        <v>206</v>
      </c>
      <c r="E99" s="194" t="s">
        <v>241</v>
      </c>
      <c r="F99" s="98" t="s">
        <v>227</v>
      </c>
      <c r="H99" s="194" t="s">
        <v>241</v>
      </c>
      <c r="I99" s="98" t="s">
        <v>15</v>
      </c>
      <c r="K99" s="194" t="s">
        <v>241</v>
      </c>
      <c r="L99" s="98" t="s">
        <v>262</v>
      </c>
      <c r="N99" s="194" t="s">
        <v>241</v>
      </c>
      <c r="O99" s="98" t="s">
        <v>289</v>
      </c>
      <c r="Q99" s="194" t="s">
        <v>241</v>
      </c>
      <c r="R99" s="98" t="s">
        <v>227</v>
      </c>
      <c r="T99" s="194" t="s">
        <v>241</v>
      </c>
      <c r="U99" s="98" t="s">
        <v>227</v>
      </c>
      <c r="W99" s="194" t="s">
        <v>241</v>
      </c>
      <c r="X99" s="98" t="s">
        <v>227</v>
      </c>
    </row>
    <row r="100" spans="2:24" x14ac:dyDescent="0.25">
      <c r="B100" s="195" t="s">
        <v>207</v>
      </c>
      <c r="C100" s="98" t="s">
        <v>208</v>
      </c>
      <c r="E100" s="195" t="s">
        <v>228</v>
      </c>
      <c r="F100" s="98" t="s">
        <v>229</v>
      </c>
      <c r="H100" s="195"/>
      <c r="I100" s="98" t="s">
        <v>15</v>
      </c>
      <c r="K100" s="195" t="s">
        <v>228</v>
      </c>
      <c r="L100" s="98" t="s">
        <v>229</v>
      </c>
      <c r="N100" s="195" t="s">
        <v>290</v>
      </c>
      <c r="O100" s="98" t="s">
        <v>291</v>
      </c>
      <c r="Q100" s="195" t="s">
        <v>253</v>
      </c>
      <c r="R100" s="98" t="s">
        <v>252</v>
      </c>
      <c r="T100" s="195"/>
      <c r="U100" s="98"/>
      <c r="W100" s="195"/>
      <c r="X100" s="98"/>
    </row>
    <row r="101" spans="2:24" x14ac:dyDescent="0.25">
      <c r="B101" s="195" t="s">
        <v>209</v>
      </c>
      <c r="C101" s="98" t="s">
        <v>208</v>
      </c>
      <c r="E101" s="195" t="s">
        <v>232</v>
      </c>
      <c r="F101" s="98" t="s">
        <v>233</v>
      </c>
      <c r="H101" s="195"/>
      <c r="I101" s="98" t="s">
        <v>15</v>
      </c>
      <c r="K101" s="195" t="s">
        <v>232</v>
      </c>
      <c r="L101" s="98" t="s">
        <v>263</v>
      </c>
      <c r="N101" s="195" t="s">
        <v>292</v>
      </c>
      <c r="O101" s="98" t="s">
        <v>291</v>
      </c>
      <c r="Q101" s="195" t="s">
        <v>228</v>
      </c>
      <c r="R101" s="98" t="s">
        <v>229</v>
      </c>
      <c r="T101" s="195"/>
      <c r="U101" s="98"/>
      <c r="W101" s="195"/>
      <c r="X101" s="98"/>
    </row>
    <row r="102" spans="2:24" ht="15.75" thickBot="1" x14ac:dyDescent="0.3">
      <c r="B102" s="201" t="s">
        <v>210</v>
      </c>
      <c r="C102" s="42" t="s">
        <v>211</v>
      </c>
      <c r="E102" s="195" t="s">
        <v>230</v>
      </c>
      <c r="F102" s="98" t="s">
        <v>231</v>
      </c>
      <c r="H102" s="195"/>
      <c r="I102" s="98" t="s">
        <v>15</v>
      </c>
      <c r="K102" s="195" t="s">
        <v>235</v>
      </c>
      <c r="L102" s="98" t="s">
        <v>264</v>
      </c>
      <c r="N102" s="195" t="s">
        <v>293</v>
      </c>
      <c r="O102" s="98" t="s">
        <v>211</v>
      </c>
      <c r="Q102" s="195" t="s">
        <v>232</v>
      </c>
      <c r="R102" s="98" t="s">
        <v>233</v>
      </c>
      <c r="T102" s="195"/>
      <c r="U102" s="98"/>
      <c r="W102" s="195"/>
      <c r="X102" s="98"/>
    </row>
    <row r="103" spans="2:24" ht="15.75" thickBot="1" x14ac:dyDescent="0.3">
      <c r="B103" s="10" t="s">
        <v>212</v>
      </c>
      <c r="C103" s="98" t="s">
        <v>213</v>
      </c>
      <c r="E103" s="195" t="s">
        <v>235</v>
      </c>
      <c r="F103" s="98" t="s">
        <v>220</v>
      </c>
      <c r="H103" s="195"/>
      <c r="I103" s="98" t="s">
        <v>15</v>
      </c>
      <c r="K103" s="195" t="s">
        <v>265</v>
      </c>
      <c r="L103" s="98" t="s">
        <v>247</v>
      </c>
      <c r="N103" s="195"/>
      <c r="O103" s="98"/>
      <c r="Q103" s="195" t="s">
        <v>230</v>
      </c>
      <c r="R103" s="98" t="s">
        <v>231</v>
      </c>
      <c r="T103" s="195"/>
      <c r="U103" s="98"/>
      <c r="W103" s="195"/>
      <c r="X103" s="98"/>
    </row>
    <row r="104" spans="2:24" ht="15.75" thickBot="1" x14ac:dyDescent="0.3">
      <c r="B104" s="10" t="s">
        <v>221</v>
      </c>
      <c r="C104" s="98" t="s">
        <v>222</v>
      </c>
      <c r="E104" s="124" t="s">
        <v>212</v>
      </c>
      <c r="F104" s="188" t="s">
        <v>234</v>
      </c>
      <c r="H104" s="195"/>
      <c r="I104" s="98" t="s">
        <v>15</v>
      </c>
      <c r="K104" s="195" t="s">
        <v>266</v>
      </c>
      <c r="L104" s="98" t="s">
        <v>267</v>
      </c>
      <c r="N104" s="124" t="s">
        <v>212</v>
      </c>
      <c r="O104" s="188" t="s">
        <v>234</v>
      </c>
      <c r="Q104" s="195" t="s">
        <v>235</v>
      </c>
      <c r="R104" s="98" t="s">
        <v>220</v>
      </c>
      <c r="T104" s="124" t="s">
        <v>212</v>
      </c>
      <c r="U104" s="188" t="s">
        <v>311</v>
      </c>
      <c r="W104" s="124" t="s">
        <v>212</v>
      </c>
      <c r="X104" s="188" t="s">
        <v>311</v>
      </c>
    </row>
    <row r="105" spans="2:24" ht="15.75" thickBot="1" x14ac:dyDescent="0.3">
      <c r="B105" s="122" t="s">
        <v>254</v>
      </c>
      <c r="C105" s="188">
        <v>10</v>
      </c>
      <c r="E105" s="14" t="s">
        <v>221</v>
      </c>
      <c r="F105" s="42" t="s">
        <v>222</v>
      </c>
      <c r="H105" s="124"/>
      <c r="I105" s="188" t="s">
        <v>15</v>
      </c>
      <c r="K105" s="124" t="s">
        <v>212</v>
      </c>
      <c r="L105" s="188" t="s">
        <v>268</v>
      </c>
      <c r="N105" s="14" t="s">
        <v>221</v>
      </c>
      <c r="O105" s="42" t="s">
        <v>222</v>
      </c>
      <c r="Q105" s="124" t="s">
        <v>212</v>
      </c>
      <c r="R105" s="188" t="s">
        <v>234</v>
      </c>
      <c r="T105" s="14" t="s">
        <v>221</v>
      </c>
      <c r="U105" s="42" t="s">
        <v>222</v>
      </c>
      <c r="W105" s="14" t="s">
        <v>221</v>
      </c>
      <c r="X105" s="42" t="s">
        <v>222</v>
      </c>
    </row>
    <row r="106" spans="2:24" ht="15.75" thickBot="1" x14ac:dyDescent="0.3">
      <c r="B106" s="10" t="s">
        <v>214</v>
      </c>
      <c r="C106" s="224">
        <v>0.96</v>
      </c>
      <c r="E106" s="122" t="s">
        <v>254</v>
      </c>
      <c r="F106" s="188"/>
      <c r="H106" s="14"/>
      <c r="I106" s="42" t="s">
        <v>15</v>
      </c>
      <c r="K106" s="14" t="s">
        <v>221</v>
      </c>
      <c r="L106" s="42" t="s">
        <v>269</v>
      </c>
      <c r="N106" s="122" t="s">
        <v>254</v>
      </c>
      <c r="O106" s="188"/>
      <c r="Q106" s="14" t="s">
        <v>221</v>
      </c>
      <c r="R106" s="42" t="s">
        <v>222</v>
      </c>
      <c r="T106" s="122" t="s">
        <v>254</v>
      </c>
      <c r="U106" s="188"/>
      <c r="W106" s="122" t="s">
        <v>254</v>
      </c>
      <c r="X106" s="188"/>
    </row>
    <row r="107" spans="2:24" ht="15.75" thickBot="1" x14ac:dyDescent="0.3">
      <c r="B107" s="14" t="s">
        <v>215</v>
      </c>
      <c r="C107" s="197"/>
      <c r="E107" s="14" t="s">
        <v>236</v>
      </c>
      <c r="F107" s="197">
        <v>0.9</v>
      </c>
      <c r="H107" s="117" t="s">
        <v>254</v>
      </c>
      <c r="I107" s="179" t="s">
        <v>15</v>
      </c>
      <c r="K107" s="122" t="s">
        <v>254</v>
      </c>
      <c r="L107" s="188"/>
      <c r="N107" s="14" t="s">
        <v>287</v>
      </c>
      <c r="O107" s="197">
        <v>0.8</v>
      </c>
      <c r="Q107" s="122" t="s">
        <v>254</v>
      </c>
      <c r="R107" s="188"/>
      <c r="T107" s="14" t="s">
        <v>316</v>
      </c>
      <c r="U107" s="197">
        <v>0.9</v>
      </c>
      <c r="W107" s="14" t="s">
        <v>317</v>
      </c>
      <c r="X107" s="197">
        <v>0.9</v>
      </c>
    </row>
    <row r="108" spans="2:24" ht="15.75" thickBot="1" x14ac:dyDescent="0.3">
      <c r="B108" s="31"/>
      <c r="C108" s="7" t="s">
        <v>298</v>
      </c>
      <c r="D108" s="251" t="s">
        <v>297</v>
      </c>
      <c r="E108" s="252"/>
      <c r="F108" s="253"/>
      <c r="G108" s="254"/>
      <c r="H108" s="31"/>
      <c r="I108" s="204"/>
      <c r="K108" s="14" t="s">
        <v>270</v>
      </c>
      <c r="L108" s="197">
        <v>0.82</v>
      </c>
      <c r="Q108" s="14" t="s">
        <v>236</v>
      </c>
      <c r="R108" s="197">
        <v>0.9</v>
      </c>
    </row>
    <row r="109" spans="2:24" ht="15.75" thickBot="1" x14ac:dyDescent="0.3"/>
    <row r="110" spans="2:24" ht="15.75" thickBot="1" x14ac:dyDescent="0.3">
      <c r="B110" s="193" t="s">
        <v>217</v>
      </c>
      <c r="C110" s="205"/>
      <c r="E110" s="167" t="s">
        <v>237</v>
      </c>
      <c r="F110" s="200"/>
      <c r="H110" s="167" t="s">
        <v>257</v>
      </c>
      <c r="I110" s="200"/>
      <c r="K110" s="167" t="s">
        <v>271</v>
      </c>
      <c r="L110" s="200"/>
      <c r="N110" s="167" t="s">
        <v>281</v>
      </c>
      <c r="O110" s="200"/>
      <c r="T110" s="167" t="s">
        <v>314</v>
      </c>
      <c r="U110" s="200"/>
      <c r="W110" s="167" t="s">
        <v>315</v>
      </c>
      <c r="X110" s="200"/>
    </row>
    <row r="111" spans="2:24" x14ac:dyDescent="0.25">
      <c r="B111" s="6" t="s">
        <v>204</v>
      </c>
      <c r="C111" s="98"/>
      <c r="E111" s="122" t="s">
        <v>204</v>
      </c>
      <c r="F111" s="188"/>
      <c r="H111" s="122" t="s">
        <v>204</v>
      </c>
      <c r="I111" s="188"/>
      <c r="K111" s="122" t="s">
        <v>204</v>
      </c>
      <c r="L111" s="188"/>
      <c r="N111" s="122" t="s">
        <v>204</v>
      </c>
      <c r="O111" s="188" t="s">
        <v>282</v>
      </c>
      <c r="T111" s="122" t="s">
        <v>204</v>
      </c>
      <c r="U111" s="188"/>
      <c r="W111" s="122" t="s">
        <v>204</v>
      </c>
      <c r="X111" s="188"/>
    </row>
    <row r="112" spans="2:24" x14ac:dyDescent="0.25">
      <c r="B112" s="194" t="s">
        <v>359</v>
      </c>
      <c r="C112" s="98" t="s">
        <v>226</v>
      </c>
      <c r="E112" s="194" t="s">
        <v>225</v>
      </c>
      <c r="F112" s="98" t="s">
        <v>239</v>
      </c>
      <c r="H112" s="194" t="s">
        <v>274</v>
      </c>
      <c r="I112" s="98" t="s">
        <v>239</v>
      </c>
      <c r="K112" s="194" t="s">
        <v>273</v>
      </c>
      <c r="L112" s="98" t="s">
        <v>276</v>
      </c>
      <c r="N112" s="194" t="s">
        <v>273</v>
      </c>
      <c r="O112" s="98" t="s">
        <v>226</v>
      </c>
      <c r="T112" s="194" t="s">
        <v>310</v>
      </c>
      <c r="U112" s="98"/>
      <c r="W112" s="194" t="s">
        <v>313</v>
      </c>
      <c r="X112" s="98"/>
    </row>
    <row r="113" spans="2:24" x14ac:dyDescent="0.25">
      <c r="B113" s="194" t="s">
        <v>203</v>
      </c>
      <c r="C113" s="98" t="s">
        <v>357</v>
      </c>
      <c r="E113" s="194" t="s">
        <v>241</v>
      </c>
      <c r="F113" s="98" t="s">
        <v>240</v>
      </c>
      <c r="H113" s="194" t="s">
        <v>241</v>
      </c>
      <c r="I113" s="98" t="s">
        <v>240</v>
      </c>
      <c r="K113" s="194" t="s">
        <v>241</v>
      </c>
      <c r="L113" s="98" t="s">
        <v>277</v>
      </c>
      <c r="N113" s="194" t="s">
        <v>241</v>
      </c>
      <c r="O113" s="98" t="s">
        <v>227</v>
      </c>
      <c r="T113" s="194" t="s">
        <v>241</v>
      </c>
      <c r="U113" s="98"/>
      <c r="W113" s="194" t="s">
        <v>241</v>
      </c>
      <c r="X113" s="98"/>
    </row>
    <row r="114" spans="2:24" x14ac:dyDescent="0.25">
      <c r="B114" s="194" t="s">
        <v>241</v>
      </c>
      <c r="C114" s="98" t="s">
        <v>220</v>
      </c>
      <c r="E114" s="195" t="s">
        <v>242</v>
      </c>
      <c r="F114" s="98" t="s">
        <v>243</v>
      </c>
      <c r="H114" s="195" t="s">
        <v>242</v>
      </c>
      <c r="I114" s="98" t="s">
        <v>243</v>
      </c>
      <c r="K114" s="195" t="s">
        <v>242</v>
      </c>
      <c r="L114" s="98" t="s">
        <v>243</v>
      </c>
      <c r="N114" s="195" t="s">
        <v>242</v>
      </c>
      <c r="O114" s="98" t="s">
        <v>243</v>
      </c>
      <c r="T114" s="195"/>
      <c r="U114" s="98"/>
      <c r="W114" s="195"/>
      <c r="X114" s="98"/>
    </row>
    <row r="115" spans="2:24" x14ac:dyDescent="0.25">
      <c r="B115" s="195" t="s">
        <v>207</v>
      </c>
      <c r="C115" s="98" t="s">
        <v>218</v>
      </c>
      <c r="E115" s="195" t="s">
        <v>232</v>
      </c>
      <c r="F115" s="203" t="s">
        <v>244</v>
      </c>
      <c r="H115" s="195" t="s">
        <v>232</v>
      </c>
      <c r="I115" s="203" t="s">
        <v>244</v>
      </c>
      <c r="K115" s="195" t="s">
        <v>232</v>
      </c>
      <c r="L115" s="203" t="s">
        <v>244</v>
      </c>
      <c r="N115" s="195" t="s">
        <v>232</v>
      </c>
      <c r="O115" s="203" t="s">
        <v>220</v>
      </c>
      <c r="T115" s="195"/>
      <c r="U115" s="98"/>
      <c r="W115" s="195"/>
      <c r="X115" s="98"/>
    </row>
    <row r="116" spans="2:24" x14ac:dyDescent="0.25">
      <c r="B116" s="195" t="s">
        <v>209</v>
      </c>
      <c r="C116" s="98" t="s">
        <v>219</v>
      </c>
      <c r="E116" s="195" t="s">
        <v>245</v>
      </c>
      <c r="F116" s="98" t="s">
        <v>246</v>
      </c>
      <c r="H116" s="195" t="s">
        <v>258</v>
      </c>
      <c r="I116" s="98" t="s">
        <v>259</v>
      </c>
      <c r="K116" s="195" t="s">
        <v>278</v>
      </c>
      <c r="L116" s="98" t="s">
        <v>211</v>
      </c>
      <c r="N116" s="195" t="s">
        <v>283</v>
      </c>
      <c r="O116" s="98" t="s">
        <v>247</v>
      </c>
      <c r="T116" s="195"/>
      <c r="U116" s="98"/>
      <c r="W116" s="195"/>
      <c r="X116" s="98"/>
    </row>
    <row r="117" spans="2:24" ht="15.75" thickBot="1" x14ac:dyDescent="0.3">
      <c r="B117" s="201" t="s">
        <v>210</v>
      </c>
      <c r="C117" s="42" t="s">
        <v>220</v>
      </c>
      <c r="E117" s="195" t="s">
        <v>250</v>
      </c>
      <c r="F117" s="98" t="s">
        <v>247</v>
      </c>
      <c r="H117" s="195" t="s">
        <v>250</v>
      </c>
      <c r="I117" s="98" t="s">
        <v>220</v>
      </c>
      <c r="K117" s="195" t="s">
        <v>248</v>
      </c>
      <c r="L117" s="98" t="s">
        <v>211</v>
      </c>
      <c r="N117" s="195" t="s">
        <v>284</v>
      </c>
      <c r="O117" s="98" t="s">
        <v>211</v>
      </c>
      <c r="T117" s="195"/>
      <c r="U117" s="98"/>
      <c r="W117" s="195"/>
      <c r="X117" s="98"/>
    </row>
    <row r="118" spans="2:24" x14ac:dyDescent="0.25">
      <c r="B118" s="124" t="s">
        <v>212</v>
      </c>
      <c r="C118" s="202" t="s">
        <v>15</v>
      </c>
      <c r="E118" s="195" t="s">
        <v>248</v>
      </c>
      <c r="F118" s="98" t="s">
        <v>246</v>
      </c>
      <c r="H118" s="195" t="s">
        <v>248</v>
      </c>
      <c r="I118" s="98" t="s">
        <v>246</v>
      </c>
      <c r="K118" s="195"/>
      <c r="L118" s="98"/>
      <c r="N118" s="195" t="s">
        <v>285</v>
      </c>
      <c r="O118" s="98" t="s">
        <v>244</v>
      </c>
      <c r="T118" s="124" t="s">
        <v>212</v>
      </c>
      <c r="U118" s="188"/>
      <c r="W118" s="124" t="s">
        <v>212</v>
      </c>
      <c r="X118" s="188"/>
    </row>
    <row r="119" spans="2:24" ht="15.75" thickBot="1" x14ac:dyDescent="0.3">
      <c r="B119" s="14" t="s">
        <v>223</v>
      </c>
      <c r="C119" s="42" t="s">
        <v>224</v>
      </c>
      <c r="E119" s="14" t="s">
        <v>221</v>
      </c>
      <c r="F119" s="42" t="s">
        <v>249</v>
      </c>
      <c r="H119" s="14" t="s">
        <v>221</v>
      </c>
      <c r="I119" s="42" t="s">
        <v>249</v>
      </c>
      <c r="K119" s="14" t="s">
        <v>221</v>
      </c>
      <c r="L119" s="42" t="s">
        <v>272</v>
      </c>
      <c r="N119" s="14" t="s">
        <v>221</v>
      </c>
      <c r="O119" s="42" t="s">
        <v>286</v>
      </c>
      <c r="T119" s="14" t="s">
        <v>221</v>
      </c>
      <c r="U119" s="42"/>
      <c r="W119" s="14" t="s">
        <v>221</v>
      </c>
      <c r="X119" s="42"/>
    </row>
    <row r="120" spans="2:24" x14ac:dyDescent="0.25">
      <c r="B120" s="122" t="s">
        <v>254</v>
      </c>
      <c r="C120" s="188"/>
      <c r="E120" s="122" t="s">
        <v>254</v>
      </c>
      <c r="F120" s="188"/>
      <c r="H120" s="122" t="s">
        <v>254</v>
      </c>
      <c r="I120" s="188"/>
      <c r="K120" s="122" t="s">
        <v>254</v>
      </c>
      <c r="L120" s="188"/>
      <c r="N120" s="122" t="s">
        <v>254</v>
      </c>
      <c r="O120" s="188"/>
      <c r="T120" s="122" t="s">
        <v>254</v>
      </c>
      <c r="U120" s="302">
        <v>0.9</v>
      </c>
      <c r="W120" s="122" t="s">
        <v>254</v>
      </c>
      <c r="X120" s="302">
        <v>0.9</v>
      </c>
    </row>
    <row r="121" spans="2:24" ht="15.75" thickBot="1" x14ac:dyDescent="0.3">
      <c r="B121" s="10" t="s">
        <v>108</v>
      </c>
      <c r="C121" s="196">
        <v>0.92</v>
      </c>
      <c r="E121" s="10" t="s">
        <v>236</v>
      </c>
      <c r="F121" s="196">
        <v>0.94</v>
      </c>
      <c r="H121" s="10" t="s">
        <v>354</v>
      </c>
      <c r="I121" s="196">
        <v>0.94</v>
      </c>
      <c r="K121" s="10" t="s">
        <v>279</v>
      </c>
      <c r="L121" s="196">
        <v>0.92</v>
      </c>
      <c r="N121" s="10" t="s">
        <v>287</v>
      </c>
      <c r="O121" s="196">
        <v>0.9</v>
      </c>
      <c r="T121" s="14" t="s">
        <v>355</v>
      </c>
      <c r="U121" s="197"/>
      <c r="W121" s="14" t="s">
        <v>356</v>
      </c>
      <c r="X121" s="197"/>
    </row>
    <row r="122" spans="2:24" ht="15.75" thickBot="1" x14ac:dyDescent="0.3">
      <c r="B122" s="14"/>
      <c r="C122" s="197"/>
      <c r="E122" s="14"/>
      <c r="F122" s="197"/>
      <c r="H122" s="14"/>
      <c r="I122" s="197"/>
      <c r="K122" s="14"/>
      <c r="L122" s="197"/>
      <c r="N122" s="14"/>
      <c r="O122" s="197"/>
    </row>
    <row r="123" spans="2:24" x14ac:dyDescent="0.25">
      <c r="C123" s="7" t="s">
        <v>298</v>
      </c>
      <c r="D123" s="251" t="s">
        <v>365</v>
      </c>
      <c r="E123" s="252"/>
      <c r="F123" s="253"/>
      <c r="G123" s="254"/>
    </row>
    <row r="126" spans="2:24" ht="15.75" thickBot="1" x14ac:dyDescent="0.3"/>
    <row r="127" spans="2:24" ht="19.5" thickBot="1" x14ac:dyDescent="0.35">
      <c r="B127" s="255" t="s">
        <v>503</v>
      </c>
      <c r="C127" s="256"/>
      <c r="D127" s="256"/>
      <c r="E127" s="256"/>
      <c r="F127" s="198"/>
      <c r="G127" s="198"/>
      <c r="H127" s="198"/>
      <c r="I127" s="199"/>
    </row>
    <row r="128" spans="2:24" x14ac:dyDescent="0.25">
      <c r="B128" s="194" t="s">
        <v>515</v>
      </c>
      <c r="C128" s="345" t="s">
        <v>516</v>
      </c>
      <c r="D128" s="345" t="s">
        <v>516</v>
      </c>
      <c r="E128" s="345" t="s">
        <v>516</v>
      </c>
      <c r="F128" s="345" t="s">
        <v>516</v>
      </c>
      <c r="G128" s="345" t="s">
        <v>517</v>
      </c>
      <c r="H128" s="345" t="s">
        <v>517</v>
      </c>
      <c r="I128" s="346" t="s">
        <v>519</v>
      </c>
    </row>
    <row r="129" spans="1:21" ht="45" x14ac:dyDescent="0.25">
      <c r="B129" s="194" t="s">
        <v>514</v>
      </c>
      <c r="C129" s="347" t="s">
        <v>513</v>
      </c>
      <c r="D129" s="347" t="s">
        <v>513</v>
      </c>
      <c r="E129" s="347" t="s">
        <v>528</v>
      </c>
      <c r="F129" s="347" t="s">
        <v>530</v>
      </c>
      <c r="G129" s="347" t="s">
        <v>518</v>
      </c>
      <c r="H129" s="347" t="s">
        <v>521</v>
      </c>
      <c r="I129" s="348" t="s">
        <v>520</v>
      </c>
    </row>
    <row r="130" spans="1:21" x14ac:dyDescent="0.25">
      <c r="B130" s="194" t="s">
        <v>522</v>
      </c>
      <c r="C130" s="344">
        <v>34.1</v>
      </c>
      <c r="D130" s="344">
        <v>45.4</v>
      </c>
      <c r="E130" s="344">
        <v>34.700000000000003</v>
      </c>
      <c r="F130" s="344">
        <v>26.5</v>
      </c>
      <c r="G130" s="344">
        <v>57.7</v>
      </c>
      <c r="H130" s="344">
        <v>66</v>
      </c>
      <c r="I130" s="349">
        <v>0</v>
      </c>
    </row>
    <row r="131" spans="1:21" ht="38.25" x14ac:dyDescent="0.25">
      <c r="B131" s="194" t="s">
        <v>527</v>
      </c>
      <c r="C131" s="350" t="s">
        <v>509</v>
      </c>
      <c r="D131" s="350" t="s">
        <v>510</v>
      </c>
      <c r="E131" s="350" t="s">
        <v>529</v>
      </c>
      <c r="F131" s="350" t="s">
        <v>531</v>
      </c>
      <c r="G131" s="347" t="s">
        <v>512</v>
      </c>
      <c r="H131" s="347" t="s">
        <v>511</v>
      </c>
      <c r="I131" s="351" t="s">
        <v>523</v>
      </c>
    </row>
    <row r="132" spans="1:21" ht="15.75" thickBot="1" x14ac:dyDescent="0.3">
      <c r="B132" s="352" t="s">
        <v>526</v>
      </c>
      <c r="C132" s="353" t="s">
        <v>504</v>
      </c>
      <c r="D132" s="353" t="s">
        <v>505</v>
      </c>
      <c r="E132" s="353" t="s">
        <v>533</v>
      </c>
      <c r="F132" s="353" t="s">
        <v>532</v>
      </c>
      <c r="G132" s="15" t="s">
        <v>507</v>
      </c>
      <c r="H132" s="15" t="s">
        <v>508</v>
      </c>
      <c r="I132" s="354" t="s">
        <v>525</v>
      </c>
      <c r="J132" t="s">
        <v>50</v>
      </c>
    </row>
    <row r="133" spans="1:21" x14ac:dyDescent="0.25">
      <c r="C133" s="157"/>
      <c r="H133" s="157" t="s">
        <v>524</v>
      </c>
      <c r="I133" t="s">
        <v>50</v>
      </c>
    </row>
    <row r="137" spans="1:21" x14ac:dyDescent="0.25">
      <c r="A137" s="327"/>
      <c r="B137" s="327"/>
      <c r="C137" s="327"/>
      <c r="D137" s="327"/>
      <c r="E137" s="327"/>
      <c r="F137" s="327"/>
      <c r="G137" s="327"/>
      <c r="H137" s="327"/>
      <c r="I137" s="327"/>
      <c r="J137" s="327"/>
      <c r="K137" s="327"/>
      <c r="L137" s="327"/>
      <c r="M137" s="327"/>
      <c r="N137" s="327"/>
      <c r="O137" s="327"/>
      <c r="P137" s="327"/>
      <c r="Q137" s="327"/>
      <c r="R137" s="327"/>
      <c r="S137" s="327"/>
      <c r="T137" s="327"/>
      <c r="U137" s="327"/>
    </row>
    <row r="138" spans="1:21" x14ac:dyDescent="0.25">
      <c r="A138" s="327"/>
      <c r="B138" s="327"/>
      <c r="C138" s="327"/>
      <c r="D138" s="327"/>
      <c r="E138" s="327"/>
      <c r="F138" s="327"/>
      <c r="G138" s="327"/>
      <c r="H138" s="327"/>
      <c r="I138" s="327"/>
      <c r="J138" s="327"/>
      <c r="K138" s="327"/>
      <c r="L138" s="327"/>
      <c r="M138" s="327"/>
      <c r="N138" s="327"/>
      <c r="O138" s="327"/>
      <c r="P138" s="327"/>
      <c r="Q138" s="327"/>
      <c r="R138" s="327"/>
      <c r="S138" s="327"/>
      <c r="T138" s="327"/>
      <c r="U138" s="327"/>
    </row>
    <row r="139" spans="1:21" x14ac:dyDescent="0.25">
      <c r="A139" s="327"/>
      <c r="B139" s="327"/>
      <c r="C139" s="327"/>
      <c r="D139" s="327"/>
      <c r="E139" s="327"/>
      <c r="F139" s="327"/>
      <c r="G139" s="327"/>
      <c r="H139" s="327"/>
      <c r="I139" s="327"/>
      <c r="J139" s="327"/>
      <c r="K139" s="327"/>
      <c r="L139" s="327"/>
      <c r="M139" s="327"/>
      <c r="N139" s="327"/>
      <c r="O139" s="327"/>
      <c r="P139" s="327"/>
      <c r="Q139" s="327"/>
      <c r="R139" s="327"/>
      <c r="S139" s="327"/>
      <c r="T139" s="327"/>
      <c r="U139" s="327"/>
    </row>
    <row r="140" spans="1:21" x14ac:dyDescent="0.25">
      <c r="A140" s="327"/>
      <c r="B140" s="327"/>
      <c r="C140" s="327"/>
      <c r="D140" s="327"/>
      <c r="E140" s="327"/>
      <c r="F140" s="327"/>
      <c r="G140" s="327"/>
      <c r="H140" s="327"/>
      <c r="I140" s="327"/>
      <c r="J140" s="327"/>
      <c r="K140" s="327"/>
      <c r="L140" s="327"/>
      <c r="M140" s="327"/>
      <c r="N140" s="327"/>
      <c r="O140" s="327"/>
      <c r="P140" s="327"/>
      <c r="Q140" s="327"/>
      <c r="R140" s="327"/>
      <c r="S140" s="327"/>
      <c r="T140" s="327"/>
      <c r="U140" s="327"/>
    </row>
    <row r="141" spans="1:21" x14ac:dyDescent="0.25">
      <c r="A141" s="327"/>
      <c r="B141" s="327"/>
      <c r="C141" s="327"/>
      <c r="D141" s="327"/>
      <c r="E141" s="327"/>
      <c r="F141" s="327"/>
      <c r="G141" s="327"/>
      <c r="H141" s="327"/>
      <c r="I141" s="327"/>
      <c r="J141" s="327"/>
      <c r="K141" s="327"/>
      <c r="L141" s="327"/>
      <c r="M141" s="327"/>
      <c r="N141" s="327"/>
      <c r="O141" s="327"/>
      <c r="P141" s="327"/>
      <c r="Q141" s="327"/>
      <c r="R141" s="327"/>
      <c r="S141" s="327"/>
      <c r="T141" s="327"/>
      <c r="U141" s="327"/>
    </row>
    <row r="142" spans="1:21" x14ac:dyDescent="0.25">
      <c r="A142" s="327"/>
      <c r="B142" s="327"/>
      <c r="C142" s="327"/>
      <c r="D142" s="327"/>
      <c r="E142" s="327"/>
      <c r="F142" s="327"/>
      <c r="G142" s="327"/>
      <c r="H142" s="327"/>
      <c r="I142" s="327"/>
      <c r="J142" s="327"/>
      <c r="K142" s="327"/>
      <c r="L142" s="327"/>
      <c r="M142" s="327"/>
      <c r="N142" s="327"/>
      <c r="O142" s="327"/>
      <c r="P142" s="327"/>
      <c r="Q142" s="327"/>
      <c r="R142" s="327"/>
      <c r="S142" s="327"/>
      <c r="T142" s="327"/>
      <c r="U142" s="327"/>
    </row>
    <row r="143" spans="1:21" x14ac:dyDescent="0.25">
      <c r="A143" s="327"/>
      <c r="B143" s="327"/>
      <c r="C143" s="327"/>
      <c r="D143" s="327"/>
      <c r="E143" s="327"/>
      <c r="F143" s="327"/>
      <c r="G143" s="327"/>
      <c r="H143" s="327"/>
      <c r="I143" s="327"/>
      <c r="J143" s="327"/>
      <c r="K143" s="327"/>
      <c r="L143" s="327"/>
      <c r="M143" s="327"/>
      <c r="N143" s="327"/>
      <c r="O143" s="327"/>
      <c r="P143" s="327"/>
      <c r="Q143" s="327"/>
      <c r="R143" s="327"/>
      <c r="S143" s="327"/>
      <c r="T143" s="327"/>
      <c r="U143" s="327"/>
    </row>
    <row r="144" spans="1:21" x14ac:dyDescent="0.25">
      <c r="A144" s="327"/>
      <c r="B144" s="327"/>
      <c r="C144" s="327"/>
      <c r="D144" s="327"/>
      <c r="E144" s="327"/>
      <c r="F144" s="327"/>
      <c r="G144" s="327"/>
      <c r="H144" s="327"/>
      <c r="I144" s="327"/>
      <c r="J144" s="327"/>
      <c r="K144" s="327"/>
      <c r="L144" s="327"/>
      <c r="M144" s="327"/>
      <c r="N144" s="327"/>
      <c r="O144" s="327"/>
      <c r="P144" s="327"/>
      <c r="Q144" s="327"/>
      <c r="R144" s="327"/>
      <c r="S144" s="327"/>
      <c r="T144" s="327"/>
      <c r="U144" s="327"/>
    </row>
    <row r="145" spans="1:21" x14ac:dyDescent="0.25">
      <c r="A145" s="327"/>
      <c r="B145" s="327"/>
      <c r="C145" s="327"/>
      <c r="D145" s="327"/>
      <c r="E145" s="327"/>
      <c r="F145" s="327"/>
      <c r="G145" s="327"/>
      <c r="H145" s="327"/>
      <c r="I145" s="327"/>
      <c r="J145" s="327"/>
      <c r="K145" s="327"/>
      <c r="L145" s="327"/>
      <c r="M145" s="327"/>
      <c r="N145" s="327"/>
      <c r="O145" s="327"/>
      <c r="P145" s="327"/>
      <c r="Q145" s="327"/>
      <c r="R145" s="327"/>
      <c r="S145" s="327"/>
      <c r="T145" s="327"/>
      <c r="U145" s="327"/>
    </row>
    <row r="146" spans="1:21" x14ac:dyDescent="0.25">
      <c r="A146" s="327"/>
      <c r="B146" s="327"/>
      <c r="C146" s="327"/>
      <c r="D146" s="327"/>
      <c r="E146" s="327"/>
      <c r="F146" s="327"/>
      <c r="G146" s="327"/>
      <c r="H146" s="327"/>
      <c r="I146" s="327"/>
      <c r="J146" s="327"/>
      <c r="K146" s="327"/>
      <c r="L146" s="327"/>
      <c r="M146" s="327"/>
      <c r="N146" s="327"/>
      <c r="O146" s="327"/>
      <c r="P146" s="327"/>
      <c r="Q146" s="327"/>
      <c r="R146" s="327"/>
      <c r="S146" s="327"/>
      <c r="T146" s="327"/>
      <c r="U146" s="327"/>
    </row>
    <row r="147" spans="1:21" x14ac:dyDescent="0.25">
      <c r="A147" s="327"/>
      <c r="B147" s="327"/>
      <c r="C147" s="327"/>
      <c r="D147" s="327"/>
      <c r="E147" s="327"/>
      <c r="F147" s="327"/>
      <c r="G147" s="327"/>
      <c r="H147" s="327"/>
      <c r="I147" s="327"/>
      <c r="J147" s="327"/>
      <c r="K147" s="327"/>
      <c r="L147" s="327"/>
      <c r="M147" s="327"/>
      <c r="N147" s="327"/>
      <c r="O147" s="327"/>
      <c r="P147" s="327"/>
      <c r="Q147" s="327"/>
      <c r="R147" s="327"/>
      <c r="S147" s="327"/>
      <c r="T147" s="327"/>
      <c r="U147" s="327"/>
    </row>
    <row r="148" spans="1:21" x14ac:dyDescent="0.25">
      <c r="A148" s="327"/>
      <c r="B148" s="327"/>
      <c r="C148" s="327"/>
      <c r="D148" s="327"/>
      <c r="E148" s="327"/>
      <c r="F148" s="327"/>
      <c r="G148" s="327"/>
      <c r="H148" s="327"/>
      <c r="I148" s="327"/>
      <c r="J148" s="327"/>
      <c r="K148" s="327"/>
      <c r="L148" s="327"/>
      <c r="M148" s="327"/>
      <c r="N148" s="327"/>
      <c r="O148" s="327"/>
      <c r="P148" s="327"/>
      <c r="Q148" s="327"/>
      <c r="R148" s="327"/>
      <c r="S148" s="327"/>
      <c r="T148" s="327"/>
      <c r="U148" s="327"/>
    </row>
    <row r="149" spans="1:21" x14ac:dyDescent="0.25">
      <c r="A149" s="327"/>
      <c r="B149" s="327"/>
      <c r="C149" s="327"/>
      <c r="D149" s="327"/>
      <c r="E149" s="327"/>
      <c r="F149" s="327"/>
      <c r="G149" s="327"/>
      <c r="H149" s="327"/>
      <c r="I149" s="327"/>
      <c r="J149" s="327"/>
      <c r="K149" s="327"/>
      <c r="L149" s="327"/>
      <c r="M149" s="327"/>
      <c r="N149" s="327"/>
      <c r="O149" s="327"/>
      <c r="P149" s="327"/>
      <c r="Q149" s="327"/>
      <c r="R149" s="327"/>
      <c r="S149" s="327"/>
      <c r="T149" s="327"/>
      <c r="U149" s="327"/>
    </row>
    <row r="150" spans="1:21" x14ac:dyDescent="0.25">
      <c r="A150" s="327"/>
      <c r="B150" s="327"/>
      <c r="C150" s="327"/>
      <c r="D150" s="327"/>
      <c r="E150" s="327"/>
      <c r="F150" s="327"/>
      <c r="G150" s="327"/>
      <c r="H150" s="327"/>
      <c r="I150" s="327"/>
      <c r="J150" s="327"/>
      <c r="K150" s="327"/>
      <c r="L150" s="327"/>
      <c r="M150" s="327"/>
      <c r="N150" s="327"/>
      <c r="O150" s="327"/>
      <c r="P150" s="327"/>
      <c r="Q150" s="327"/>
      <c r="R150" s="327"/>
      <c r="S150" s="327"/>
      <c r="T150" s="327"/>
      <c r="U150" s="327"/>
    </row>
    <row r="151" spans="1:21" x14ac:dyDescent="0.25">
      <c r="A151" s="327"/>
      <c r="B151" s="327"/>
      <c r="C151" s="327"/>
      <c r="D151" s="327"/>
      <c r="E151" s="327"/>
      <c r="F151" s="327"/>
      <c r="G151" s="327"/>
      <c r="H151" s="327"/>
      <c r="I151" s="327"/>
      <c r="J151" s="327"/>
      <c r="K151" s="327"/>
      <c r="L151" s="327"/>
      <c r="M151" s="327"/>
      <c r="N151" s="327"/>
      <c r="O151" s="327"/>
      <c r="P151" s="327"/>
      <c r="Q151" s="327"/>
      <c r="R151" s="327"/>
      <c r="S151" s="327"/>
      <c r="T151" s="327"/>
      <c r="U151" s="327"/>
    </row>
    <row r="152" spans="1:21" x14ac:dyDescent="0.25">
      <c r="A152" s="327"/>
      <c r="B152" s="327"/>
      <c r="C152" s="327"/>
      <c r="D152" s="327"/>
      <c r="E152" s="327"/>
      <c r="F152" s="327"/>
      <c r="G152" s="327"/>
      <c r="H152" s="327"/>
      <c r="I152" s="327"/>
      <c r="J152" s="327"/>
      <c r="K152" s="327"/>
      <c r="L152" s="327"/>
      <c r="M152" s="327"/>
      <c r="N152" s="327"/>
      <c r="O152" s="327"/>
      <c r="P152" s="327"/>
      <c r="Q152" s="327"/>
      <c r="R152" s="327"/>
      <c r="S152" s="327"/>
      <c r="T152" s="327"/>
      <c r="U152" s="327"/>
    </row>
    <row r="153" spans="1:21" x14ac:dyDescent="0.25">
      <c r="A153" s="327"/>
      <c r="B153" s="327"/>
      <c r="C153" s="327"/>
      <c r="D153" s="327"/>
      <c r="E153" s="327"/>
      <c r="F153" s="327"/>
      <c r="G153" s="327"/>
      <c r="H153" s="327"/>
      <c r="I153" s="327"/>
      <c r="J153" s="327"/>
      <c r="K153" s="327"/>
      <c r="L153" s="327"/>
      <c r="M153" s="327"/>
      <c r="N153" s="327"/>
      <c r="O153" s="327"/>
      <c r="P153" s="327"/>
      <c r="Q153" s="327"/>
      <c r="R153" s="327"/>
      <c r="S153" s="327"/>
      <c r="T153" s="327"/>
      <c r="U153" s="327"/>
    </row>
    <row r="154" spans="1:21" x14ac:dyDescent="0.25">
      <c r="A154" s="327"/>
      <c r="B154" s="327"/>
      <c r="C154" s="327"/>
      <c r="D154" s="327"/>
      <c r="E154" s="327"/>
      <c r="F154" s="327"/>
      <c r="G154" s="327"/>
      <c r="H154" s="327"/>
      <c r="I154" s="327"/>
      <c r="J154" s="327"/>
      <c r="K154" s="327"/>
      <c r="L154" s="327"/>
      <c r="M154" s="327"/>
      <c r="N154" s="327"/>
      <c r="O154" s="327"/>
      <c r="P154" s="327"/>
      <c r="Q154" s="327"/>
      <c r="R154" s="327"/>
      <c r="S154" s="327"/>
      <c r="T154" s="327"/>
      <c r="U154" s="327"/>
    </row>
    <row r="155" spans="1:21" x14ac:dyDescent="0.25">
      <c r="A155" s="327"/>
      <c r="B155" s="327"/>
      <c r="C155" s="327"/>
      <c r="D155" s="327"/>
      <c r="E155" s="327"/>
      <c r="F155" s="327"/>
      <c r="G155" s="327"/>
      <c r="H155" s="327"/>
      <c r="I155" s="327"/>
      <c r="J155" s="327"/>
      <c r="K155" s="327"/>
      <c r="L155" s="327"/>
      <c r="M155" s="327"/>
      <c r="N155" s="327"/>
      <c r="O155" s="327"/>
      <c r="P155" s="327"/>
      <c r="Q155" s="327"/>
      <c r="R155" s="327"/>
      <c r="S155" s="327"/>
      <c r="T155" s="327"/>
      <c r="U155" s="327"/>
    </row>
    <row r="156" spans="1:21" x14ac:dyDescent="0.25">
      <c r="A156" s="327"/>
      <c r="B156" s="327"/>
      <c r="C156" s="327"/>
      <c r="D156" s="327"/>
      <c r="E156" s="327"/>
      <c r="F156" s="327"/>
      <c r="G156" s="327"/>
      <c r="H156" s="327"/>
      <c r="I156" s="327"/>
      <c r="J156" s="327"/>
      <c r="K156" s="327"/>
      <c r="L156" s="327"/>
      <c r="M156" s="327"/>
      <c r="N156" s="327"/>
      <c r="O156" s="327"/>
      <c r="P156" s="327"/>
      <c r="Q156" s="327"/>
      <c r="R156" s="327"/>
      <c r="S156" s="327"/>
      <c r="T156" s="327"/>
      <c r="U156" s="327"/>
    </row>
    <row r="157" spans="1:21" x14ac:dyDescent="0.25">
      <c r="A157" s="327"/>
      <c r="B157" s="327"/>
      <c r="C157" s="327"/>
      <c r="D157" s="327"/>
      <c r="E157" s="327"/>
      <c r="F157" s="327"/>
      <c r="G157" s="327"/>
      <c r="H157" s="327"/>
      <c r="I157" s="327"/>
      <c r="J157" s="327"/>
      <c r="K157" s="327"/>
      <c r="L157" s="327"/>
      <c r="M157" s="327"/>
      <c r="N157" s="327"/>
      <c r="O157" s="327"/>
      <c r="P157" s="327"/>
      <c r="Q157" s="327"/>
      <c r="R157" s="327"/>
      <c r="S157" s="327"/>
      <c r="T157" s="327"/>
      <c r="U157" s="327"/>
    </row>
    <row r="158" spans="1:21" x14ac:dyDescent="0.25">
      <c r="A158" s="327"/>
      <c r="B158" s="327"/>
      <c r="C158" s="327"/>
      <c r="D158" s="327"/>
      <c r="E158" s="327"/>
      <c r="F158" s="327"/>
      <c r="G158" s="327"/>
      <c r="H158" s="327"/>
      <c r="I158" s="327"/>
      <c r="J158" s="327"/>
      <c r="K158" s="327"/>
      <c r="L158" s="327"/>
      <c r="M158" s="327"/>
      <c r="N158" s="327"/>
      <c r="O158" s="327"/>
      <c r="P158" s="327"/>
      <c r="Q158" s="327"/>
      <c r="R158" s="327"/>
      <c r="S158" s="327"/>
      <c r="T158" s="327"/>
      <c r="U158" s="327"/>
    </row>
    <row r="159" spans="1:21" x14ac:dyDescent="0.25">
      <c r="A159" s="327"/>
      <c r="B159" s="327"/>
      <c r="C159" s="327"/>
      <c r="D159" s="327"/>
      <c r="E159" s="327"/>
      <c r="F159" s="327"/>
      <c r="G159" s="327"/>
      <c r="H159" s="327"/>
      <c r="I159" s="327"/>
      <c r="J159" s="327"/>
      <c r="K159" s="327"/>
      <c r="L159" s="327"/>
      <c r="M159" s="327"/>
      <c r="N159" s="327"/>
      <c r="O159" s="327"/>
      <c r="P159" s="327"/>
      <c r="Q159" s="327"/>
      <c r="R159" s="327"/>
      <c r="S159" s="327"/>
      <c r="T159" s="327"/>
      <c r="U159" s="327"/>
    </row>
    <row r="160" spans="1:21" x14ac:dyDescent="0.25">
      <c r="A160" s="327"/>
      <c r="B160" s="327"/>
      <c r="C160" s="327"/>
      <c r="D160" s="327"/>
      <c r="E160" s="327"/>
      <c r="F160" s="327"/>
      <c r="G160" s="327"/>
      <c r="H160" s="327"/>
      <c r="I160" s="327"/>
      <c r="J160" s="327"/>
      <c r="K160" s="327"/>
      <c r="L160" s="327"/>
      <c r="M160" s="327"/>
      <c r="N160" s="327"/>
      <c r="O160" s="327"/>
      <c r="P160" s="327"/>
      <c r="Q160" s="327"/>
      <c r="R160" s="327"/>
      <c r="S160" s="327"/>
      <c r="T160" s="327"/>
      <c r="U160" s="327"/>
    </row>
    <row r="161" spans="1:21" x14ac:dyDescent="0.25">
      <c r="A161" s="327"/>
      <c r="B161" s="327"/>
      <c r="C161" s="327"/>
      <c r="D161" s="327"/>
      <c r="E161" s="327"/>
      <c r="F161" s="327"/>
      <c r="G161" s="327"/>
      <c r="H161" s="327"/>
      <c r="I161" s="327"/>
      <c r="J161" s="327"/>
      <c r="K161" s="327"/>
      <c r="L161" s="327"/>
      <c r="M161" s="327"/>
      <c r="N161" s="327"/>
      <c r="O161" s="327"/>
      <c r="P161" s="327"/>
      <c r="Q161" s="327"/>
      <c r="R161" s="327"/>
      <c r="S161" s="327"/>
      <c r="T161" s="327"/>
      <c r="U161" s="327"/>
    </row>
    <row r="162" spans="1:21" x14ac:dyDescent="0.25">
      <c r="A162" s="327"/>
      <c r="B162" s="327"/>
      <c r="C162" s="327"/>
      <c r="D162" s="327"/>
      <c r="E162" s="327"/>
      <c r="F162" s="327"/>
      <c r="G162" s="327"/>
      <c r="H162" s="327"/>
      <c r="I162" s="327"/>
      <c r="J162" s="327"/>
      <c r="K162" s="327"/>
      <c r="L162" s="327"/>
      <c r="M162" s="327"/>
      <c r="N162" s="327"/>
      <c r="O162" s="327"/>
      <c r="P162" s="327"/>
      <c r="Q162" s="327"/>
      <c r="R162" s="327"/>
      <c r="S162" s="327"/>
      <c r="T162" s="327"/>
      <c r="U162" s="327"/>
    </row>
    <row r="163" spans="1:21" x14ac:dyDescent="0.25">
      <c r="A163" s="327"/>
      <c r="B163" s="327"/>
      <c r="C163" s="327"/>
      <c r="D163" s="327"/>
      <c r="E163" s="327"/>
      <c r="F163" s="327"/>
      <c r="G163" s="327"/>
      <c r="H163" s="327"/>
      <c r="I163" s="327"/>
      <c r="J163" s="327"/>
      <c r="K163" s="327"/>
      <c r="L163" s="327"/>
      <c r="M163" s="327"/>
      <c r="N163" s="327"/>
      <c r="O163" s="327"/>
      <c r="P163" s="327"/>
      <c r="Q163" s="327"/>
      <c r="R163" s="327"/>
      <c r="S163" s="327"/>
      <c r="T163" s="327"/>
      <c r="U163" s="327"/>
    </row>
    <row r="164" spans="1:21" x14ac:dyDescent="0.25">
      <c r="A164" s="327"/>
      <c r="B164" s="327"/>
      <c r="C164" s="327"/>
      <c r="D164" s="327"/>
      <c r="E164" s="327"/>
      <c r="F164" s="327"/>
      <c r="G164" s="327"/>
      <c r="H164" s="327"/>
      <c r="I164" s="327"/>
      <c r="J164" s="327"/>
      <c r="K164" s="327"/>
      <c r="L164" s="327"/>
      <c r="M164" s="327"/>
      <c r="N164" s="327"/>
      <c r="O164" s="327"/>
      <c r="P164" s="327"/>
      <c r="Q164" s="327"/>
      <c r="R164" s="327"/>
      <c r="S164" s="327"/>
      <c r="T164" s="327"/>
      <c r="U164" s="327"/>
    </row>
    <row r="165" spans="1:21" x14ac:dyDescent="0.25">
      <c r="A165" s="327"/>
      <c r="B165" s="327"/>
      <c r="C165" s="327"/>
      <c r="D165" s="327"/>
      <c r="E165" s="327"/>
      <c r="F165" s="327"/>
      <c r="G165" s="327"/>
      <c r="H165" s="327"/>
      <c r="I165" s="327"/>
      <c r="J165" s="327"/>
      <c r="K165" s="327"/>
      <c r="L165" s="327"/>
      <c r="M165" s="327"/>
      <c r="N165" s="327"/>
      <c r="O165" s="327"/>
      <c r="P165" s="327"/>
      <c r="Q165" s="327"/>
      <c r="R165" s="327"/>
      <c r="S165" s="327"/>
      <c r="T165" s="327"/>
      <c r="U165" s="327"/>
    </row>
    <row r="166" spans="1:21" x14ac:dyDescent="0.25">
      <c r="A166" s="327"/>
      <c r="B166" s="327"/>
      <c r="C166" s="327"/>
      <c r="D166" s="327"/>
      <c r="E166" s="327"/>
      <c r="F166" s="327"/>
      <c r="G166" s="327"/>
      <c r="H166" s="327"/>
      <c r="I166" s="327"/>
      <c r="J166" s="327"/>
      <c r="K166" s="327"/>
      <c r="L166" s="327"/>
      <c r="M166" s="327"/>
      <c r="N166" s="327"/>
      <c r="O166" s="327"/>
      <c r="P166" s="327"/>
      <c r="Q166" s="327"/>
      <c r="R166" s="327"/>
      <c r="S166" s="327"/>
      <c r="T166" s="327"/>
      <c r="U166" s="327"/>
    </row>
    <row r="167" spans="1:21" x14ac:dyDescent="0.25">
      <c r="A167" s="327"/>
      <c r="B167" s="327"/>
      <c r="C167" s="327"/>
      <c r="D167" s="327"/>
      <c r="E167" s="327"/>
      <c r="F167" s="327"/>
      <c r="G167" s="327"/>
      <c r="H167" s="327"/>
      <c r="I167" s="327"/>
      <c r="J167" s="327"/>
      <c r="K167" s="327"/>
      <c r="L167" s="327"/>
      <c r="M167" s="327"/>
      <c r="N167" s="327"/>
      <c r="O167" s="327"/>
      <c r="P167" s="327"/>
      <c r="Q167" s="327"/>
      <c r="R167" s="327"/>
      <c r="S167" s="327"/>
      <c r="T167" s="327"/>
      <c r="U167" s="327"/>
    </row>
    <row r="168" spans="1:21" x14ac:dyDescent="0.25">
      <c r="A168" s="327"/>
      <c r="B168" s="327"/>
      <c r="C168" s="327"/>
      <c r="D168" s="327"/>
      <c r="E168" s="327"/>
      <c r="F168" s="327"/>
      <c r="G168" s="327"/>
      <c r="H168" s="327"/>
      <c r="I168" s="327"/>
      <c r="J168" s="327"/>
      <c r="K168" s="327"/>
      <c r="L168" s="327"/>
      <c r="M168" s="327"/>
      <c r="N168" s="327"/>
      <c r="O168" s="327"/>
      <c r="P168" s="327"/>
      <c r="Q168" s="327"/>
      <c r="R168" s="327"/>
      <c r="S168" s="327"/>
      <c r="T168" s="327"/>
      <c r="U168" s="327"/>
    </row>
    <row r="169" spans="1:21" x14ac:dyDescent="0.25">
      <c r="A169" s="327"/>
      <c r="B169" s="327"/>
      <c r="C169" s="327"/>
      <c r="D169" s="327"/>
      <c r="E169" s="327"/>
      <c r="F169" s="327"/>
      <c r="G169" s="327"/>
      <c r="H169" s="327"/>
      <c r="I169" s="327"/>
      <c r="J169" s="327"/>
      <c r="K169" s="327"/>
      <c r="L169" s="327"/>
      <c r="M169" s="327"/>
      <c r="N169" s="327"/>
      <c r="O169" s="327"/>
      <c r="P169" s="327"/>
      <c r="Q169" s="327"/>
      <c r="R169" s="327"/>
      <c r="S169" s="327"/>
      <c r="T169" s="327"/>
      <c r="U169" s="327"/>
    </row>
    <row r="170" spans="1:21" x14ac:dyDescent="0.25">
      <c r="A170" s="327"/>
      <c r="B170" s="327"/>
      <c r="C170" s="327"/>
      <c r="D170" s="327"/>
      <c r="E170" s="327"/>
      <c r="F170" s="327"/>
      <c r="G170" s="327"/>
      <c r="H170" s="327"/>
      <c r="I170" s="327"/>
      <c r="J170" s="327"/>
      <c r="K170" s="327"/>
      <c r="L170" s="327"/>
      <c r="M170" s="327"/>
      <c r="N170" s="327"/>
      <c r="O170" s="327"/>
      <c r="P170" s="327"/>
      <c r="Q170" s="327"/>
      <c r="R170" s="327"/>
      <c r="S170" s="327"/>
      <c r="T170" s="327"/>
      <c r="U170" s="327"/>
    </row>
    <row r="171" spans="1:21" x14ac:dyDescent="0.25">
      <c r="A171" s="327"/>
      <c r="B171" s="327"/>
      <c r="C171" s="327"/>
      <c r="D171" s="327"/>
      <c r="E171" s="327"/>
      <c r="F171" s="327"/>
      <c r="G171" s="327"/>
      <c r="H171" s="327"/>
      <c r="I171" s="327"/>
      <c r="J171" s="327"/>
      <c r="K171" s="327"/>
      <c r="L171" s="327"/>
      <c r="M171" s="327"/>
      <c r="N171" s="327"/>
      <c r="O171" s="327"/>
      <c r="P171" s="327"/>
      <c r="Q171" s="327"/>
      <c r="R171" s="327"/>
      <c r="S171" s="327"/>
      <c r="T171" s="327"/>
      <c r="U171" s="327"/>
    </row>
    <row r="172" spans="1:21" x14ac:dyDescent="0.25">
      <c r="A172" s="327"/>
      <c r="B172" s="327"/>
      <c r="C172" s="327"/>
      <c r="D172" s="327"/>
      <c r="E172" s="327"/>
      <c r="F172" s="327"/>
      <c r="G172" s="327"/>
      <c r="H172" s="327"/>
      <c r="I172" s="327"/>
      <c r="J172" s="327"/>
      <c r="K172" s="327"/>
      <c r="L172" s="327"/>
      <c r="M172" s="327"/>
      <c r="N172" s="327"/>
      <c r="O172" s="327"/>
      <c r="P172" s="327"/>
      <c r="Q172" s="327"/>
      <c r="R172" s="327"/>
      <c r="S172" s="327"/>
      <c r="T172" s="327"/>
      <c r="U172" s="327"/>
    </row>
    <row r="173" spans="1:21" x14ac:dyDescent="0.25">
      <c r="A173" s="327"/>
      <c r="B173" s="327"/>
      <c r="C173" s="327"/>
      <c r="D173" s="327"/>
      <c r="E173" s="327"/>
      <c r="F173" s="327"/>
      <c r="G173" s="327"/>
      <c r="H173" s="327"/>
      <c r="I173" s="327"/>
      <c r="J173" s="327"/>
      <c r="K173" s="327"/>
      <c r="L173" s="327"/>
      <c r="M173" s="327"/>
      <c r="N173" s="327"/>
      <c r="O173" s="327"/>
      <c r="P173" s="327"/>
      <c r="Q173" s="327"/>
      <c r="R173" s="327"/>
      <c r="S173" s="327"/>
      <c r="T173" s="327"/>
      <c r="U173" s="327"/>
    </row>
    <row r="174" spans="1:21" x14ac:dyDescent="0.25">
      <c r="A174" s="327"/>
      <c r="B174" s="327"/>
      <c r="C174" s="327"/>
      <c r="D174" s="327"/>
      <c r="E174" s="327"/>
      <c r="F174" s="327"/>
      <c r="G174" s="327"/>
      <c r="H174" s="327"/>
      <c r="I174" s="327"/>
      <c r="J174" s="327"/>
      <c r="K174" s="327"/>
      <c r="L174" s="327"/>
      <c r="M174" s="327"/>
      <c r="N174" s="327"/>
      <c r="O174" s="327"/>
      <c r="P174" s="327"/>
      <c r="Q174" s="327"/>
      <c r="R174" s="327"/>
      <c r="S174" s="327"/>
      <c r="T174" s="327"/>
      <c r="U174" s="327"/>
    </row>
    <row r="175" spans="1:21" x14ac:dyDescent="0.25">
      <c r="A175" s="327"/>
      <c r="B175" s="327"/>
      <c r="C175" s="327"/>
      <c r="D175" s="327"/>
      <c r="E175" s="327"/>
      <c r="F175" s="327"/>
      <c r="G175" s="327"/>
      <c r="H175" s="327"/>
      <c r="I175" s="327"/>
      <c r="J175" s="327"/>
      <c r="K175" s="327"/>
      <c r="L175" s="327"/>
      <c r="M175" s="327"/>
      <c r="N175" s="327"/>
      <c r="O175" s="327"/>
      <c r="P175" s="327"/>
      <c r="Q175" s="327"/>
      <c r="R175" s="327"/>
      <c r="S175" s="327"/>
      <c r="T175" s="327"/>
      <c r="U175" s="327"/>
    </row>
    <row r="176" spans="1:21" x14ac:dyDescent="0.25">
      <c r="A176" s="327"/>
      <c r="B176" s="327"/>
      <c r="C176" s="327"/>
      <c r="D176" s="327"/>
      <c r="E176" s="327"/>
      <c r="F176" s="327"/>
      <c r="G176" s="327"/>
      <c r="H176" s="327"/>
      <c r="I176" s="327"/>
      <c r="J176" s="327"/>
      <c r="K176" s="327"/>
      <c r="L176" s="327"/>
      <c r="M176" s="327"/>
      <c r="N176" s="327"/>
      <c r="O176" s="327"/>
      <c r="P176" s="327"/>
      <c r="Q176" s="327"/>
      <c r="R176" s="327"/>
      <c r="S176" s="327"/>
      <c r="T176" s="327"/>
      <c r="U176" s="327"/>
    </row>
    <row r="177" spans="1:21" x14ac:dyDescent="0.25">
      <c r="A177" s="327"/>
      <c r="B177" s="327"/>
      <c r="C177" s="327"/>
      <c r="D177" s="327"/>
      <c r="E177" s="327"/>
      <c r="F177" s="327"/>
      <c r="G177" s="327"/>
      <c r="H177" s="327"/>
      <c r="I177" s="327"/>
      <c r="J177" s="327"/>
      <c r="K177" s="327"/>
      <c r="L177" s="327"/>
      <c r="M177" s="327"/>
      <c r="N177" s="327"/>
      <c r="O177" s="327"/>
      <c r="P177" s="327"/>
      <c r="Q177" s="327"/>
      <c r="R177" s="327"/>
      <c r="S177" s="327"/>
      <c r="T177" s="327"/>
      <c r="U177" s="327"/>
    </row>
    <row r="178" spans="1:21" x14ac:dyDescent="0.25">
      <c r="A178" s="327"/>
      <c r="B178" s="327"/>
      <c r="C178" s="327"/>
      <c r="D178" s="327"/>
      <c r="E178" s="327"/>
      <c r="F178" s="327"/>
      <c r="G178" s="327"/>
      <c r="H178" s="327"/>
      <c r="I178" s="327"/>
      <c r="J178" s="327"/>
      <c r="K178" s="327"/>
      <c r="L178" s="327"/>
      <c r="M178" s="327"/>
      <c r="N178" s="327"/>
      <c r="O178" s="327"/>
      <c r="P178" s="327"/>
      <c r="Q178" s="327"/>
      <c r="R178" s="327"/>
      <c r="S178" s="327"/>
      <c r="T178" s="327"/>
      <c r="U178" s="327"/>
    </row>
    <row r="179" spans="1:21" x14ac:dyDescent="0.25">
      <c r="A179" s="327"/>
      <c r="B179" s="327"/>
      <c r="C179" s="327"/>
      <c r="D179" s="327"/>
      <c r="E179" s="327"/>
      <c r="F179" s="327"/>
      <c r="G179" s="327"/>
      <c r="H179" s="327"/>
      <c r="I179" s="327"/>
      <c r="J179" s="327"/>
      <c r="K179" s="327"/>
      <c r="L179" s="327"/>
      <c r="M179" s="327"/>
      <c r="N179" s="327"/>
      <c r="O179" s="327"/>
      <c r="P179" s="327"/>
      <c r="Q179" s="327"/>
      <c r="R179" s="327"/>
      <c r="S179" s="327"/>
      <c r="T179" s="327"/>
      <c r="U179" s="327"/>
    </row>
    <row r="180" spans="1:21" x14ac:dyDescent="0.25">
      <c r="A180" s="327"/>
      <c r="B180" s="327"/>
      <c r="C180" s="327"/>
      <c r="D180" s="327"/>
      <c r="E180" s="327"/>
      <c r="F180" s="327"/>
      <c r="G180" s="327"/>
      <c r="H180" s="327"/>
      <c r="I180" s="327"/>
      <c r="J180" s="327"/>
      <c r="K180" s="327"/>
      <c r="L180" s="327"/>
      <c r="M180" s="327"/>
      <c r="N180" s="327"/>
      <c r="O180" s="327"/>
      <c r="P180" s="327"/>
      <c r="Q180" s="327"/>
      <c r="R180" s="327"/>
      <c r="S180" s="327"/>
      <c r="T180" s="327"/>
      <c r="U180" s="327"/>
    </row>
    <row r="181" spans="1:21" x14ac:dyDescent="0.25">
      <c r="A181" s="327"/>
      <c r="B181" s="327"/>
      <c r="C181" s="327"/>
      <c r="D181" s="327"/>
      <c r="E181" s="327"/>
      <c r="F181" s="327"/>
      <c r="G181" s="327"/>
      <c r="H181" s="327"/>
      <c r="I181" s="327"/>
      <c r="J181" s="327"/>
      <c r="K181" s="327"/>
      <c r="L181" s="327"/>
      <c r="M181" s="327"/>
      <c r="N181" s="327"/>
      <c r="O181" s="327"/>
      <c r="P181" s="327"/>
      <c r="Q181" s="327"/>
      <c r="R181" s="327"/>
      <c r="S181" s="327"/>
      <c r="T181" s="327"/>
      <c r="U181" s="327"/>
    </row>
    <row r="182" spans="1:21" x14ac:dyDescent="0.25">
      <c r="A182" s="327"/>
      <c r="B182" s="327"/>
      <c r="C182" s="327"/>
      <c r="D182" s="327"/>
      <c r="E182" s="327"/>
      <c r="F182" s="327"/>
      <c r="G182" s="327"/>
      <c r="H182" s="327"/>
      <c r="I182" s="327"/>
      <c r="J182" s="327"/>
      <c r="K182" s="327"/>
      <c r="L182" s="327"/>
      <c r="M182" s="327"/>
      <c r="N182" s="327"/>
      <c r="O182" s="327"/>
      <c r="P182" s="327"/>
      <c r="Q182" s="327"/>
      <c r="R182" s="327"/>
      <c r="S182" s="327"/>
      <c r="T182" s="327"/>
      <c r="U182" s="327"/>
    </row>
    <row r="183" spans="1:21" x14ac:dyDescent="0.25">
      <c r="A183" s="327"/>
      <c r="B183" s="327"/>
      <c r="C183" s="327"/>
      <c r="D183" s="327"/>
      <c r="E183" s="327"/>
      <c r="F183" s="327"/>
      <c r="G183" s="327"/>
      <c r="H183" s="327"/>
      <c r="I183" s="327"/>
      <c r="J183" s="327"/>
      <c r="K183" s="327"/>
      <c r="L183" s="327"/>
      <c r="M183" s="327"/>
      <c r="N183" s="327"/>
      <c r="O183" s="327"/>
      <c r="P183" s="327"/>
      <c r="Q183" s="327"/>
      <c r="R183" s="327"/>
      <c r="S183" s="327"/>
      <c r="T183" s="327"/>
      <c r="U183" s="327"/>
    </row>
    <row r="184" spans="1:21" x14ac:dyDescent="0.25">
      <c r="A184" s="327"/>
      <c r="B184" s="327"/>
      <c r="C184" s="327"/>
      <c r="D184" s="327"/>
      <c r="E184" s="327"/>
      <c r="F184" s="327"/>
      <c r="G184" s="327"/>
      <c r="H184" s="327"/>
      <c r="I184" s="327"/>
      <c r="J184" s="327"/>
      <c r="K184" s="327"/>
      <c r="L184" s="327"/>
      <c r="M184" s="327"/>
      <c r="N184" s="327"/>
      <c r="O184" s="327"/>
      <c r="P184" s="327"/>
      <c r="Q184" s="327"/>
      <c r="R184" s="327"/>
      <c r="S184" s="327"/>
      <c r="T184" s="327"/>
      <c r="U184" s="327"/>
    </row>
    <row r="185" spans="1:21" x14ac:dyDescent="0.25">
      <c r="A185" s="327"/>
      <c r="B185" s="327"/>
      <c r="C185" s="327"/>
      <c r="D185" s="327"/>
      <c r="E185" s="327"/>
      <c r="F185" s="327"/>
      <c r="G185" s="327"/>
      <c r="H185" s="327"/>
      <c r="I185" s="327"/>
      <c r="J185" s="327"/>
      <c r="K185" s="327"/>
      <c r="L185" s="327"/>
      <c r="M185" s="327"/>
      <c r="N185" s="327"/>
      <c r="O185" s="327"/>
      <c r="P185" s="327"/>
      <c r="Q185" s="327"/>
      <c r="R185" s="327"/>
      <c r="S185" s="327"/>
      <c r="T185" s="327"/>
      <c r="U185" s="327"/>
    </row>
    <row r="186" spans="1:21" x14ac:dyDescent="0.25">
      <c r="A186" s="327"/>
      <c r="B186" s="327"/>
      <c r="C186" s="327"/>
      <c r="D186" s="327"/>
      <c r="E186" s="327"/>
      <c r="F186" s="327"/>
      <c r="G186" s="327"/>
      <c r="H186" s="327"/>
      <c r="I186" s="327"/>
      <c r="J186" s="327"/>
      <c r="K186" s="327"/>
      <c r="L186" s="327"/>
      <c r="M186" s="327"/>
      <c r="N186" s="327"/>
      <c r="O186" s="327"/>
      <c r="P186" s="327"/>
      <c r="Q186" s="327"/>
      <c r="R186" s="327"/>
      <c r="S186" s="327"/>
      <c r="T186" s="327"/>
      <c r="U186" s="327"/>
    </row>
    <row r="187" spans="1:21" x14ac:dyDescent="0.25">
      <c r="A187" s="327"/>
      <c r="B187" s="327"/>
      <c r="C187" s="327"/>
      <c r="D187" s="327"/>
      <c r="E187" s="327"/>
      <c r="F187" s="327"/>
      <c r="G187" s="327"/>
      <c r="H187" s="327"/>
      <c r="I187" s="327"/>
      <c r="J187" s="327"/>
      <c r="K187" s="327"/>
      <c r="L187" s="327"/>
      <c r="M187" s="327"/>
      <c r="N187" s="327"/>
      <c r="O187" s="327"/>
      <c r="P187" s="327"/>
      <c r="Q187" s="327"/>
      <c r="R187" s="327"/>
      <c r="S187" s="327"/>
      <c r="T187" s="327"/>
      <c r="U187" s="327"/>
    </row>
    <row r="188" spans="1:21" x14ac:dyDescent="0.25">
      <c r="A188" s="327"/>
      <c r="B188" s="327"/>
      <c r="C188" s="327"/>
      <c r="D188" s="327"/>
      <c r="E188" s="327"/>
      <c r="F188" s="327"/>
      <c r="G188" s="327"/>
      <c r="H188" s="327"/>
      <c r="I188" s="327"/>
      <c r="J188" s="327"/>
      <c r="K188" s="327"/>
      <c r="L188" s="327"/>
      <c r="M188" s="327"/>
      <c r="N188" s="327"/>
      <c r="O188" s="327"/>
      <c r="P188" s="327"/>
      <c r="Q188" s="327"/>
      <c r="R188" s="327"/>
      <c r="S188" s="327"/>
      <c r="T188" s="327"/>
      <c r="U188" s="327"/>
    </row>
    <row r="189" spans="1:21" x14ac:dyDescent="0.25">
      <c r="A189" s="327"/>
      <c r="B189" s="327"/>
      <c r="C189" s="327"/>
      <c r="D189" s="327"/>
      <c r="E189" s="327"/>
      <c r="F189" s="327"/>
      <c r="G189" s="327"/>
      <c r="H189" s="327"/>
      <c r="I189" s="327"/>
      <c r="J189" s="327"/>
      <c r="K189" s="327"/>
      <c r="L189" s="327"/>
      <c r="M189" s="327"/>
      <c r="N189" s="327"/>
      <c r="O189" s="327"/>
      <c r="P189" s="327"/>
      <c r="Q189" s="327"/>
      <c r="R189" s="327"/>
      <c r="S189" s="327"/>
      <c r="T189" s="327"/>
      <c r="U189" s="327"/>
    </row>
    <row r="190" spans="1:21" x14ac:dyDescent="0.25">
      <c r="A190" s="327"/>
      <c r="B190" s="327"/>
      <c r="C190" s="327"/>
      <c r="D190" s="327"/>
      <c r="E190" s="327"/>
      <c r="F190" s="327"/>
      <c r="G190" s="327"/>
      <c r="H190" s="327"/>
      <c r="I190" s="327"/>
      <c r="J190" s="327"/>
      <c r="K190" s="327"/>
      <c r="L190" s="327"/>
      <c r="M190" s="327"/>
      <c r="N190" s="327"/>
      <c r="O190" s="327"/>
      <c r="P190" s="327"/>
      <c r="Q190" s="327"/>
      <c r="R190" s="327"/>
      <c r="S190" s="327"/>
      <c r="T190" s="327"/>
      <c r="U190" s="327"/>
    </row>
    <row r="191" spans="1:21" x14ac:dyDescent="0.25">
      <c r="A191" s="327"/>
      <c r="B191" s="327"/>
      <c r="C191" s="327"/>
      <c r="D191" s="327"/>
      <c r="E191" s="327"/>
      <c r="F191" s="327"/>
      <c r="G191" s="327"/>
      <c r="H191" s="327"/>
      <c r="I191" s="327"/>
      <c r="J191" s="327"/>
      <c r="K191" s="327"/>
      <c r="L191" s="327"/>
      <c r="M191" s="327"/>
      <c r="N191" s="327"/>
      <c r="O191" s="327"/>
      <c r="P191" s="327"/>
      <c r="Q191" s="327"/>
      <c r="R191" s="327"/>
      <c r="S191" s="327"/>
      <c r="T191" s="327"/>
      <c r="U191" s="327"/>
    </row>
  </sheetData>
  <mergeCells count="70">
    <mergeCell ref="X73:Y73"/>
    <mergeCell ref="Z73:AA73"/>
    <mergeCell ref="AB73:AC73"/>
    <mergeCell ref="P75:Q75"/>
    <mergeCell ref="P88:Q88"/>
    <mergeCell ref="R74:S74"/>
    <mergeCell ref="P74:Q74"/>
    <mergeCell ref="R77:S77"/>
    <mergeCell ref="R78:S78"/>
    <mergeCell ref="R79:S79"/>
    <mergeCell ref="R80:S80"/>
    <mergeCell ref="R81:S81"/>
    <mergeCell ref="R82:S82"/>
    <mergeCell ref="R83:S83"/>
    <mergeCell ref="P89:Q89"/>
    <mergeCell ref="P90:Q90"/>
    <mergeCell ref="P91:Q91"/>
    <mergeCell ref="P84:Q84"/>
    <mergeCell ref="P85:Q85"/>
    <mergeCell ref="P87:Q87"/>
    <mergeCell ref="M89:N89"/>
    <mergeCell ref="M90:N90"/>
    <mergeCell ref="M91:N91"/>
    <mergeCell ref="P76:Q76"/>
    <mergeCell ref="P77:Q77"/>
    <mergeCell ref="P78:Q78"/>
    <mergeCell ref="P79:Q79"/>
    <mergeCell ref="P80:Q80"/>
    <mergeCell ref="P86:Q86"/>
    <mergeCell ref="M79:N79"/>
    <mergeCell ref="M85:N85"/>
    <mergeCell ref="M86:N86"/>
    <mergeCell ref="M87:N87"/>
    <mergeCell ref="P81:Q81"/>
    <mergeCell ref="P82:Q82"/>
    <mergeCell ref="P83:Q83"/>
    <mergeCell ref="M88:N88"/>
    <mergeCell ref="G73:H73"/>
    <mergeCell ref="I73:J73"/>
    <mergeCell ref="M80:N80"/>
    <mergeCell ref="M81:N81"/>
    <mergeCell ref="M82:N82"/>
    <mergeCell ref="M83:N83"/>
    <mergeCell ref="M84:N84"/>
    <mergeCell ref="M75:N75"/>
    <mergeCell ref="M76:N76"/>
    <mergeCell ref="M77:N77"/>
    <mergeCell ref="M78:N78"/>
    <mergeCell ref="C2:F2"/>
    <mergeCell ref="I2:L2"/>
    <mergeCell ref="N2:Q2"/>
    <mergeCell ref="G2:H2"/>
    <mergeCell ref="C72:H72"/>
    <mergeCell ref="H49:Q49"/>
    <mergeCell ref="C49:G49"/>
    <mergeCell ref="M72:S72"/>
    <mergeCell ref="V72:AA72"/>
    <mergeCell ref="E73:F73"/>
    <mergeCell ref="P73:Q73"/>
    <mergeCell ref="R73:S73"/>
    <mergeCell ref="R75:S75"/>
    <mergeCell ref="R76:S76"/>
    <mergeCell ref="R89:S89"/>
    <mergeCell ref="R84:S84"/>
    <mergeCell ref="R85:S85"/>
    <mergeCell ref="R86:S86"/>
    <mergeCell ref="R87:S87"/>
    <mergeCell ref="R88:S88"/>
    <mergeCell ref="R90:S90"/>
    <mergeCell ref="R91:S91"/>
  </mergeCells>
  <hyperlinks>
    <hyperlink ref="D108" r:id="rId1" xr:uid="{C25F0B92-B719-49DC-BF53-5D8B52A67D99}"/>
    <hyperlink ref="D123" r:id="rId2" xr:uid="{5D066B23-DDB3-4CDC-98D9-3B56C0F65959}"/>
    <hyperlink ref="C132" r:id="rId3" display="https://www.google.com/maps/dir/VAERSA+Planta+Picassent,+Calle+V5+P.I.Juan+Carlos+I,+Picasent/Tous,+Val%C3%A8ncia/@39.2011232,-0.6252911,11.02z/data=!4m14!4m13!1m5!1m1!1s0xd61b2ce79ff5ca1:0x456e33ebb19c601a!2m2!1d-0.4237112!2d39.3143221!1m5!1m1!1s0xd61a7eed2e621cf:0x90e09f85de0e8e81!2m2!1d-0.5860856!2d39.138592!3e0" xr:uid="{0F996EFF-A436-4BF1-8BED-EE3E0B152073}"/>
    <hyperlink ref="H133" r:id="rId4" xr:uid="{7F34FEB6-599C-434B-BF4C-87CE47F7E59F}"/>
    <hyperlink ref="I132" r:id="rId5" xr:uid="{DADAD277-866A-44AE-828E-77BCAD89A2A7}"/>
    <hyperlink ref="K7" r:id="rId6" xr:uid="{7BBB9124-87BA-4EEC-8AD4-07B1CF5E4BC8}"/>
  </hyperlinks>
  <pageMargins left="0.7" right="0.7" top="0.75" bottom="0.75" header="0.3" footer="0.3"/>
  <pageSetup paperSize="9" orientation="portrait" r:id="rId7"/>
  <legacy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6F248-5EFD-4093-A31E-242087951A86}">
  <dimension ref="A1:AI155"/>
  <sheetViews>
    <sheetView tabSelected="1" topLeftCell="L81" zoomScale="70" zoomScaleNormal="70" workbookViewId="0">
      <selection activeCell="K16" sqref="K16:AC124"/>
    </sheetView>
  </sheetViews>
  <sheetFormatPr baseColWidth="10" defaultColWidth="11.5703125" defaultRowHeight="15" x14ac:dyDescent="0.25"/>
  <cols>
    <col min="1" max="1" width="22.140625" customWidth="1"/>
    <col min="6" max="6" width="22.85546875" customWidth="1"/>
    <col min="7" max="7" width="28.140625" customWidth="1"/>
    <col min="8" max="8" width="24.5703125" customWidth="1"/>
    <col min="9" max="9" width="29.7109375" customWidth="1"/>
    <col min="10" max="10" width="17.5703125" customWidth="1"/>
    <col min="11" max="11" width="15.5703125" customWidth="1"/>
    <col min="12" max="12" width="21.5703125" customWidth="1"/>
    <col min="13" max="13" width="27.42578125" customWidth="1"/>
    <col min="14" max="14" width="55" customWidth="1"/>
    <col min="15" max="15" width="23.85546875" customWidth="1"/>
    <col min="16" max="16" width="42.140625" customWidth="1"/>
    <col min="17" max="17" width="22.85546875" customWidth="1"/>
    <col min="22" max="22" width="16.42578125" customWidth="1"/>
    <col min="24" max="24" width="20" customWidth="1"/>
    <col min="25" max="25" width="15.5703125" customWidth="1"/>
    <col min="26" max="26" width="14" customWidth="1"/>
    <col min="27" max="27" width="13.140625" customWidth="1"/>
    <col min="29" max="29" width="19.7109375" customWidth="1"/>
  </cols>
  <sheetData>
    <row r="1" spans="6:19" ht="16.5" thickBot="1" x14ac:dyDescent="0.3">
      <c r="N1" s="527" t="s">
        <v>457</v>
      </c>
      <c r="O1" s="528"/>
    </row>
    <row r="2" spans="6:19" ht="16.5" thickBot="1" x14ac:dyDescent="0.3">
      <c r="F2" s="527" t="s">
        <v>458</v>
      </c>
      <c r="G2" s="530"/>
      <c r="N2" s="297" t="s">
        <v>442</v>
      </c>
      <c r="O2" s="194"/>
      <c r="P2" s="323"/>
      <c r="Q2" s="323"/>
    </row>
    <row r="3" spans="6:19" ht="15.75" thickBot="1" x14ac:dyDescent="0.3">
      <c r="G3" s="193" t="s">
        <v>132</v>
      </c>
      <c r="H3" s="408"/>
      <c r="I3" s="405" t="s">
        <v>461</v>
      </c>
      <c r="J3" s="405" t="s">
        <v>668</v>
      </c>
      <c r="K3" s="416" t="s">
        <v>462</v>
      </c>
      <c r="L3" s="403" t="s">
        <v>669</v>
      </c>
      <c r="O3" s="324" t="s">
        <v>414</v>
      </c>
      <c r="P3" s="320" t="s">
        <v>381</v>
      </c>
      <c r="Q3" s="318"/>
      <c r="R3" s="318"/>
    </row>
    <row r="4" spans="6:19" ht="30" customHeight="1" x14ac:dyDescent="0.25">
      <c r="F4" s="414" t="s">
        <v>459</v>
      </c>
      <c r="G4" s="409">
        <v>150</v>
      </c>
      <c r="H4" s="537" t="s">
        <v>677</v>
      </c>
      <c r="I4" s="410">
        <v>4</v>
      </c>
      <c r="J4" s="537" t="s">
        <v>676</v>
      </c>
      <c r="K4" s="411" t="s">
        <v>641</v>
      </c>
      <c r="L4" s="406" t="s">
        <v>670</v>
      </c>
      <c r="O4" s="297" t="s">
        <v>443</v>
      </c>
      <c r="P4" s="194">
        <v>7.36</v>
      </c>
      <c r="Q4" s="322" t="s">
        <v>54</v>
      </c>
      <c r="R4" s="265">
        <f>P4/200*1000000</f>
        <v>36800</v>
      </c>
      <c r="S4" s="322" t="s">
        <v>449</v>
      </c>
    </row>
    <row r="5" spans="6:19" ht="30" customHeight="1" x14ac:dyDescent="0.25">
      <c r="F5" s="415" t="s">
        <v>460</v>
      </c>
      <c r="G5" s="412">
        <v>136.5</v>
      </c>
      <c r="H5" s="538"/>
      <c r="I5" s="404">
        <v>4</v>
      </c>
      <c r="J5" s="538"/>
      <c r="K5" s="413" t="s">
        <v>640</v>
      </c>
      <c r="L5" s="346" t="s">
        <v>671</v>
      </c>
      <c r="O5" s="297" t="s">
        <v>444</v>
      </c>
      <c r="P5" s="194">
        <v>21.4</v>
      </c>
      <c r="Q5" s="322" t="s">
        <v>54</v>
      </c>
      <c r="R5" s="265">
        <f>P5/200*1000000</f>
        <v>107000</v>
      </c>
      <c r="S5" s="322" t="s">
        <v>449</v>
      </c>
    </row>
    <row r="6" spans="6:19" ht="30" customHeight="1" thickBot="1" x14ac:dyDescent="0.3">
      <c r="F6" s="415" t="s">
        <v>415</v>
      </c>
      <c r="G6" s="412">
        <f>Q101</f>
        <v>244.99999999999997</v>
      </c>
      <c r="H6" s="538"/>
      <c r="I6" s="404">
        <v>6</v>
      </c>
      <c r="J6" s="538"/>
      <c r="K6" s="413" t="s">
        <v>639</v>
      </c>
      <c r="L6" s="407" t="s">
        <v>671</v>
      </c>
      <c r="O6" s="297" t="s">
        <v>445</v>
      </c>
      <c r="P6" s="194">
        <v>3.01</v>
      </c>
      <c r="Q6" s="322" t="s">
        <v>54</v>
      </c>
      <c r="R6" s="265">
        <f>P6/200*1000</f>
        <v>15.049999999999999</v>
      </c>
      <c r="S6" s="322" t="s">
        <v>450</v>
      </c>
    </row>
    <row r="7" spans="6:19" ht="30" customHeight="1" thickBot="1" x14ac:dyDescent="0.3">
      <c r="F7" s="376" t="s">
        <v>675</v>
      </c>
      <c r="G7" s="534" t="s">
        <v>676</v>
      </c>
      <c r="H7" s="535"/>
      <c r="I7" s="535"/>
      <c r="J7" s="535"/>
      <c r="K7" s="536"/>
    </row>
    <row r="8" spans="6:19" x14ac:dyDescent="0.25">
      <c r="F8" s="320" t="s">
        <v>534</v>
      </c>
      <c r="N8" s="324" t="s">
        <v>446</v>
      </c>
      <c r="O8" s="320" t="s">
        <v>381</v>
      </c>
      <c r="P8" s="318"/>
      <c r="Q8" s="318"/>
    </row>
    <row r="9" spans="6:19" x14ac:dyDescent="0.25">
      <c r="N9" s="297" t="s">
        <v>443</v>
      </c>
      <c r="O9" s="194">
        <v>0.62</v>
      </c>
      <c r="P9" s="322" t="s">
        <v>54</v>
      </c>
      <c r="Q9" s="265">
        <f>O9/240*10000000</f>
        <v>25833.333333333332</v>
      </c>
      <c r="R9" s="322" t="s">
        <v>449</v>
      </c>
    </row>
    <row r="10" spans="6:19" x14ac:dyDescent="0.25">
      <c r="N10" s="297" t="s">
        <v>444</v>
      </c>
      <c r="O10" s="194">
        <v>3.0999999999999999E-3</v>
      </c>
      <c r="P10" s="322" t="s">
        <v>54</v>
      </c>
      <c r="Q10" s="265">
        <f>O10/240*10000000</f>
        <v>129.16666666666666</v>
      </c>
      <c r="R10" s="322" t="s">
        <v>449</v>
      </c>
    </row>
    <row r="11" spans="6:19" x14ac:dyDescent="0.25">
      <c r="N11" s="297" t="s">
        <v>445</v>
      </c>
      <c r="O11" s="194">
        <v>0.6</v>
      </c>
      <c r="P11" s="322" t="s">
        <v>54</v>
      </c>
      <c r="Q11" s="265">
        <f>O11/240*1000</f>
        <v>2.5</v>
      </c>
      <c r="R11" s="322" t="s">
        <v>450</v>
      </c>
    </row>
    <row r="12" spans="6:19" x14ac:dyDescent="0.25">
      <c r="N12" s="297" t="s">
        <v>447</v>
      </c>
      <c r="O12" s="194">
        <v>0.02</v>
      </c>
      <c r="P12" s="322"/>
      <c r="Q12" s="265">
        <f>O12/240*1000</f>
        <v>8.3333333333333329E-2</v>
      </c>
    </row>
    <row r="14" spans="6:19" x14ac:dyDescent="0.25">
      <c r="N14" s="324" t="s">
        <v>466</v>
      </c>
      <c r="O14" s="320" t="s">
        <v>465</v>
      </c>
      <c r="P14" s="318"/>
    </row>
    <row r="15" spans="6:19" x14ac:dyDescent="0.25">
      <c r="N15" s="324" t="s">
        <v>448</v>
      </c>
      <c r="O15" s="320" t="s">
        <v>463</v>
      </c>
      <c r="P15" s="320" t="s">
        <v>464</v>
      </c>
      <c r="Q15" s="320"/>
    </row>
    <row r="16" spans="6:19" x14ac:dyDescent="0.25">
      <c r="N16" s="297" t="s">
        <v>443</v>
      </c>
      <c r="O16" s="194">
        <v>200</v>
      </c>
      <c r="P16" s="323">
        <v>145</v>
      </c>
      <c r="Q16" s="322" t="s">
        <v>449</v>
      </c>
    </row>
    <row r="17" spans="6:35" x14ac:dyDescent="0.25">
      <c r="N17" s="297" t="s">
        <v>444</v>
      </c>
      <c r="O17" s="194">
        <v>556</v>
      </c>
      <c r="P17" s="323">
        <v>348</v>
      </c>
      <c r="Q17" s="322" t="s">
        <v>449</v>
      </c>
    </row>
    <row r="18" spans="6:35" x14ac:dyDescent="0.25">
      <c r="N18" s="297" t="s">
        <v>445</v>
      </c>
      <c r="O18" s="194">
        <v>0.14000000000000001</v>
      </c>
      <c r="P18" s="323">
        <v>0.06</v>
      </c>
      <c r="Q18" s="322" t="s">
        <v>450</v>
      </c>
    </row>
    <row r="19" spans="6:35" x14ac:dyDescent="0.25">
      <c r="N19" s="324" t="s">
        <v>451</v>
      </c>
      <c r="O19" s="320"/>
      <c r="P19" s="320"/>
      <c r="Q19" s="320"/>
    </row>
    <row r="20" spans="6:35" x14ac:dyDescent="0.25">
      <c r="N20" s="297" t="s">
        <v>443</v>
      </c>
      <c r="O20" s="194">
        <v>264</v>
      </c>
      <c r="P20" s="323">
        <v>205</v>
      </c>
      <c r="Q20" s="322" t="s">
        <v>449</v>
      </c>
    </row>
    <row r="21" spans="6:35" x14ac:dyDescent="0.25">
      <c r="N21" s="297" t="s">
        <v>444</v>
      </c>
      <c r="O21" s="194">
        <v>782</v>
      </c>
      <c r="P21" s="323">
        <v>660</v>
      </c>
      <c r="Q21" s="322" t="s">
        <v>449</v>
      </c>
    </row>
    <row r="22" spans="6:35" x14ac:dyDescent="0.25">
      <c r="N22" s="297" t="s">
        <v>445</v>
      </c>
      <c r="O22" s="194">
        <v>0.1</v>
      </c>
      <c r="P22" s="323">
        <v>0.1</v>
      </c>
      <c r="Q22" s="322" t="s">
        <v>450</v>
      </c>
    </row>
    <row r="23" spans="6:35" x14ac:dyDescent="0.25">
      <c r="N23" s="324" t="s">
        <v>452</v>
      </c>
      <c r="O23" s="320"/>
      <c r="P23" s="320"/>
      <c r="Q23" s="320"/>
    </row>
    <row r="24" spans="6:35" x14ac:dyDescent="0.25">
      <c r="N24" s="297" t="s">
        <v>443</v>
      </c>
      <c r="O24" s="194">
        <v>550</v>
      </c>
      <c r="P24" s="323">
        <v>370</v>
      </c>
      <c r="Q24" s="322" t="s">
        <v>449</v>
      </c>
    </row>
    <row r="25" spans="6:35" x14ac:dyDescent="0.25">
      <c r="N25" s="297" t="s">
        <v>444</v>
      </c>
      <c r="O25" s="194">
        <v>1100</v>
      </c>
      <c r="P25" s="323">
        <v>752</v>
      </c>
      <c r="Q25" s="322" t="s">
        <v>449</v>
      </c>
    </row>
    <row r="26" spans="6:35" x14ac:dyDescent="0.25">
      <c r="N26" s="297" t="s">
        <v>445</v>
      </c>
      <c r="O26" s="194">
        <v>0.2</v>
      </c>
      <c r="P26" s="323">
        <v>0.08</v>
      </c>
      <c r="Q26" s="322" t="s">
        <v>450</v>
      </c>
    </row>
    <row r="28" spans="6:35" ht="16.5" thickBot="1" x14ac:dyDescent="0.3">
      <c r="F28" s="527" t="s">
        <v>391</v>
      </c>
      <c r="G28" s="528"/>
      <c r="H28" s="279" t="s">
        <v>432</v>
      </c>
      <c r="I28" s="315" t="s">
        <v>433</v>
      </c>
      <c r="O28" s="527" t="s">
        <v>391</v>
      </c>
      <c r="P28" s="533"/>
      <c r="Q28" s="279" t="s">
        <v>432</v>
      </c>
      <c r="R28" s="315" t="s">
        <v>434</v>
      </c>
      <c r="X28" s="527" t="s">
        <v>391</v>
      </c>
      <c r="Y28" s="528"/>
      <c r="Z28" s="279" t="s">
        <v>432</v>
      </c>
      <c r="AA28" s="315" t="s">
        <v>440</v>
      </c>
    </row>
    <row r="29" spans="6:35" ht="15.75" thickBot="1" x14ac:dyDescent="0.3">
      <c r="F29" s="276" t="s">
        <v>339</v>
      </c>
      <c r="G29" s="277"/>
      <c r="H29" s="277"/>
      <c r="I29" s="277"/>
      <c r="J29" s="277"/>
      <c r="K29" s="277"/>
      <c r="L29" s="277"/>
      <c r="M29" s="278"/>
      <c r="O29" s="317" t="s">
        <v>441</v>
      </c>
      <c r="P29" s="277"/>
      <c r="Q29" s="277" t="s">
        <v>455</v>
      </c>
      <c r="R29" s="277"/>
      <c r="S29" s="277"/>
      <c r="T29" s="277"/>
      <c r="U29" s="277"/>
      <c r="V29" s="278"/>
      <c r="X29" s="317" t="s">
        <v>453</v>
      </c>
      <c r="Y29" s="277"/>
      <c r="Z29" s="277"/>
      <c r="AA29" s="277" t="s">
        <v>455</v>
      </c>
      <c r="AB29" s="278"/>
    </row>
    <row r="30" spans="6:35" ht="15.75" thickBot="1" x14ac:dyDescent="0.3">
      <c r="F30" s="279" t="s">
        <v>363</v>
      </c>
      <c r="G30" s="7">
        <v>2</v>
      </c>
      <c r="H30" s="28" t="s">
        <v>178</v>
      </c>
      <c r="I30" s="50" t="s">
        <v>456</v>
      </c>
      <c r="J30" s="50"/>
      <c r="K30" s="50"/>
      <c r="L30" s="50"/>
      <c r="M30" s="58"/>
      <c r="O30" s="279" t="s">
        <v>363</v>
      </c>
      <c r="P30" s="7">
        <v>2</v>
      </c>
      <c r="Q30" s="28" t="s">
        <v>178</v>
      </c>
      <c r="R30" s="50"/>
      <c r="S30" s="50"/>
      <c r="T30" s="50"/>
      <c r="U30" s="50"/>
      <c r="V30" s="58"/>
      <c r="X30" s="279" t="s">
        <v>363</v>
      </c>
      <c r="Y30" s="7">
        <v>1</v>
      </c>
      <c r="Z30" s="28" t="s">
        <v>178</v>
      </c>
      <c r="AA30" s="50"/>
      <c r="AB30" s="58"/>
    </row>
    <row r="31" spans="6:35" x14ac:dyDescent="0.25">
      <c r="F31" s="296" t="s">
        <v>389</v>
      </c>
      <c r="G31" s="296" t="s">
        <v>323</v>
      </c>
      <c r="H31" s="296" t="s">
        <v>362</v>
      </c>
      <c r="I31" s="50"/>
      <c r="J31" s="50"/>
      <c r="K31" s="50"/>
      <c r="L31" s="50"/>
      <c r="M31" s="58"/>
      <c r="O31" s="296" t="s">
        <v>389</v>
      </c>
      <c r="P31" s="296" t="s">
        <v>323</v>
      </c>
      <c r="Q31" s="296" t="s">
        <v>362</v>
      </c>
      <c r="R31" s="50"/>
      <c r="S31" s="50"/>
      <c r="T31" s="50"/>
      <c r="U31" s="50"/>
      <c r="V31" s="58"/>
      <c r="X31" s="296" t="s">
        <v>389</v>
      </c>
      <c r="Y31" s="296" t="s">
        <v>323</v>
      </c>
      <c r="Z31" s="296" t="s">
        <v>362</v>
      </c>
      <c r="AA31" s="50"/>
      <c r="AB31" s="58"/>
    </row>
    <row r="32" spans="6:35" ht="15.75" thickBot="1" x14ac:dyDescent="0.3">
      <c r="F32" s="297" t="s">
        <v>390</v>
      </c>
      <c r="G32" s="266"/>
      <c r="H32" s="281"/>
      <c r="I32" s="50"/>
      <c r="J32" s="50"/>
      <c r="K32" s="50"/>
      <c r="L32" s="50"/>
      <c r="M32" s="58"/>
      <c r="O32" s="297" t="s">
        <v>390</v>
      </c>
      <c r="P32" s="266"/>
      <c r="Q32" s="281"/>
      <c r="R32" s="50"/>
      <c r="S32" s="50"/>
      <c r="T32" s="50"/>
      <c r="U32" s="50"/>
      <c r="V32" s="58"/>
      <c r="X32" s="297" t="s">
        <v>390</v>
      </c>
      <c r="Y32" s="304" t="s">
        <v>15</v>
      </c>
      <c r="Z32" s="281"/>
      <c r="AA32" s="50"/>
      <c r="AB32" s="58"/>
      <c r="AE32" s="279" t="s">
        <v>454</v>
      </c>
      <c r="AF32" s="279"/>
      <c r="AG32" s="279"/>
      <c r="AH32" s="279" t="s">
        <v>432</v>
      </c>
      <c r="AI32" s="315" t="s">
        <v>434</v>
      </c>
    </row>
    <row r="33" spans="6:35" x14ac:dyDescent="0.25">
      <c r="F33" s="296" t="s">
        <v>361</v>
      </c>
      <c r="G33" s="296" t="s">
        <v>323</v>
      </c>
      <c r="H33" s="296" t="s">
        <v>362</v>
      </c>
      <c r="I33" s="296" t="s">
        <v>341</v>
      </c>
      <c r="J33" s="296" t="s">
        <v>364</v>
      </c>
      <c r="K33" s="296" t="s">
        <v>342</v>
      </c>
      <c r="L33" s="145" t="s">
        <v>110</v>
      </c>
      <c r="M33" s="145" t="s">
        <v>150</v>
      </c>
      <c r="N33" t="s">
        <v>659</v>
      </c>
      <c r="O33" s="296" t="s">
        <v>361</v>
      </c>
      <c r="P33" s="296" t="s">
        <v>323</v>
      </c>
      <c r="Q33" s="296" t="s">
        <v>362</v>
      </c>
      <c r="R33" s="296" t="s">
        <v>341</v>
      </c>
      <c r="S33" s="296" t="s">
        <v>364</v>
      </c>
      <c r="T33" s="296" t="s">
        <v>342</v>
      </c>
      <c r="U33" s="145" t="s">
        <v>110</v>
      </c>
      <c r="V33" s="145" t="s">
        <v>150</v>
      </c>
      <c r="X33" s="296" t="s">
        <v>361</v>
      </c>
      <c r="Y33" s="296" t="s">
        <v>323</v>
      </c>
      <c r="Z33" s="296" t="s">
        <v>362</v>
      </c>
      <c r="AA33" s="296"/>
      <c r="AB33" s="145" t="s">
        <v>110</v>
      </c>
      <c r="AC33" s="145" t="s">
        <v>150</v>
      </c>
      <c r="AE33" s="296" t="s">
        <v>430</v>
      </c>
      <c r="AF33" s="296" t="s">
        <v>436</v>
      </c>
      <c r="AG33" s="296" t="s">
        <v>437</v>
      </c>
      <c r="AH33" s="296" t="s">
        <v>431</v>
      </c>
      <c r="AI33" s="316" t="s">
        <v>439</v>
      </c>
    </row>
    <row r="34" spans="6:35" x14ac:dyDescent="0.25">
      <c r="F34" s="279" t="s">
        <v>324</v>
      </c>
      <c r="G34" s="280">
        <f>SUM(G35:G45)</f>
        <v>390</v>
      </c>
      <c r="H34" s="280">
        <f>SUM(H35:H45)</f>
        <v>136.49999999999997</v>
      </c>
      <c r="I34" s="280"/>
      <c r="J34" s="280"/>
      <c r="K34" s="367" t="s">
        <v>641</v>
      </c>
      <c r="L34" s="295" t="s">
        <v>687</v>
      </c>
      <c r="M34" s="289"/>
      <c r="O34" s="279" t="s">
        <v>324</v>
      </c>
      <c r="P34" s="280">
        <f>LOOKUP(P30,AE34:AE38,AF34:AF38)</f>
        <v>450</v>
      </c>
      <c r="Q34" s="280">
        <f>P34*0.7/P30</f>
        <v>157.5</v>
      </c>
      <c r="R34" s="280"/>
      <c r="S34" s="280"/>
      <c r="T34" s="280"/>
      <c r="U34" s="295" t="s">
        <v>388</v>
      </c>
      <c r="V34" s="289"/>
      <c r="X34" s="279" t="s">
        <v>324</v>
      </c>
      <c r="Y34" s="280">
        <f>LOOKUP(Y30,AE43:AE45,AF43:AF45)</f>
        <v>220</v>
      </c>
      <c r="Z34" s="280">
        <f>Y34*0.7/Y30</f>
        <v>154</v>
      </c>
      <c r="AA34" s="320"/>
      <c r="AB34" s="295"/>
      <c r="AC34" s="289"/>
      <c r="AE34" s="281">
        <v>0.5</v>
      </c>
      <c r="AF34" s="281">
        <v>150</v>
      </c>
      <c r="AG34" s="281">
        <v>2</v>
      </c>
      <c r="AH34" s="281">
        <v>2.5</v>
      </c>
      <c r="AI34" s="281">
        <f>AF34*0.7/AE34</f>
        <v>210</v>
      </c>
    </row>
    <row r="35" spans="6:35" x14ac:dyDescent="0.25">
      <c r="F35" s="297" t="s">
        <v>338</v>
      </c>
      <c r="G35" s="266">
        <v>75</v>
      </c>
      <c r="H35" s="281">
        <f>G35*0.7/$G$30</f>
        <v>26.25</v>
      </c>
      <c r="I35" s="281"/>
      <c r="J35" s="266"/>
      <c r="K35" s="284"/>
      <c r="L35" s="290"/>
      <c r="M35" s="290"/>
      <c r="O35" s="297"/>
      <c r="P35" s="266"/>
      <c r="Q35" s="281">
        <f>P35*0.7/$G$30</f>
        <v>0</v>
      </c>
      <c r="R35" s="281"/>
      <c r="S35" s="266"/>
      <c r="T35" s="284"/>
      <c r="U35" s="290"/>
      <c r="V35" s="290"/>
      <c r="X35" s="297" t="s">
        <v>411</v>
      </c>
      <c r="Y35" s="266">
        <v>75</v>
      </c>
      <c r="Z35" s="281">
        <f>Y35*0.7/$G$30</f>
        <v>26.25</v>
      </c>
      <c r="AA35" s="319"/>
      <c r="AB35" s="290"/>
      <c r="AC35" s="290"/>
      <c r="AE35" s="281">
        <v>1</v>
      </c>
      <c r="AF35" s="281">
        <v>250</v>
      </c>
      <c r="AG35" s="281">
        <v>3</v>
      </c>
      <c r="AH35" s="281">
        <v>4</v>
      </c>
      <c r="AI35" s="281">
        <f t="shared" ref="AI35:AI38" si="0">AF35*0.7/AE35</f>
        <v>175</v>
      </c>
    </row>
    <row r="36" spans="6:35" x14ac:dyDescent="0.25">
      <c r="F36" s="297" t="s">
        <v>340</v>
      </c>
      <c r="G36" s="266">
        <v>18.5</v>
      </c>
      <c r="H36" s="281">
        <f t="shared" ref="H36:H45" si="1">G36*0.7/$G$30</f>
        <v>6.4749999999999996</v>
      </c>
      <c r="I36" s="281">
        <v>5.9</v>
      </c>
      <c r="J36" s="266"/>
      <c r="K36" s="284"/>
      <c r="L36" s="290"/>
      <c r="M36" s="290"/>
      <c r="O36" s="297"/>
      <c r="P36" s="266"/>
      <c r="Q36" s="281">
        <f t="shared" ref="Q36:Q45" si="2">P36*0.7/$G$30</f>
        <v>0</v>
      </c>
      <c r="R36" s="281"/>
      <c r="S36" s="266"/>
      <c r="T36" s="284"/>
      <c r="U36" s="290"/>
      <c r="V36" s="290"/>
      <c r="X36" s="297" t="s">
        <v>396</v>
      </c>
      <c r="Y36" s="266">
        <v>22</v>
      </c>
      <c r="Z36" s="281">
        <f t="shared" ref="Z36:Z55" si="3">Y36*0.7/$G$30</f>
        <v>7.6999999999999993</v>
      </c>
      <c r="AA36" s="319"/>
      <c r="AB36" s="290"/>
      <c r="AC36" s="290"/>
      <c r="AE36" s="281">
        <v>1.5</v>
      </c>
      <c r="AF36" s="281">
        <v>370</v>
      </c>
      <c r="AG36" s="281">
        <v>3</v>
      </c>
      <c r="AH36" s="281">
        <v>5</v>
      </c>
      <c r="AI36" s="281">
        <f t="shared" si="0"/>
        <v>172.66666666666666</v>
      </c>
    </row>
    <row r="37" spans="6:35" x14ac:dyDescent="0.25">
      <c r="F37" s="297" t="s">
        <v>383</v>
      </c>
      <c r="G37" s="266"/>
      <c r="H37" s="281">
        <f t="shared" si="1"/>
        <v>0</v>
      </c>
      <c r="I37" s="281"/>
      <c r="J37" s="266"/>
      <c r="K37" s="284"/>
      <c r="L37" s="290"/>
      <c r="M37" s="290"/>
      <c r="O37" s="297"/>
      <c r="P37" s="266"/>
      <c r="Q37" s="281">
        <f t="shared" si="2"/>
        <v>0</v>
      </c>
      <c r="R37" s="281"/>
      <c r="S37" s="266"/>
      <c r="T37" s="284"/>
      <c r="U37" s="290"/>
      <c r="V37" s="290"/>
      <c r="X37" s="297" t="s">
        <v>397</v>
      </c>
      <c r="Y37" s="266">
        <v>195</v>
      </c>
      <c r="Z37" s="281">
        <f t="shared" si="3"/>
        <v>68.25</v>
      </c>
      <c r="AA37" s="319"/>
      <c r="AB37" s="290"/>
      <c r="AC37" s="290"/>
      <c r="AE37" s="281">
        <v>2</v>
      </c>
      <c r="AF37" s="281">
        <v>450</v>
      </c>
      <c r="AG37" s="281">
        <v>4</v>
      </c>
      <c r="AH37" s="281">
        <v>5</v>
      </c>
      <c r="AI37" s="281">
        <f t="shared" si="0"/>
        <v>157.5</v>
      </c>
    </row>
    <row r="38" spans="6:35" x14ac:dyDescent="0.25">
      <c r="F38" s="298" t="s">
        <v>343</v>
      </c>
      <c r="G38" s="265">
        <v>22</v>
      </c>
      <c r="H38" s="282">
        <f t="shared" si="1"/>
        <v>7.6999999999999993</v>
      </c>
      <c r="I38" s="282"/>
      <c r="J38" s="265"/>
      <c r="K38" s="286"/>
      <c r="L38" s="291"/>
      <c r="M38" s="291"/>
      <c r="O38" s="298"/>
      <c r="P38" s="265"/>
      <c r="Q38" s="282">
        <f t="shared" si="2"/>
        <v>0</v>
      </c>
      <c r="R38" s="282"/>
      <c r="S38" s="265"/>
      <c r="T38" s="286"/>
      <c r="U38" s="291"/>
      <c r="V38" s="291"/>
      <c r="X38" s="297" t="s">
        <v>398</v>
      </c>
      <c r="Y38" s="266">
        <v>75</v>
      </c>
      <c r="Z38" s="281">
        <f t="shared" si="3"/>
        <v>26.25</v>
      </c>
      <c r="AA38" s="319"/>
      <c r="AB38" s="291"/>
      <c r="AC38" s="291"/>
      <c r="AE38" s="281">
        <v>3</v>
      </c>
      <c r="AF38" s="281">
        <v>750</v>
      </c>
      <c r="AG38" s="281">
        <v>5</v>
      </c>
      <c r="AH38" s="281">
        <v>8</v>
      </c>
      <c r="AI38" s="281">
        <f t="shared" si="0"/>
        <v>175</v>
      </c>
    </row>
    <row r="39" spans="6:35" x14ac:dyDescent="0.25">
      <c r="F39" s="298" t="s">
        <v>344</v>
      </c>
      <c r="G39" s="265">
        <v>70</v>
      </c>
      <c r="H39" s="282">
        <f t="shared" si="1"/>
        <v>24.5</v>
      </c>
      <c r="I39" s="282"/>
      <c r="J39" s="265"/>
      <c r="K39" s="286"/>
      <c r="L39" s="291"/>
      <c r="M39" s="291"/>
      <c r="O39" s="298"/>
      <c r="P39" s="265"/>
      <c r="Q39" s="282">
        <f t="shared" si="2"/>
        <v>0</v>
      </c>
      <c r="R39" s="282"/>
      <c r="S39" s="265"/>
      <c r="T39" s="286"/>
      <c r="U39" s="291"/>
      <c r="V39" s="291"/>
      <c r="X39" s="297" t="s">
        <v>399</v>
      </c>
      <c r="Y39" s="266">
        <v>22</v>
      </c>
      <c r="Z39" s="281">
        <f t="shared" si="3"/>
        <v>7.6999999999999993</v>
      </c>
      <c r="AA39" s="319"/>
      <c r="AB39" s="291"/>
      <c r="AC39" s="291"/>
    </row>
    <row r="40" spans="6:35" x14ac:dyDescent="0.25">
      <c r="F40" s="297" t="s">
        <v>345</v>
      </c>
      <c r="G40" s="266">
        <v>18.5</v>
      </c>
      <c r="H40" s="281">
        <f t="shared" si="1"/>
        <v>6.4749999999999996</v>
      </c>
      <c r="I40" s="281">
        <v>0.9</v>
      </c>
      <c r="J40" s="266"/>
      <c r="K40" s="284"/>
      <c r="L40" s="290"/>
      <c r="M40" s="290"/>
      <c r="O40" s="297"/>
      <c r="P40" s="266"/>
      <c r="Q40" s="281">
        <f t="shared" si="2"/>
        <v>0</v>
      </c>
      <c r="R40" s="281"/>
      <c r="S40" s="266"/>
      <c r="T40" s="284"/>
      <c r="U40" s="290"/>
      <c r="V40" s="290"/>
      <c r="X40" s="297" t="s">
        <v>400</v>
      </c>
      <c r="Y40" s="266">
        <v>75</v>
      </c>
      <c r="Z40" s="281">
        <f t="shared" si="3"/>
        <v>26.25</v>
      </c>
      <c r="AA40" s="319"/>
      <c r="AB40" s="290"/>
      <c r="AC40" s="290"/>
    </row>
    <row r="41" spans="6:35" ht="15.75" thickBot="1" x14ac:dyDescent="0.3">
      <c r="F41" s="298" t="s">
        <v>343</v>
      </c>
      <c r="G41" s="265">
        <v>30</v>
      </c>
      <c r="H41" s="282">
        <f t="shared" si="1"/>
        <v>10.5</v>
      </c>
      <c r="I41" s="282"/>
      <c r="J41" s="265"/>
      <c r="K41" s="287">
        <f>(28)/709</f>
        <v>3.9492242595204514E-2</v>
      </c>
      <c r="L41" s="291"/>
      <c r="M41" s="291"/>
      <c r="O41" s="298"/>
      <c r="P41" s="265"/>
      <c r="Q41" s="282">
        <f t="shared" si="2"/>
        <v>0</v>
      </c>
      <c r="R41" s="282"/>
      <c r="S41" s="265"/>
      <c r="T41" s="287"/>
      <c r="U41" s="291"/>
      <c r="V41" s="291"/>
      <c r="X41" s="297" t="s">
        <v>413</v>
      </c>
      <c r="Y41" s="266">
        <v>22</v>
      </c>
      <c r="Z41" s="281">
        <f t="shared" si="3"/>
        <v>7.6999999999999993</v>
      </c>
      <c r="AA41" s="319"/>
      <c r="AB41" s="291"/>
      <c r="AC41" s="291"/>
      <c r="AE41" s="279" t="s">
        <v>454</v>
      </c>
      <c r="AF41" s="279"/>
      <c r="AG41" s="279"/>
      <c r="AH41" s="279" t="s">
        <v>432</v>
      </c>
      <c r="AI41" s="315" t="s">
        <v>440</v>
      </c>
    </row>
    <row r="42" spans="6:35" x14ac:dyDescent="0.25">
      <c r="F42" s="298" t="s">
        <v>346</v>
      </c>
      <c r="G42" s="265">
        <v>70</v>
      </c>
      <c r="H42" s="282">
        <f t="shared" si="1"/>
        <v>24.5</v>
      </c>
      <c r="I42" s="282"/>
      <c r="J42" s="265"/>
      <c r="K42" s="286"/>
      <c r="L42" s="291"/>
      <c r="M42" s="291"/>
      <c r="O42" s="298"/>
      <c r="P42" s="265"/>
      <c r="Q42" s="282">
        <f t="shared" si="2"/>
        <v>0</v>
      </c>
      <c r="R42" s="282"/>
      <c r="S42" s="265"/>
      <c r="T42" s="286"/>
      <c r="U42" s="291"/>
      <c r="V42" s="291"/>
      <c r="X42" s="297" t="s">
        <v>401</v>
      </c>
      <c r="Y42" s="266">
        <v>33</v>
      </c>
      <c r="Z42" s="281">
        <f t="shared" si="3"/>
        <v>11.549999999999999</v>
      </c>
      <c r="AA42" s="319"/>
      <c r="AB42" s="291"/>
      <c r="AC42" s="291"/>
      <c r="AE42" s="296" t="s">
        <v>430</v>
      </c>
      <c r="AF42" s="296" t="s">
        <v>436</v>
      </c>
      <c r="AG42" s="296" t="s">
        <v>437</v>
      </c>
      <c r="AH42" s="296" t="s">
        <v>431</v>
      </c>
      <c r="AI42" s="316" t="s">
        <v>439</v>
      </c>
    </row>
    <row r="43" spans="6:35" x14ac:dyDescent="0.25">
      <c r="F43" s="297" t="s">
        <v>347</v>
      </c>
      <c r="G43" s="266"/>
      <c r="H43" s="281">
        <f t="shared" si="1"/>
        <v>0</v>
      </c>
      <c r="I43" s="281"/>
      <c r="J43" s="266"/>
      <c r="K43" s="284"/>
      <c r="L43" s="290"/>
      <c r="M43" s="290"/>
      <c r="O43" s="297"/>
      <c r="P43" s="266"/>
      <c r="Q43" s="281">
        <f t="shared" si="2"/>
        <v>0</v>
      </c>
      <c r="R43" s="281"/>
      <c r="S43" s="266"/>
      <c r="T43" s="284"/>
      <c r="U43" s="290"/>
      <c r="V43" s="290"/>
      <c r="X43" s="297" t="s">
        <v>402</v>
      </c>
      <c r="Y43" s="266">
        <v>3</v>
      </c>
      <c r="Z43" s="281">
        <f t="shared" si="3"/>
        <v>1.0499999999999998</v>
      </c>
      <c r="AA43" s="319"/>
      <c r="AB43" s="290"/>
      <c r="AC43" s="290"/>
      <c r="AE43" s="281">
        <v>1</v>
      </c>
      <c r="AF43" s="281">
        <v>220</v>
      </c>
      <c r="AG43" s="281">
        <v>2</v>
      </c>
      <c r="AH43" s="281">
        <v>2.5</v>
      </c>
      <c r="AI43" s="281">
        <f>AF43*0.7/AE43</f>
        <v>154</v>
      </c>
    </row>
    <row r="44" spans="6:35" x14ac:dyDescent="0.25">
      <c r="F44" s="297" t="s">
        <v>348</v>
      </c>
      <c r="G44" s="266">
        <v>75</v>
      </c>
      <c r="H44" s="281">
        <f t="shared" si="1"/>
        <v>26.25</v>
      </c>
      <c r="I44" s="281">
        <v>2.9</v>
      </c>
      <c r="J44" s="266"/>
      <c r="K44" s="284">
        <v>6.1</v>
      </c>
      <c r="L44" s="290"/>
      <c r="M44" s="290"/>
      <c r="O44" s="297"/>
      <c r="P44" s="266"/>
      <c r="Q44" s="281">
        <f t="shared" si="2"/>
        <v>0</v>
      </c>
      <c r="R44" s="281"/>
      <c r="S44" s="266"/>
      <c r="T44" s="284"/>
      <c r="U44" s="290"/>
      <c r="V44" s="290"/>
      <c r="X44" s="297" t="s">
        <v>403</v>
      </c>
      <c r="Y44" s="266">
        <v>75</v>
      </c>
      <c r="Z44" s="281">
        <f t="shared" si="3"/>
        <v>26.25</v>
      </c>
      <c r="AA44" s="319"/>
      <c r="AB44" s="290"/>
      <c r="AC44" s="290"/>
      <c r="AE44" s="281">
        <v>2</v>
      </c>
      <c r="AF44" s="281">
        <v>260</v>
      </c>
      <c r="AG44" s="281">
        <v>3</v>
      </c>
      <c r="AH44" s="281">
        <v>4</v>
      </c>
      <c r="AI44" s="281">
        <f t="shared" ref="AI44:AI45" si="4">AF44*0.7/AE44</f>
        <v>91</v>
      </c>
    </row>
    <row r="45" spans="6:35" ht="15.75" thickBot="1" x14ac:dyDescent="0.3">
      <c r="F45" s="297" t="s">
        <v>349</v>
      </c>
      <c r="G45" s="266">
        <v>11</v>
      </c>
      <c r="H45" s="281">
        <f t="shared" si="1"/>
        <v>3.8499999999999996</v>
      </c>
      <c r="I45" s="281"/>
      <c r="J45" s="266"/>
      <c r="K45" s="284" t="s">
        <v>15</v>
      </c>
      <c r="L45" s="290"/>
      <c r="M45" s="290"/>
      <c r="O45" s="297"/>
      <c r="P45" s="266"/>
      <c r="Q45" s="281">
        <f t="shared" si="2"/>
        <v>0</v>
      </c>
      <c r="R45" s="281"/>
      <c r="S45" s="266"/>
      <c r="T45" s="284"/>
      <c r="U45" s="290"/>
      <c r="V45" s="290"/>
      <c r="X45" s="297" t="s">
        <v>404</v>
      </c>
      <c r="Y45" s="266">
        <v>84</v>
      </c>
      <c r="Z45" s="281">
        <f t="shared" si="3"/>
        <v>29.4</v>
      </c>
      <c r="AA45" s="319"/>
      <c r="AB45" s="290"/>
      <c r="AC45" s="290"/>
      <c r="AE45" s="281">
        <v>3</v>
      </c>
      <c r="AF45" s="281">
        <v>380</v>
      </c>
      <c r="AG45" s="281">
        <v>4.5</v>
      </c>
      <c r="AH45" s="281">
        <v>5</v>
      </c>
      <c r="AI45" s="281">
        <f t="shared" si="4"/>
        <v>88.666666666666671</v>
      </c>
    </row>
    <row r="46" spans="6:35" x14ac:dyDescent="0.25">
      <c r="F46" s="296" t="s">
        <v>386</v>
      </c>
      <c r="G46" s="296"/>
      <c r="H46" s="296"/>
      <c r="I46" s="296"/>
      <c r="J46" s="296"/>
      <c r="K46" s="296"/>
      <c r="L46" s="289"/>
      <c r="M46" s="289"/>
      <c r="O46" s="296" t="s">
        <v>386</v>
      </c>
      <c r="P46" s="296"/>
      <c r="Q46" s="296"/>
      <c r="R46" s="296"/>
      <c r="S46" s="296"/>
      <c r="T46" s="296"/>
      <c r="U46" s="289"/>
      <c r="V46" s="289"/>
      <c r="X46" s="297" t="s">
        <v>402</v>
      </c>
      <c r="Y46" s="266">
        <v>4</v>
      </c>
      <c r="Z46" s="281">
        <f t="shared" si="3"/>
        <v>1.4</v>
      </c>
      <c r="AA46" s="319"/>
      <c r="AB46" s="289"/>
      <c r="AC46" s="289"/>
      <c r="AE46" s="281"/>
      <c r="AF46" s="281"/>
      <c r="AG46" s="281"/>
      <c r="AH46" s="281"/>
      <c r="AI46" s="281"/>
    </row>
    <row r="47" spans="6:35" x14ac:dyDescent="0.25">
      <c r="F47" s="297" t="s">
        <v>387</v>
      </c>
      <c r="G47" s="305" t="s">
        <v>15</v>
      </c>
      <c r="H47" s="284"/>
      <c r="I47" s="284"/>
      <c r="J47" s="283"/>
      <c r="K47" s="284"/>
      <c r="L47" s="290"/>
      <c r="M47" s="290"/>
      <c r="O47" s="297" t="s">
        <v>387</v>
      </c>
      <c r="P47" s="305" t="s">
        <v>15</v>
      </c>
      <c r="Q47" s="284"/>
      <c r="R47" s="284"/>
      <c r="S47" s="283"/>
      <c r="T47" s="284"/>
      <c r="U47" s="290"/>
      <c r="V47" s="290"/>
      <c r="X47" s="297" t="s">
        <v>405</v>
      </c>
      <c r="Y47" s="266">
        <f>7.5+7.5</f>
        <v>15</v>
      </c>
      <c r="Z47" s="281">
        <f t="shared" si="3"/>
        <v>5.25</v>
      </c>
      <c r="AA47" s="319"/>
      <c r="AB47" s="290"/>
      <c r="AC47" s="290"/>
      <c r="AE47" s="281"/>
      <c r="AF47" s="281"/>
      <c r="AG47" s="281"/>
      <c r="AH47" s="281"/>
      <c r="AI47" s="281"/>
    </row>
    <row r="48" spans="6:35" ht="15.75" thickBot="1" x14ac:dyDescent="0.3">
      <c r="F48" s="297"/>
      <c r="G48" s="283"/>
      <c r="H48" s="284"/>
      <c r="I48" s="284"/>
      <c r="J48" s="283"/>
      <c r="K48" s="284"/>
      <c r="L48" s="290"/>
      <c r="M48" s="290"/>
      <c r="O48" s="297"/>
      <c r="P48" s="283"/>
      <c r="Q48" s="284"/>
      <c r="R48" s="284"/>
      <c r="S48" s="283"/>
      <c r="T48" s="284"/>
      <c r="U48" s="290"/>
      <c r="V48" s="290"/>
      <c r="X48" s="297" t="s">
        <v>402</v>
      </c>
      <c r="Y48" s="266">
        <v>4</v>
      </c>
      <c r="Z48" s="281">
        <f t="shared" si="3"/>
        <v>1.4</v>
      </c>
      <c r="AA48" s="319"/>
      <c r="AB48" s="290"/>
      <c r="AC48" s="290"/>
    </row>
    <row r="49" spans="5:29" x14ac:dyDescent="0.25">
      <c r="F49" s="296" t="s">
        <v>384</v>
      </c>
      <c r="G49" s="296" t="s">
        <v>4</v>
      </c>
      <c r="H49" s="296"/>
      <c r="I49" s="296"/>
      <c r="J49" s="296"/>
      <c r="K49" s="296"/>
      <c r="L49" s="289"/>
      <c r="M49" s="289"/>
      <c r="O49" s="296" t="s">
        <v>384</v>
      </c>
      <c r="P49" s="296" t="s">
        <v>4</v>
      </c>
      <c r="Q49" s="296"/>
      <c r="R49" s="296"/>
      <c r="S49" s="296"/>
      <c r="T49" s="296"/>
      <c r="U49" s="289"/>
      <c r="V49" s="289"/>
      <c r="X49" s="297" t="s">
        <v>403</v>
      </c>
      <c r="Y49" s="266">
        <v>11</v>
      </c>
      <c r="Z49" s="281">
        <f t="shared" si="3"/>
        <v>3.8499999999999996</v>
      </c>
      <c r="AA49" s="319"/>
      <c r="AB49" s="289"/>
      <c r="AC49" s="289"/>
    </row>
    <row r="50" spans="5:29" ht="18" customHeight="1" x14ac:dyDescent="0.25">
      <c r="F50" s="298" t="s">
        <v>366</v>
      </c>
      <c r="G50" s="265" t="s">
        <v>325</v>
      </c>
      <c r="H50" s="265">
        <v>2</v>
      </c>
      <c r="I50" s="265"/>
      <c r="J50" s="265"/>
      <c r="K50" s="288"/>
      <c r="L50" s="529" t="s">
        <v>374</v>
      </c>
      <c r="M50" s="293" t="s">
        <v>375</v>
      </c>
      <c r="N50" t="s">
        <v>672</v>
      </c>
      <c r="O50" s="298" t="s">
        <v>366</v>
      </c>
      <c r="P50" s="265" t="s">
        <v>325</v>
      </c>
      <c r="Q50" s="265">
        <v>2</v>
      </c>
      <c r="R50" s="265"/>
      <c r="S50" s="265"/>
      <c r="T50" s="288"/>
      <c r="U50" s="529" t="s">
        <v>374</v>
      </c>
      <c r="V50" s="293" t="s">
        <v>375</v>
      </c>
      <c r="X50" s="297" t="s">
        <v>406</v>
      </c>
      <c r="Y50" s="266">
        <f>4+4+4</f>
        <v>12</v>
      </c>
      <c r="Z50" s="281">
        <f t="shared" si="3"/>
        <v>4.1999999999999993</v>
      </c>
      <c r="AA50" s="319"/>
      <c r="AB50" s="529"/>
      <c r="AC50" s="293"/>
    </row>
    <row r="51" spans="5:29" ht="15.75" thickBot="1" x14ac:dyDescent="0.3">
      <c r="F51" s="303" t="s">
        <v>367</v>
      </c>
      <c r="G51" s="265" t="s">
        <v>325</v>
      </c>
      <c r="H51" s="265">
        <v>2</v>
      </c>
      <c r="I51" s="265"/>
      <c r="J51" s="265"/>
      <c r="K51" s="285"/>
      <c r="L51" s="529"/>
      <c r="M51" s="293" t="s">
        <v>382</v>
      </c>
      <c r="O51" s="303" t="s">
        <v>367</v>
      </c>
      <c r="P51" s="265" t="s">
        <v>325</v>
      </c>
      <c r="Q51" s="265">
        <v>2</v>
      </c>
      <c r="R51" s="265"/>
      <c r="S51" s="265"/>
      <c r="T51" s="285"/>
      <c r="U51" s="529"/>
      <c r="V51" s="293" t="s">
        <v>382</v>
      </c>
      <c r="X51" s="297" t="s">
        <v>412</v>
      </c>
      <c r="Y51" s="266">
        <v>15</v>
      </c>
      <c r="Z51" s="281">
        <f t="shared" si="3"/>
        <v>5.25</v>
      </c>
      <c r="AA51" s="319"/>
      <c r="AB51" s="529"/>
      <c r="AC51" s="293"/>
    </row>
    <row r="52" spans="5:29" x14ac:dyDescent="0.25">
      <c r="F52" s="296" t="s">
        <v>385</v>
      </c>
      <c r="G52" s="296" t="s">
        <v>4</v>
      </c>
      <c r="H52" s="296"/>
      <c r="I52" s="296" t="s">
        <v>392</v>
      </c>
      <c r="J52" s="296"/>
      <c r="K52" s="296"/>
      <c r="L52" s="289"/>
      <c r="M52" s="289"/>
      <c r="O52" s="296" t="s">
        <v>385</v>
      </c>
      <c r="P52" s="296" t="s">
        <v>4</v>
      </c>
      <c r="Q52" s="296"/>
      <c r="R52" s="296" t="s">
        <v>392</v>
      </c>
      <c r="S52" s="296"/>
      <c r="T52" s="296"/>
      <c r="U52" s="289"/>
      <c r="V52" s="289"/>
      <c r="X52" s="297" t="s">
        <v>407</v>
      </c>
      <c r="Y52" s="266">
        <v>15</v>
      </c>
      <c r="Z52" s="281">
        <f t="shared" si="3"/>
        <v>5.25</v>
      </c>
      <c r="AA52" s="319"/>
      <c r="AB52" s="289"/>
      <c r="AC52" s="289"/>
    </row>
    <row r="53" spans="5:29" x14ac:dyDescent="0.25">
      <c r="F53" s="298" t="s">
        <v>368</v>
      </c>
      <c r="G53" s="265" t="s">
        <v>373</v>
      </c>
      <c r="H53" s="265">
        <f>10</f>
        <v>10</v>
      </c>
      <c r="I53" s="265">
        <f>H53*1.5*0.5</f>
        <v>7.5</v>
      </c>
      <c r="J53" s="265"/>
      <c r="K53" s="285"/>
      <c r="L53" s="531" t="s">
        <v>687</v>
      </c>
      <c r="M53" s="294" t="s">
        <v>381</v>
      </c>
      <c r="N53" t="s">
        <v>660</v>
      </c>
      <c r="O53" s="298" t="s">
        <v>368</v>
      </c>
      <c r="P53" s="265" t="s">
        <v>373</v>
      </c>
      <c r="Q53" s="265">
        <f>10</f>
        <v>10</v>
      </c>
      <c r="R53" s="265">
        <f>Q53*1.5*0.5</f>
        <v>7.5</v>
      </c>
      <c r="S53" s="265"/>
      <c r="T53" s="285"/>
      <c r="U53" s="531" t="s">
        <v>376</v>
      </c>
      <c r="V53" s="294" t="s">
        <v>381</v>
      </c>
      <c r="X53" s="297" t="s">
        <v>408</v>
      </c>
      <c r="Y53" s="266">
        <v>7</v>
      </c>
      <c r="Z53" s="281">
        <f t="shared" si="3"/>
        <v>2.4499999999999997</v>
      </c>
      <c r="AA53" s="319"/>
      <c r="AB53" s="531"/>
      <c r="AC53" s="294"/>
    </row>
    <row r="54" spans="5:29" x14ac:dyDescent="0.25">
      <c r="F54" s="298" t="s">
        <v>369</v>
      </c>
      <c r="G54" s="265" t="s">
        <v>373</v>
      </c>
      <c r="H54" s="265">
        <v>6</v>
      </c>
      <c r="I54" s="265"/>
      <c r="J54" s="265"/>
      <c r="K54" s="285"/>
      <c r="L54" s="531"/>
      <c r="M54" s="291" t="s">
        <v>377</v>
      </c>
      <c r="N54" t="s">
        <v>664</v>
      </c>
      <c r="O54" s="298" t="s">
        <v>369</v>
      </c>
      <c r="P54" s="265" t="s">
        <v>373</v>
      </c>
      <c r="Q54" s="265">
        <v>6</v>
      </c>
      <c r="R54" s="265"/>
      <c r="S54" s="265"/>
      <c r="T54" s="285"/>
      <c r="U54" s="531"/>
      <c r="V54" s="291" t="s">
        <v>377</v>
      </c>
      <c r="X54" s="297" t="s">
        <v>409</v>
      </c>
      <c r="Y54" s="266">
        <v>1</v>
      </c>
      <c r="Z54" s="281">
        <f t="shared" si="3"/>
        <v>0.35</v>
      </c>
      <c r="AA54" s="319"/>
      <c r="AB54" s="531"/>
      <c r="AC54" s="291"/>
    </row>
    <row r="55" spans="5:29" x14ac:dyDescent="0.25">
      <c r="F55" s="298" t="s">
        <v>370</v>
      </c>
      <c r="G55" s="265" t="s">
        <v>373</v>
      </c>
      <c r="H55" s="265">
        <v>4</v>
      </c>
      <c r="I55" s="265"/>
      <c r="J55" s="265"/>
      <c r="K55" s="285"/>
      <c r="L55" s="531"/>
      <c r="M55" s="291" t="s">
        <v>378</v>
      </c>
      <c r="N55" t="s">
        <v>662</v>
      </c>
      <c r="O55" s="298" t="s">
        <v>370</v>
      </c>
      <c r="P55" s="265" t="s">
        <v>373</v>
      </c>
      <c r="Q55" s="265">
        <v>4</v>
      </c>
      <c r="R55" s="265"/>
      <c r="S55" s="265"/>
      <c r="T55" s="285"/>
      <c r="U55" s="531"/>
      <c r="V55" s="291" t="s">
        <v>378</v>
      </c>
      <c r="X55" s="297" t="s">
        <v>410</v>
      </c>
      <c r="Y55" s="266">
        <v>15</v>
      </c>
      <c r="Z55" s="281">
        <f t="shared" si="3"/>
        <v>5.25</v>
      </c>
      <c r="AA55" s="319"/>
      <c r="AB55" s="531"/>
      <c r="AC55" s="291"/>
    </row>
    <row r="56" spans="5:29" x14ac:dyDescent="0.25">
      <c r="F56" s="298" t="s">
        <v>371</v>
      </c>
      <c r="G56" s="265" t="s">
        <v>373</v>
      </c>
      <c r="H56" s="265">
        <v>8.6</v>
      </c>
      <c r="I56" s="265"/>
      <c r="J56" s="265"/>
      <c r="K56" s="285"/>
      <c r="L56" s="531"/>
      <c r="M56" s="291" t="s">
        <v>379</v>
      </c>
      <c r="N56" t="s">
        <v>661</v>
      </c>
      <c r="O56" s="298" t="s">
        <v>371</v>
      </c>
      <c r="P56" s="265" t="s">
        <v>373</v>
      </c>
      <c r="Q56" s="265">
        <v>8.6</v>
      </c>
      <c r="R56" s="265"/>
      <c r="S56" s="265"/>
      <c r="T56" s="285"/>
      <c r="U56" s="531"/>
      <c r="V56" s="291" t="s">
        <v>379</v>
      </c>
      <c r="X56" s="298"/>
      <c r="Y56" s="265"/>
      <c r="Z56" s="265"/>
      <c r="AA56" s="252"/>
      <c r="AB56" s="531"/>
      <c r="AC56" s="291"/>
    </row>
    <row r="57" spans="5:29" ht="15.75" thickBot="1" x14ac:dyDescent="0.3">
      <c r="F57" s="299" t="s">
        <v>372</v>
      </c>
      <c r="G57" s="300" t="s">
        <v>373</v>
      </c>
      <c r="H57" s="300">
        <v>1.9</v>
      </c>
      <c r="I57" s="300"/>
      <c r="J57" s="300"/>
      <c r="K57" s="301"/>
      <c r="L57" s="532"/>
      <c r="M57" s="292" t="s">
        <v>380</v>
      </c>
      <c r="N57" t="s">
        <v>663</v>
      </c>
      <c r="O57" s="299" t="s">
        <v>372</v>
      </c>
      <c r="P57" s="300" t="s">
        <v>373</v>
      </c>
      <c r="Q57" s="300">
        <v>1.9</v>
      </c>
      <c r="R57" s="300"/>
      <c r="S57" s="300"/>
      <c r="T57" s="301"/>
      <c r="U57" s="532"/>
      <c r="V57" s="292" t="s">
        <v>380</v>
      </c>
      <c r="X57" s="299"/>
      <c r="Y57" s="300"/>
      <c r="Z57" s="300"/>
      <c r="AA57" s="321"/>
      <c r="AB57" s="532"/>
      <c r="AC57" s="292"/>
    </row>
    <row r="58" spans="5:29" x14ac:dyDescent="0.25">
      <c r="E58">
        <v>2E-3</v>
      </c>
      <c r="F58" t="s">
        <v>665</v>
      </c>
    </row>
    <row r="59" spans="5:29" x14ac:dyDescent="0.25">
      <c r="E59">
        <v>0.3</v>
      </c>
      <c r="F59" t="s">
        <v>666</v>
      </c>
    </row>
    <row r="62" spans="5:29" ht="16.5" thickBot="1" x14ac:dyDescent="0.3">
      <c r="F62" s="527" t="s">
        <v>395</v>
      </c>
      <c r="G62" s="528"/>
    </row>
    <row r="63" spans="5:29" ht="15.75" thickBot="1" x14ac:dyDescent="0.3">
      <c r="F63" s="276" t="s">
        <v>339</v>
      </c>
      <c r="G63" s="277"/>
      <c r="H63" s="277"/>
      <c r="I63" s="277"/>
      <c r="J63" s="277"/>
      <c r="K63" s="277"/>
      <c r="L63" s="277"/>
      <c r="M63" s="278"/>
    </row>
    <row r="64" spans="5:29" ht="15.75" thickBot="1" x14ac:dyDescent="0.3">
      <c r="F64" s="279" t="s">
        <v>363</v>
      </c>
      <c r="G64" s="7">
        <v>2</v>
      </c>
      <c r="H64" s="28" t="s">
        <v>178</v>
      </c>
      <c r="I64" s="50"/>
      <c r="J64" s="50"/>
      <c r="K64" s="50"/>
      <c r="L64" s="50"/>
      <c r="M64" s="58"/>
    </row>
    <row r="65" spans="6:13" x14ac:dyDescent="0.25">
      <c r="F65" s="296" t="s">
        <v>389</v>
      </c>
      <c r="G65" s="296" t="s">
        <v>323</v>
      </c>
      <c r="H65" s="296" t="s">
        <v>362</v>
      </c>
      <c r="I65" s="50"/>
      <c r="J65" s="50"/>
      <c r="K65" s="50"/>
      <c r="L65" s="50"/>
      <c r="M65" s="58"/>
    </row>
    <row r="66" spans="6:13" ht="15.75" thickBot="1" x14ac:dyDescent="0.3">
      <c r="F66" s="297" t="s">
        <v>390</v>
      </c>
      <c r="G66" s="266"/>
      <c r="H66" s="281"/>
      <c r="I66" s="50"/>
      <c r="J66" s="50"/>
      <c r="K66" s="50"/>
      <c r="L66" s="50"/>
      <c r="M66" s="58"/>
    </row>
    <row r="67" spans="6:13" x14ac:dyDescent="0.25">
      <c r="F67" s="296" t="s">
        <v>361</v>
      </c>
      <c r="G67" s="296" t="s">
        <v>323</v>
      </c>
      <c r="H67" s="296" t="s">
        <v>362</v>
      </c>
      <c r="I67" s="296" t="s">
        <v>341</v>
      </c>
      <c r="J67" s="296" t="s">
        <v>364</v>
      </c>
      <c r="K67" s="296" t="s">
        <v>342</v>
      </c>
      <c r="L67" s="145" t="s">
        <v>110</v>
      </c>
      <c r="M67" s="145" t="s">
        <v>150</v>
      </c>
    </row>
    <row r="68" spans="6:13" x14ac:dyDescent="0.25">
      <c r="F68" s="279" t="s">
        <v>324</v>
      </c>
      <c r="G68" s="280">
        <f>SUM(G69:G79)</f>
        <v>390</v>
      </c>
      <c r="H68" s="280">
        <f>SUM(H69:H79)</f>
        <v>136.49999999999997</v>
      </c>
      <c r="I68" s="280"/>
      <c r="J68" s="280"/>
      <c r="K68" s="280" t="s">
        <v>640</v>
      </c>
      <c r="L68" s="295" t="s">
        <v>388</v>
      </c>
      <c r="M68" s="289"/>
    </row>
    <row r="69" spans="6:13" x14ac:dyDescent="0.25">
      <c r="F69" s="297" t="s">
        <v>338</v>
      </c>
      <c r="G69" s="266">
        <v>75</v>
      </c>
      <c r="H69" s="281">
        <f>G69*0.7/$G$30</f>
        <v>26.25</v>
      </c>
      <c r="I69" s="281"/>
      <c r="J69" s="266"/>
      <c r="K69" s="284"/>
      <c r="L69" s="290"/>
      <c r="M69" s="290"/>
    </row>
    <row r="70" spans="6:13" x14ac:dyDescent="0.25">
      <c r="F70" s="297" t="s">
        <v>340</v>
      </c>
      <c r="G70" s="266">
        <v>18.5</v>
      </c>
      <c r="H70" s="281">
        <f t="shared" ref="H70:H79" si="5">G70*0.7/$G$30</f>
        <v>6.4749999999999996</v>
      </c>
      <c r="I70" s="281"/>
      <c r="J70" s="266"/>
      <c r="K70" s="284"/>
      <c r="L70" s="290"/>
      <c r="M70" s="290"/>
    </row>
    <row r="71" spans="6:13" x14ac:dyDescent="0.25">
      <c r="F71" s="297" t="s">
        <v>383</v>
      </c>
      <c r="G71" s="266"/>
      <c r="H71" s="281">
        <f t="shared" si="5"/>
        <v>0</v>
      </c>
      <c r="I71" s="281"/>
      <c r="J71" s="266"/>
      <c r="K71" s="284"/>
      <c r="L71" s="290"/>
      <c r="M71" s="290"/>
    </row>
    <row r="72" spans="6:13" x14ac:dyDescent="0.25">
      <c r="F72" s="298" t="s">
        <v>343</v>
      </c>
      <c r="G72" s="265">
        <v>22</v>
      </c>
      <c r="H72" s="282">
        <f t="shared" si="5"/>
        <v>7.6999999999999993</v>
      </c>
      <c r="I72" s="282"/>
      <c r="J72" s="265"/>
      <c r="K72" s="286"/>
      <c r="L72" s="291"/>
      <c r="M72" s="291"/>
    </row>
    <row r="73" spans="6:13" x14ac:dyDescent="0.25">
      <c r="F73" s="298" t="s">
        <v>344</v>
      </c>
      <c r="G73" s="265">
        <v>70</v>
      </c>
      <c r="H73" s="282">
        <f t="shared" si="5"/>
        <v>24.5</v>
      </c>
      <c r="I73" s="282"/>
      <c r="J73" s="265"/>
      <c r="K73" s="286"/>
      <c r="L73" s="291"/>
      <c r="M73" s="291"/>
    </row>
    <row r="74" spans="6:13" x14ac:dyDescent="0.25">
      <c r="F74" s="297" t="s">
        <v>345</v>
      </c>
      <c r="G74" s="266">
        <v>18.5</v>
      </c>
      <c r="H74" s="281">
        <f t="shared" si="5"/>
        <v>6.4749999999999996</v>
      </c>
      <c r="I74" s="281"/>
      <c r="J74" s="266"/>
      <c r="K74" s="284"/>
      <c r="L74" s="290"/>
      <c r="M74" s="290"/>
    </row>
    <row r="75" spans="6:13" x14ac:dyDescent="0.25">
      <c r="F75" s="298" t="s">
        <v>343</v>
      </c>
      <c r="G75" s="265">
        <v>30</v>
      </c>
      <c r="H75" s="282">
        <f t="shared" si="5"/>
        <v>10.5</v>
      </c>
      <c r="I75" s="282"/>
      <c r="J75" s="265"/>
      <c r="K75" s="287"/>
      <c r="L75" s="291"/>
      <c r="M75" s="291"/>
    </row>
    <row r="76" spans="6:13" x14ac:dyDescent="0.25">
      <c r="F76" s="298" t="s">
        <v>346</v>
      </c>
      <c r="G76" s="265">
        <v>70</v>
      </c>
      <c r="H76" s="282">
        <f t="shared" si="5"/>
        <v>24.5</v>
      </c>
      <c r="I76" s="282"/>
      <c r="J76" s="265"/>
      <c r="K76" s="286"/>
      <c r="L76" s="291"/>
      <c r="M76" s="291"/>
    </row>
    <row r="77" spans="6:13" x14ac:dyDescent="0.25">
      <c r="F77" s="297" t="s">
        <v>347</v>
      </c>
      <c r="G77" s="266"/>
      <c r="H77" s="281">
        <f t="shared" si="5"/>
        <v>0</v>
      </c>
      <c r="I77" s="281"/>
      <c r="J77" s="266"/>
      <c r="K77" s="284"/>
      <c r="L77" s="290"/>
      <c r="M77" s="290"/>
    </row>
    <row r="78" spans="6:13" x14ac:dyDescent="0.25">
      <c r="F78" s="297" t="s">
        <v>348</v>
      </c>
      <c r="G78" s="266">
        <v>75</v>
      </c>
      <c r="H78" s="281">
        <f t="shared" si="5"/>
        <v>26.25</v>
      </c>
      <c r="I78" s="281"/>
      <c r="J78" s="266"/>
      <c r="K78" s="284"/>
      <c r="L78" s="290"/>
      <c r="M78" s="290"/>
    </row>
    <row r="79" spans="6:13" ht="15.75" thickBot="1" x14ac:dyDescent="0.3">
      <c r="F79" s="297" t="s">
        <v>349</v>
      </c>
      <c r="G79" s="266">
        <v>11</v>
      </c>
      <c r="H79" s="281">
        <f t="shared" si="5"/>
        <v>3.8499999999999996</v>
      </c>
      <c r="I79" s="281"/>
      <c r="J79" s="266"/>
      <c r="K79" s="284"/>
      <c r="L79" s="290"/>
      <c r="M79" s="290"/>
    </row>
    <row r="80" spans="6:13" x14ac:dyDescent="0.25">
      <c r="F80" s="296" t="s">
        <v>386</v>
      </c>
      <c r="G80" s="296"/>
      <c r="H80" s="296"/>
      <c r="I80" s="296"/>
      <c r="J80" s="296"/>
      <c r="K80" s="296"/>
      <c r="L80" s="289"/>
      <c r="M80" s="289"/>
    </row>
    <row r="81" spans="1:22" x14ac:dyDescent="0.25">
      <c r="F81" s="297" t="s">
        <v>387</v>
      </c>
      <c r="G81" s="283"/>
      <c r="H81" s="284"/>
      <c r="I81" s="284"/>
      <c r="J81" s="283"/>
      <c r="K81" s="284"/>
      <c r="L81" s="290"/>
      <c r="M81" s="290"/>
    </row>
    <row r="82" spans="1:22" ht="15.75" thickBot="1" x14ac:dyDescent="0.3">
      <c r="F82" s="297"/>
      <c r="G82" s="283"/>
      <c r="H82" s="284"/>
      <c r="I82" s="284"/>
      <c r="J82" s="283"/>
      <c r="K82" s="284"/>
      <c r="L82" s="290"/>
      <c r="M82" s="290"/>
    </row>
    <row r="83" spans="1:22" x14ac:dyDescent="0.25">
      <c r="F83" s="296" t="s">
        <v>384</v>
      </c>
      <c r="G83" s="296" t="s">
        <v>4</v>
      </c>
      <c r="H83" s="296"/>
      <c r="I83" s="296"/>
      <c r="J83" s="296"/>
      <c r="K83" s="296"/>
      <c r="L83" s="289"/>
      <c r="M83" s="289"/>
    </row>
    <row r="84" spans="1:22" x14ac:dyDescent="0.25">
      <c r="F84" s="298" t="s">
        <v>366</v>
      </c>
      <c r="G84" s="265" t="s">
        <v>325</v>
      </c>
      <c r="H84" s="265">
        <v>2</v>
      </c>
      <c r="I84" s="265"/>
      <c r="J84" s="265"/>
      <c r="K84" s="288"/>
      <c r="L84" s="529" t="s">
        <v>374</v>
      </c>
      <c r="M84" s="293" t="s">
        <v>375</v>
      </c>
    </row>
    <row r="85" spans="1:22" ht="15.75" thickBot="1" x14ac:dyDescent="0.3">
      <c r="F85" s="303" t="s">
        <v>367</v>
      </c>
      <c r="G85" s="265" t="s">
        <v>325</v>
      </c>
      <c r="H85" s="265">
        <v>2</v>
      </c>
      <c r="I85" s="265"/>
      <c r="J85" s="265"/>
      <c r="K85" s="285"/>
      <c r="L85" s="529"/>
      <c r="M85" s="293" t="s">
        <v>382</v>
      </c>
    </row>
    <row r="86" spans="1:22" x14ac:dyDescent="0.25">
      <c r="F86" s="296" t="s">
        <v>385</v>
      </c>
      <c r="G86" s="296" t="s">
        <v>4</v>
      </c>
      <c r="H86" s="296"/>
      <c r="I86" s="296" t="s">
        <v>392</v>
      </c>
      <c r="J86" s="296"/>
      <c r="K86" s="296"/>
      <c r="L86" s="289"/>
      <c r="M86" s="289"/>
    </row>
    <row r="87" spans="1:22" x14ac:dyDescent="0.25">
      <c r="F87" s="298" t="s">
        <v>368</v>
      </c>
      <c r="G87" s="265" t="s">
        <v>373</v>
      </c>
      <c r="H87" s="265">
        <f>10</f>
        <v>10</v>
      </c>
      <c r="I87" s="265">
        <f>H87*1.5*0.5</f>
        <v>7.5</v>
      </c>
      <c r="J87" s="265"/>
      <c r="K87" s="285"/>
      <c r="L87" s="531" t="s">
        <v>376</v>
      </c>
      <c r="M87" s="294" t="s">
        <v>381</v>
      </c>
    </row>
    <row r="88" spans="1:22" x14ac:dyDescent="0.25">
      <c r="F88" s="298" t="s">
        <v>369</v>
      </c>
      <c r="G88" s="265" t="s">
        <v>373</v>
      </c>
      <c r="H88" s="265">
        <v>6</v>
      </c>
      <c r="I88" s="265"/>
      <c r="J88" s="265"/>
      <c r="K88" s="285"/>
      <c r="L88" s="531"/>
      <c r="M88" s="291" t="s">
        <v>377</v>
      </c>
    </row>
    <row r="89" spans="1:22" x14ac:dyDescent="0.25">
      <c r="F89" s="298" t="s">
        <v>370</v>
      </c>
      <c r="G89" s="265" t="s">
        <v>373</v>
      </c>
      <c r="H89" s="265">
        <v>4</v>
      </c>
      <c r="I89" s="265"/>
      <c r="J89" s="265"/>
      <c r="K89" s="285"/>
      <c r="L89" s="531"/>
      <c r="M89" s="291" t="s">
        <v>378</v>
      </c>
    </row>
    <row r="90" spans="1:22" x14ac:dyDescent="0.25">
      <c r="F90" s="298" t="s">
        <v>371</v>
      </c>
      <c r="G90" s="265" t="s">
        <v>373</v>
      </c>
      <c r="H90" s="265">
        <v>8.6</v>
      </c>
      <c r="I90" s="265"/>
      <c r="J90" s="265"/>
      <c r="K90" s="285"/>
      <c r="L90" s="531"/>
      <c r="M90" s="291" t="s">
        <v>379</v>
      </c>
    </row>
    <row r="91" spans="1:22" ht="15.75" thickBot="1" x14ac:dyDescent="0.3">
      <c r="F91" s="299" t="s">
        <v>372</v>
      </c>
      <c r="G91" s="300" t="s">
        <v>373</v>
      </c>
      <c r="H91" s="300">
        <v>1.9</v>
      </c>
      <c r="I91" s="300"/>
      <c r="J91" s="300"/>
      <c r="K91" s="301"/>
      <c r="L91" s="532"/>
      <c r="M91" s="292" t="s">
        <v>380</v>
      </c>
    </row>
    <row r="94" spans="1:22" ht="15.75" thickBot="1" x14ac:dyDescent="0.3"/>
    <row r="95" spans="1:22" ht="16.5" thickBot="1" x14ac:dyDescent="0.3">
      <c r="A95" s="276" t="s">
        <v>642</v>
      </c>
      <c r="B95" s="276"/>
      <c r="C95" s="276"/>
      <c r="F95" s="527" t="s">
        <v>393</v>
      </c>
      <c r="G95" s="528"/>
      <c r="H95" s="279" t="s">
        <v>432</v>
      </c>
      <c r="I95" s="315" t="s">
        <v>433</v>
      </c>
      <c r="O95" s="527" t="s">
        <v>393</v>
      </c>
      <c r="P95" s="528"/>
      <c r="Q95" s="279" t="s">
        <v>432</v>
      </c>
      <c r="R95" s="315" t="s">
        <v>434</v>
      </c>
    </row>
    <row r="96" spans="1:22" ht="15.75" thickBot="1" x14ac:dyDescent="0.3">
      <c r="A96" s="296" t="s">
        <v>643</v>
      </c>
      <c r="B96" s="296" t="s">
        <v>644</v>
      </c>
      <c r="C96" s="296" t="s">
        <v>109</v>
      </c>
      <c r="F96" s="276" t="s">
        <v>421</v>
      </c>
      <c r="G96" s="277"/>
      <c r="H96" s="277"/>
      <c r="I96" s="277"/>
      <c r="J96" s="277"/>
      <c r="K96" s="277"/>
      <c r="L96" s="277"/>
      <c r="M96" s="278"/>
      <c r="O96" s="276"/>
      <c r="P96" s="277"/>
      <c r="Q96" s="277"/>
      <c r="R96" s="277"/>
      <c r="S96" s="277"/>
      <c r="T96" s="277"/>
      <c r="U96" s="277"/>
      <c r="V96" s="278"/>
    </row>
    <row r="97" spans="1:30" ht="15.75" thickBot="1" x14ac:dyDescent="0.3">
      <c r="A97" s="297" t="s">
        <v>645</v>
      </c>
      <c r="C97" s="265">
        <v>28.6</v>
      </c>
      <c r="F97" s="279" t="s">
        <v>363</v>
      </c>
      <c r="G97" s="7">
        <v>1</v>
      </c>
      <c r="H97" s="28" t="s">
        <v>178</v>
      </c>
      <c r="I97" s="50"/>
      <c r="J97" s="50"/>
      <c r="K97" s="50"/>
      <c r="L97" s="50"/>
      <c r="M97" s="58"/>
      <c r="O97" s="279" t="s">
        <v>363</v>
      </c>
      <c r="P97" s="7">
        <v>1</v>
      </c>
      <c r="Q97" s="28" t="s">
        <v>178</v>
      </c>
      <c r="R97" s="50"/>
      <c r="S97" s="50"/>
      <c r="T97" s="50"/>
      <c r="U97" s="50"/>
      <c r="V97" s="58"/>
    </row>
    <row r="98" spans="1:30" ht="15.75" thickBot="1" x14ac:dyDescent="0.3">
      <c r="A98" s="297" t="s">
        <v>646</v>
      </c>
      <c r="C98" s="265">
        <v>18.899999999999999</v>
      </c>
      <c r="F98" s="296" t="s">
        <v>389</v>
      </c>
      <c r="G98" s="296" t="s">
        <v>323</v>
      </c>
      <c r="H98" s="296" t="s">
        <v>394</v>
      </c>
      <c r="I98" s="50"/>
      <c r="J98" s="50"/>
      <c r="K98" s="50"/>
      <c r="L98" s="50"/>
      <c r="M98" s="58"/>
      <c r="O98" s="296" t="s">
        <v>389</v>
      </c>
      <c r="P98" s="296" t="s">
        <v>323</v>
      </c>
      <c r="Q98" s="296" t="s">
        <v>394</v>
      </c>
      <c r="R98" s="50"/>
      <c r="S98" s="50"/>
      <c r="T98" s="50"/>
      <c r="U98" s="50"/>
      <c r="V98" s="58"/>
      <c r="Z98" s="279" t="s">
        <v>435</v>
      </c>
      <c r="AA98" s="279"/>
      <c r="AB98" s="279"/>
      <c r="AC98" s="279"/>
    </row>
    <row r="99" spans="1:30" ht="15.75" thickBot="1" x14ac:dyDescent="0.3">
      <c r="A99" s="297" t="s">
        <v>647</v>
      </c>
      <c r="C99" s="265">
        <v>27.8</v>
      </c>
      <c r="F99" s="297" t="s">
        <v>390</v>
      </c>
      <c r="G99" s="266"/>
      <c r="H99" s="281"/>
      <c r="I99" s="50"/>
      <c r="J99" s="50"/>
      <c r="K99" s="50"/>
      <c r="L99" s="50"/>
      <c r="M99" s="58"/>
      <c r="O99" s="297" t="s">
        <v>390</v>
      </c>
      <c r="P99" s="266"/>
      <c r="Q99" s="281"/>
      <c r="R99" s="50"/>
      <c r="S99" s="50"/>
      <c r="T99" s="50"/>
      <c r="U99" s="50"/>
      <c r="V99" s="58"/>
      <c r="Z99" s="296" t="s">
        <v>430</v>
      </c>
      <c r="AA99" s="296" t="s">
        <v>436</v>
      </c>
      <c r="AB99" s="296" t="s">
        <v>437</v>
      </c>
      <c r="AC99" s="296" t="s">
        <v>431</v>
      </c>
      <c r="AD99" s="316" t="s">
        <v>439</v>
      </c>
    </row>
    <row r="100" spans="1:30" x14ac:dyDescent="0.25">
      <c r="A100" s="297" t="s">
        <v>648</v>
      </c>
      <c r="C100" s="265">
        <v>20.2</v>
      </c>
      <c r="F100" s="296" t="s">
        <v>361</v>
      </c>
      <c r="G100" s="296" t="s">
        <v>323</v>
      </c>
      <c r="H100" s="296" t="s">
        <v>362</v>
      </c>
      <c r="I100" s="296" t="s">
        <v>341</v>
      </c>
      <c r="J100" s="296" t="s">
        <v>580</v>
      </c>
      <c r="K100" s="296" t="s">
        <v>342</v>
      </c>
      <c r="L100" s="145" t="s">
        <v>110</v>
      </c>
      <c r="M100" s="145" t="s">
        <v>150</v>
      </c>
      <c r="O100" s="296" t="s">
        <v>361</v>
      </c>
      <c r="P100" s="296" t="s">
        <v>323</v>
      </c>
      <c r="Q100" s="296" t="s">
        <v>362</v>
      </c>
      <c r="R100" s="296" t="s">
        <v>341</v>
      </c>
      <c r="S100" s="296" t="s">
        <v>364</v>
      </c>
      <c r="T100" s="296" t="s">
        <v>342</v>
      </c>
      <c r="U100" s="145" t="s">
        <v>110</v>
      </c>
      <c r="V100" s="145" t="s">
        <v>150</v>
      </c>
      <c r="Z100" s="281">
        <v>0.5</v>
      </c>
      <c r="AA100" s="281">
        <v>250</v>
      </c>
      <c r="AB100" s="281">
        <v>2</v>
      </c>
      <c r="AC100" s="281">
        <v>2.5</v>
      </c>
      <c r="AD100" s="281">
        <f>AA100*0.7/Z100</f>
        <v>350</v>
      </c>
    </row>
    <row r="101" spans="1:30" x14ac:dyDescent="0.25">
      <c r="A101" s="297" t="s">
        <v>414</v>
      </c>
      <c r="C101" s="265">
        <v>1.6</v>
      </c>
      <c r="F101" s="279" t="s">
        <v>324</v>
      </c>
      <c r="G101" s="280">
        <v>350</v>
      </c>
      <c r="H101" s="280">
        <v>244.99999999999997</v>
      </c>
      <c r="I101" s="280"/>
      <c r="J101" s="280"/>
      <c r="K101" s="280" t="s">
        <v>639</v>
      </c>
      <c r="L101" s="368" t="s">
        <v>388</v>
      </c>
      <c r="M101" s="369" t="s">
        <v>438</v>
      </c>
      <c r="O101" s="279" t="s">
        <v>324</v>
      </c>
      <c r="P101" s="280">
        <f>LOOKUP(P97,Z99:Z104,AA99:AA104)</f>
        <v>350</v>
      </c>
      <c r="Q101" s="280">
        <f>+P101*0.7/P97</f>
        <v>244.99999999999997</v>
      </c>
      <c r="R101" s="280"/>
      <c r="S101" s="280"/>
      <c r="T101" s="280"/>
      <c r="U101" s="295" t="s">
        <v>429</v>
      </c>
      <c r="V101" s="289"/>
      <c r="Z101" s="281">
        <v>1</v>
      </c>
      <c r="AA101" s="281">
        <v>350</v>
      </c>
      <c r="AB101" s="281">
        <v>3</v>
      </c>
      <c r="AC101" s="281">
        <v>4</v>
      </c>
      <c r="AD101" s="281">
        <f t="shared" ref="AD101:AD104" si="6">AA101*0.7/Z101</f>
        <v>244.99999999999997</v>
      </c>
    </row>
    <row r="102" spans="1:30" x14ac:dyDescent="0.25">
      <c r="A102" s="297" t="s">
        <v>649</v>
      </c>
      <c r="C102" s="265">
        <v>0.7</v>
      </c>
      <c r="F102" s="297" t="s">
        <v>417</v>
      </c>
      <c r="G102" s="266"/>
      <c r="H102" s="281"/>
      <c r="I102" s="281"/>
      <c r="J102" s="266"/>
      <c r="K102" s="284"/>
      <c r="L102" s="290"/>
      <c r="M102" s="290"/>
      <c r="O102" s="297" t="s">
        <v>417</v>
      </c>
      <c r="P102" s="266"/>
      <c r="Q102" s="281"/>
      <c r="R102" s="281"/>
      <c r="S102" s="266"/>
      <c r="T102" s="284" t="s">
        <v>50</v>
      </c>
      <c r="U102" s="314" t="s">
        <v>428</v>
      </c>
      <c r="V102" s="290" t="s">
        <v>50</v>
      </c>
      <c r="Z102" s="281">
        <v>1.5</v>
      </c>
      <c r="AA102" s="281">
        <v>470</v>
      </c>
      <c r="AB102" s="281">
        <v>3</v>
      </c>
      <c r="AC102" s="281">
        <v>5</v>
      </c>
      <c r="AD102" s="281">
        <f t="shared" si="6"/>
        <v>219.33333333333334</v>
      </c>
    </row>
    <row r="103" spans="1:30" x14ac:dyDescent="0.25">
      <c r="A103" s="297" t="s">
        <v>650</v>
      </c>
      <c r="C103" s="265">
        <v>0.5</v>
      </c>
      <c r="F103" s="297" t="s">
        <v>418</v>
      </c>
      <c r="G103" s="266"/>
      <c r="H103" s="281"/>
      <c r="I103" s="281"/>
      <c r="J103" s="266"/>
      <c r="K103" s="284"/>
      <c r="L103" s="290"/>
      <c r="M103" s="290"/>
      <c r="O103" s="297" t="s">
        <v>418</v>
      </c>
      <c r="P103" s="266"/>
      <c r="Q103" s="281"/>
      <c r="R103" s="281"/>
      <c r="S103" s="266"/>
      <c r="T103" s="284" t="s">
        <v>50</v>
      </c>
      <c r="U103" s="314" t="s">
        <v>428</v>
      </c>
      <c r="V103" s="290" t="s">
        <v>50</v>
      </c>
      <c r="Z103" s="281">
        <v>2</v>
      </c>
      <c r="AA103" s="281">
        <v>650</v>
      </c>
      <c r="AB103" s="281">
        <v>4</v>
      </c>
      <c r="AC103" s="281">
        <v>5</v>
      </c>
      <c r="AD103" s="281">
        <f t="shared" si="6"/>
        <v>227.49999999999997</v>
      </c>
    </row>
    <row r="104" spans="1:30" x14ac:dyDescent="0.25">
      <c r="A104" s="297" t="s">
        <v>232</v>
      </c>
      <c r="C104" s="265">
        <v>0.5</v>
      </c>
      <c r="F104" s="297" t="s">
        <v>419</v>
      </c>
      <c r="G104" s="266"/>
      <c r="H104" s="281"/>
      <c r="I104" s="281"/>
      <c r="J104" s="266"/>
      <c r="K104" s="284"/>
      <c r="L104" s="290"/>
      <c r="M104" s="290"/>
      <c r="O104" s="297" t="s">
        <v>419</v>
      </c>
      <c r="P104" s="266"/>
      <c r="Q104" s="281"/>
      <c r="R104" s="281"/>
      <c r="S104" s="266"/>
      <c r="T104" s="284" t="s">
        <v>50</v>
      </c>
      <c r="U104" s="314" t="s">
        <v>428</v>
      </c>
      <c r="V104" s="290" t="s">
        <v>50</v>
      </c>
      <c r="Z104" s="281">
        <v>3</v>
      </c>
      <c r="AA104" s="281">
        <v>850</v>
      </c>
      <c r="AB104" s="281">
        <v>5</v>
      </c>
      <c r="AC104" s="281">
        <v>8</v>
      </c>
      <c r="AD104" s="281">
        <f t="shared" si="6"/>
        <v>198.33333333333334</v>
      </c>
    </row>
    <row r="105" spans="1:30" x14ac:dyDescent="0.25">
      <c r="A105" s="297" t="s">
        <v>651</v>
      </c>
      <c r="C105" s="265">
        <v>0.4</v>
      </c>
      <c r="F105" s="298" t="s">
        <v>420</v>
      </c>
      <c r="G105" s="265"/>
      <c r="H105" s="282"/>
      <c r="I105" s="282"/>
      <c r="J105" s="265"/>
      <c r="K105" s="286"/>
      <c r="L105" s="291"/>
      <c r="M105" s="291"/>
      <c r="O105" s="298" t="s">
        <v>420</v>
      </c>
      <c r="P105" s="265"/>
      <c r="Q105" s="282"/>
      <c r="R105" s="282"/>
      <c r="S105" s="265"/>
      <c r="T105" s="286" t="s">
        <v>50</v>
      </c>
      <c r="U105" s="314" t="s">
        <v>428</v>
      </c>
      <c r="V105" s="291" t="s">
        <v>50</v>
      </c>
    </row>
    <row r="106" spans="1:30" x14ac:dyDescent="0.25">
      <c r="A106" s="297" t="s">
        <v>652</v>
      </c>
      <c r="C106" s="265">
        <v>0.3</v>
      </c>
      <c r="F106" s="298" t="s">
        <v>422</v>
      </c>
      <c r="G106" s="265"/>
      <c r="H106" s="282"/>
      <c r="I106" s="282"/>
      <c r="J106" s="265"/>
      <c r="K106" s="286"/>
      <c r="L106" s="291"/>
      <c r="M106" s="291"/>
      <c r="O106" s="298" t="s">
        <v>422</v>
      </c>
      <c r="P106" s="265"/>
      <c r="Q106" s="282"/>
      <c r="R106" s="282"/>
      <c r="S106" s="265"/>
      <c r="T106" s="286" t="s">
        <v>50</v>
      </c>
      <c r="U106" s="314" t="s">
        <v>428</v>
      </c>
      <c r="V106" s="291" t="s">
        <v>50</v>
      </c>
    </row>
    <row r="107" spans="1:30" x14ac:dyDescent="0.25">
      <c r="A107" s="297" t="s">
        <v>653</v>
      </c>
      <c r="C107" s="265">
        <v>0.2</v>
      </c>
      <c r="F107" s="297" t="s">
        <v>674</v>
      </c>
      <c r="G107" s="266"/>
      <c r="H107" s="281"/>
      <c r="I107" s="281"/>
      <c r="J107" s="266"/>
      <c r="K107" s="284"/>
      <c r="L107" s="290"/>
      <c r="M107" s="290"/>
      <c r="O107" s="297" t="s">
        <v>423</v>
      </c>
      <c r="P107" s="266"/>
      <c r="Q107" s="281"/>
      <c r="R107" s="281"/>
      <c r="S107" s="266"/>
      <c r="T107" s="284" t="s">
        <v>50</v>
      </c>
      <c r="U107" s="314" t="s">
        <v>428</v>
      </c>
      <c r="V107" s="290" t="s">
        <v>50</v>
      </c>
    </row>
    <row r="108" spans="1:30" x14ac:dyDescent="0.25">
      <c r="A108" s="297" t="s">
        <v>654</v>
      </c>
      <c r="C108" s="265">
        <v>0.08</v>
      </c>
      <c r="F108" s="298" t="s">
        <v>425</v>
      </c>
      <c r="G108" s="265"/>
      <c r="H108" s="282"/>
      <c r="I108" s="282"/>
      <c r="J108" s="265"/>
      <c r="K108" s="287"/>
      <c r="L108" s="291"/>
      <c r="M108" s="291"/>
      <c r="O108" s="298" t="s">
        <v>425</v>
      </c>
      <c r="P108" s="265"/>
      <c r="Q108" s="282"/>
      <c r="R108" s="282"/>
      <c r="S108" s="265"/>
      <c r="T108" s="287" t="s">
        <v>50</v>
      </c>
      <c r="U108" s="314" t="s">
        <v>428</v>
      </c>
      <c r="V108" s="291" t="s">
        <v>50</v>
      </c>
    </row>
    <row r="109" spans="1:30" x14ac:dyDescent="0.25">
      <c r="A109" s="297" t="s">
        <v>283</v>
      </c>
      <c r="C109" s="265">
        <v>7.0000000000000007E-2</v>
      </c>
      <c r="F109" s="298" t="s">
        <v>424</v>
      </c>
      <c r="G109" s="265"/>
      <c r="H109" s="282"/>
      <c r="I109" s="282"/>
      <c r="J109" s="265"/>
      <c r="K109" s="286"/>
      <c r="L109" s="291"/>
      <c r="M109" s="291"/>
      <c r="O109" s="298" t="s">
        <v>424</v>
      </c>
      <c r="P109" s="265"/>
      <c r="Q109" s="282"/>
      <c r="R109" s="282"/>
      <c r="S109" s="265"/>
      <c r="T109" s="286" t="s">
        <v>50</v>
      </c>
      <c r="U109" s="314" t="s">
        <v>428</v>
      </c>
      <c r="V109" s="291" t="s">
        <v>50</v>
      </c>
    </row>
    <row r="110" spans="1:30" x14ac:dyDescent="0.25">
      <c r="A110" s="297" t="s">
        <v>655</v>
      </c>
      <c r="C110" s="265">
        <v>0.04</v>
      </c>
      <c r="F110" s="297" t="s">
        <v>426</v>
      </c>
      <c r="G110" s="266"/>
      <c r="H110" s="281"/>
      <c r="I110" s="281"/>
      <c r="J110" s="266"/>
      <c r="K110" s="284"/>
      <c r="L110" s="290"/>
      <c r="M110" s="290"/>
      <c r="O110" s="297" t="s">
        <v>426</v>
      </c>
      <c r="P110" s="266"/>
      <c r="Q110" s="281"/>
      <c r="R110" s="281"/>
      <c r="S110" s="266"/>
      <c r="T110" s="284" t="s">
        <v>50</v>
      </c>
      <c r="U110" s="314" t="s">
        <v>428</v>
      </c>
      <c r="V110" s="290" t="s">
        <v>50</v>
      </c>
    </row>
    <row r="111" spans="1:30" x14ac:dyDescent="0.25">
      <c r="A111" s="297" t="s">
        <v>656</v>
      </c>
      <c r="B111">
        <v>10721.6</v>
      </c>
      <c r="C111" s="265">
        <f>SUM(C97:C110)</f>
        <v>99.89</v>
      </c>
      <c r="F111" s="297"/>
      <c r="G111" s="266"/>
      <c r="H111" s="281"/>
      <c r="I111" s="281"/>
      <c r="J111" s="266"/>
      <c r="K111" s="284"/>
      <c r="L111" s="290"/>
      <c r="M111" s="290"/>
      <c r="O111" s="297"/>
      <c r="P111" s="266"/>
      <c r="Q111" s="281"/>
      <c r="R111" s="281"/>
      <c r="S111" s="266"/>
      <c r="T111" s="284" t="s">
        <v>50</v>
      </c>
      <c r="U111" s="290"/>
      <c r="V111" s="290" t="s">
        <v>50</v>
      </c>
    </row>
    <row r="112" spans="1:30" ht="15.75" thickBot="1" x14ac:dyDescent="0.3">
      <c r="F112" s="297"/>
      <c r="G112" s="266"/>
      <c r="H112" s="281"/>
      <c r="I112" s="281"/>
      <c r="J112" s="266"/>
      <c r="K112" s="284"/>
      <c r="L112" s="290"/>
      <c r="M112" s="290"/>
      <c r="O112" s="297"/>
      <c r="P112" s="266"/>
      <c r="Q112" s="281"/>
      <c r="R112" s="281"/>
      <c r="S112" s="266"/>
      <c r="T112" s="284" t="s">
        <v>50</v>
      </c>
      <c r="U112" s="290"/>
      <c r="V112" s="290"/>
    </row>
    <row r="113" spans="6:22" x14ac:dyDescent="0.25">
      <c r="F113" s="296" t="s">
        <v>386</v>
      </c>
      <c r="G113" s="296"/>
      <c r="H113" s="296"/>
      <c r="I113" s="296"/>
      <c r="J113" s="296"/>
      <c r="K113" s="296"/>
      <c r="L113" s="289"/>
      <c r="M113" s="289"/>
      <c r="O113" s="296" t="s">
        <v>427</v>
      </c>
      <c r="P113" s="296"/>
      <c r="Q113" s="296"/>
      <c r="R113" s="296"/>
      <c r="S113" s="296"/>
      <c r="T113" s="296"/>
      <c r="U113" s="289"/>
      <c r="V113" s="289"/>
    </row>
    <row r="114" spans="6:22" x14ac:dyDescent="0.25">
      <c r="F114" s="297" t="s">
        <v>387</v>
      </c>
      <c r="G114" s="283"/>
      <c r="H114" s="284"/>
      <c r="I114" s="284"/>
      <c r="J114" s="283"/>
      <c r="K114" s="284"/>
      <c r="L114" s="290"/>
      <c r="M114" s="290"/>
      <c r="O114" s="297" t="s">
        <v>387</v>
      </c>
      <c r="P114" s="283"/>
      <c r="Q114" s="284"/>
      <c r="R114" s="284"/>
      <c r="S114" s="283"/>
      <c r="T114" s="284"/>
      <c r="U114" s="290"/>
      <c r="V114" s="290"/>
    </row>
    <row r="115" spans="6:22" ht="15.75" thickBot="1" x14ac:dyDescent="0.3">
      <c r="F115" s="297"/>
      <c r="G115" s="283"/>
      <c r="H115" s="284"/>
      <c r="I115" s="284"/>
      <c r="J115" s="283"/>
      <c r="K115" s="284"/>
      <c r="L115" s="290"/>
      <c r="M115" s="290"/>
      <c r="O115" s="297"/>
      <c r="P115" s="283"/>
      <c r="Q115" s="284"/>
      <c r="R115" s="284"/>
      <c r="S115" s="283"/>
      <c r="T115" s="284"/>
      <c r="U115" s="290"/>
      <c r="V115" s="290"/>
    </row>
    <row r="116" spans="6:22" x14ac:dyDescent="0.25">
      <c r="F116" s="296" t="s">
        <v>384</v>
      </c>
      <c r="G116" s="296" t="s">
        <v>4</v>
      </c>
      <c r="H116" s="296"/>
      <c r="I116" s="296"/>
      <c r="J116" s="296"/>
      <c r="K116" s="296"/>
      <c r="L116" s="289"/>
      <c r="M116" s="289"/>
      <c r="O116" s="296" t="s">
        <v>384</v>
      </c>
      <c r="P116" s="296" t="s">
        <v>4</v>
      </c>
      <c r="Q116" s="296"/>
      <c r="R116" s="296"/>
      <c r="S116" s="296"/>
      <c r="T116" s="296"/>
      <c r="U116" s="289"/>
      <c r="V116" s="289"/>
    </row>
    <row r="117" spans="6:22" x14ac:dyDescent="0.25">
      <c r="F117" s="236" t="s">
        <v>366</v>
      </c>
      <c r="G117" s="265" t="s">
        <v>325</v>
      </c>
      <c r="H117" s="265">
        <v>3</v>
      </c>
      <c r="I117" s="265"/>
      <c r="J117" s="265"/>
      <c r="K117" s="288"/>
      <c r="L117" s="529" t="s">
        <v>673</v>
      </c>
      <c r="M117" s="293"/>
      <c r="O117" s="236" t="s">
        <v>366</v>
      </c>
      <c r="P117" s="265" t="s">
        <v>325</v>
      </c>
      <c r="Q117" s="265">
        <f>LOOKUP(P97,Z99:Z104,AB99:AB104)</f>
        <v>3</v>
      </c>
      <c r="R117" s="265"/>
      <c r="S117" s="265"/>
      <c r="T117" s="288"/>
      <c r="U117" s="529" t="s">
        <v>374</v>
      </c>
      <c r="V117" s="293"/>
    </row>
    <row r="118" spans="6:22" ht="15.75" thickBot="1" x14ac:dyDescent="0.3">
      <c r="F118" s="237" t="s">
        <v>367</v>
      </c>
      <c r="G118" s="265" t="s">
        <v>325</v>
      </c>
      <c r="H118" s="265">
        <v>3</v>
      </c>
      <c r="I118" s="265"/>
      <c r="J118" s="265"/>
      <c r="K118" s="285"/>
      <c r="L118" s="529"/>
      <c r="M118" s="293"/>
      <c r="O118" s="237" t="s">
        <v>367</v>
      </c>
      <c r="P118" s="265" t="s">
        <v>325</v>
      </c>
      <c r="Q118" s="265">
        <f>LOOKUP(P97,Z99:Z104,AB99:AB104)</f>
        <v>3</v>
      </c>
      <c r="R118" s="265"/>
      <c r="S118" s="265"/>
      <c r="T118" s="285"/>
      <c r="U118" s="529"/>
      <c r="V118" s="293"/>
    </row>
    <row r="119" spans="6:22" x14ac:dyDescent="0.25">
      <c r="F119" s="296" t="s">
        <v>385</v>
      </c>
      <c r="G119" s="296" t="s">
        <v>4</v>
      </c>
      <c r="H119" s="296"/>
      <c r="I119" s="296" t="s">
        <v>392</v>
      </c>
      <c r="J119" s="296"/>
      <c r="K119" s="296"/>
      <c r="L119" s="289"/>
      <c r="M119" s="289"/>
      <c r="O119" s="296" t="s">
        <v>385</v>
      </c>
      <c r="P119" s="296" t="s">
        <v>4</v>
      </c>
      <c r="Q119" s="296"/>
      <c r="R119" s="296" t="s">
        <v>392</v>
      </c>
      <c r="S119" s="296"/>
      <c r="T119" s="296"/>
      <c r="U119" s="289"/>
      <c r="V119" s="289"/>
    </row>
    <row r="120" spans="6:22" x14ac:dyDescent="0.25">
      <c r="F120" s="298" t="s">
        <v>368</v>
      </c>
      <c r="G120" s="265" t="s">
        <v>373</v>
      </c>
      <c r="H120" s="265">
        <v>15</v>
      </c>
      <c r="I120" s="265">
        <f>H120*1.5*0.5</f>
        <v>11.25</v>
      </c>
      <c r="J120" s="265"/>
      <c r="K120" s="285"/>
      <c r="L120" s="531" t="s">
        <v>687</v>
      </c>
      <c r="M120" s="294"/>
      <c r="O120" s="298" t="s">
        <v>368</v>
      </c>
      <c r="P120" s="265" t="s">
        <v>373</v>
      </c>
      <c r="Q120" s="265"/>
      <c r="R120" s="265"/>
      <c r="S120" s="265"/>
      <c r="T120" s="285"/>
      <c r="U120" s="531"/>
      <c r="V120" s="294"/>
    </row>
    <row r="121" spans="6:22" x14ac:dyDescent="0.25">
      <c r="F121" s="298" t="s">
        <v>369</v>
      </c>
      <c r="G121" s="265" t="s">
        <v>373</v>
      </c>
      <c r="H121" s="265">
        <v>9</v>
      </c>
      <c r="I121" s="265"/>
      <c r="J121" s="265"/>
      <c r="K121" s="285"/>
      <c r="L121" s="531"/>
      <c r="M121" s="291"/>
      <c r="O121" s="298" t="s">
        <v>369</v>
      </c>
      <c r="P121" s="265" t="s">
        <v>373</v>
      </c>
      <c r="Q121" s="265"/>
      <c r="R121" s="265"/>
      <c r="S121" s="265"/>
      <c r="T121" s="285"/>
      <c r="U121" s="531"/>
      <c r="V121" s="291"/>
    </row>
    <row r="122" spans="6:22" x14ac:dyDescent="0.25">
      <c r="F122" s="298" t="s">
        <v>370</v>
      </c>
      <c r="G122" s="265" t="s">
        <v>373</v>
      </c>
      <c r="H122" s="265">
        <v>6</v>
      </c>
      <c r="I122" s="265"/>
      <c r="J122" s="265"/>
      <c r="K122" s="285"/>
      <c r="L122" s="531"/>
      <c r="M122" s="291"/>
      <c r="O122" s="298" t="s">
        <v>370</v>
      </c>
      <c r="P122" s="265" t="s">
        <v>373</v>
      </c>
      <c r="Q122" s="265"/>
      <c r="R122" s="265"/>
      <c r="S122" s="265"/>
      <c r="T122" s="285"/>
      <c r="U122" s="531"/>
      <c r="V122" s="291"/>
    </row>
    <row r="123" spans="6:22" x14ac:dyDescent="0.25">
      <c r="F123" s="298" t="s">
        <v>371</v>
      </c>
      <c r="G123" s="265" t="s">
        <v>373</v>
      </c>
      <c r="H123" s="265">
        <v>12.9</v>
      </c>
      <c r="I123" s="265"/>
      <c r="J123" s="265"/>
      <c r="K123" s="285"/>
      <c r="L123" s="531"/>
      <c r="M123" s="291"/>
      <c r="O123" s="298" t="s">
        <v>371</v>
      </c>
      <c r="P123" s="265" t="s">
        <v>373</v>
      </c>
      <c r="Q123" s="265"/>
      <c r="R123" s="265"/>
      <c r="S123" s="265"/>
      <c r="T123" s="285"/>
      <c r="U123" s="531"/>
      <c r="V123" s="291"/>
    </row>
    <row r="124" spans="6:22" ht="15.75" thickBot="1" x14ac:dyDescent="0.3">
      <c r="F124" s="299" t="s">
        <v>372</v>
      </c>
      <c r="G124" s="300" t="s">
        <v>373</v>
      </c>
      <c r="H124" s="300">
        <v>2.9</v>
      </c>
      <c r="I124" s="300"/>
      <c r="J124" s="300"/>
      <c r="K124" s="301"/>
      <c r="L124" s="532"/>
      <c r="M124" s="292"/>
      <c r="O124" s="299" t="s">
        <v>372</v>
      </c>
      <c r="P124" s="300" t="s">
        <v>373</v>
      </c>
      <c r="Q124" s="300"/>
      <c r="R124" s="300"/>
      <c r="S124" s="300"/>
      <c r="T124" s="301"/>
      <c r="U124" s="532"/>
      <c r="V124" s="292"/>
    </row>
    <row r="130" spans="6:10" ht="16.5" thickBot="1" x14ac:dyDescent="0.3">
      <c r="F130" s="527" t="s">
        <v>457</v>
      </c>
      <c r="G130" s="528"/>
    </row>
    <row r="131" spans="6:10" x14ac:dyDescent="0.25">
      <c r="F131" s="297" t="s">
        <v>442</v>
      </c>
      <c r="G131" s="194"/>
      <c r="H131" s="323"/>
      <c r="I131" s="323"/>
    </row>
    <row r="132" spans="6:10" x14ac:dyDescent="0.25">
      <c r="F132" s="324" t="s">
        <v>414</v>
      </c>
      <c r="G132" s="320" t="s">
        <v>381</v>
      </c>
      <c r="H132" s="318"/>
      <c r="I132" s="318"/>
    </row>
    <row r="133" spans="6:10" x14ac:dyDescent="0.25">
      <c r="F133" s="297" t="s">
        <v>443</v>
      </c>
      <c r="G133" s="194">
        <v>7.36</v>
      </c>
      <c r="H133" s="322" t="s">
        <v>54</v>
      </c>
      <c r="I133" s="265">
        <f>G133/200*1000000</f>
        <v>36800</v>
      </c>
      <c r="J133" s="322" t="s">
        <v>449</v>
      </c>
    </row>
    <row r="134" spans="6:10" x14ac:dyDescent="0.25">
      <c r="F134" s="297" t="s">
        <v>444</v>
      </c>
      <c r="G134" s="194">
        <v>21.4</v>
      </c>
      <c r="H134" s="322" t="s">
        <v>54</v>
      </c>
      <c r="I134" s="265">
        <f>G134/200*1000000</f>
        <v>107000</v>
      </c>
      <c r="J134" s="322" t="s">
        <v>449</v>
      </c>
    </row>
    <row r="135" spans="6:10" x14ac:dyDescent="0.25">
      <c r="F135" s="297" t="s">
        <v>445</v>
      </c>
      <c r="G135" s="194">
        <v>3.01</v>
      </c>
      <c r="H135" s="322" t="s">
        <v>54</v>
      </c>
      <c r="I135" s="265">
        <f>G135/200*1000</f>
        <v>15.049999999999999</v>
      </c>
      <c r="J135" s="322" t="s">
        <v>450</v>
      </c>
    </row>
    <row r="137" spans="6:10" x14ac:dyDescent="0.25">
      <c r="F137" s="324" t="s">
        <v>446</v>
      </c>
      <c r="G137" s="320" t="s">
        <v>381</v>
      </c>
      <c r="H137" s="318"/>
      <c r="I137" s="318"/>
    </row>
    <row r="138" spans="6:10" x14ac:dyDescent="0.25">
      <c r="F138" s="297" t="s">
        <v>443</v>
      </c>
      <c r="G138" s="194">
        <v>0.62</v>
      </c>
      <c r="H138" s="322" t="s">
        <v>54</v>
      </c>
      <c r="I138" s="265">
        <f>G138/240*10000000</f>
        <v>25833.333333333332</v>
      </c>
      <c r="J138" s="322" t="s">
        <v>449</v>
      </c>
    </row>
    <row r="139" spans="6:10" x14ac:dyDescent="0.25">
      <c r="F139" s="297" t="s">
        <v>444</v>
      </c>
      <c r="G139" s="194">
        <v>3.0999999999999999E-3</v>
      </c>
      <c r="H139" s="322" t="s">
        <v>54</v>
      </c>
      <c r="I139" s="265">
        <f>G139/240*10000000</f>
        <v>129.16666666666666</v>
      </c>
      <c r="J139" s="322" t="s">
        <v>449</v>
      </c>
    </row>
    <row r="140" spans="6:10" x14ac:dyDescent="0.25">
      <c r="F140" s="297" t="s">
        <v>445</v>
      </c>
      <c r="G140" s="194">
        <v>0.6</v>
      </c>
      <c r="H140" s="322" t="s">
        <v>54</v>
      </c>
      <c r="I140" s="265">
        <f>G140/240*1000</f>
        <v>2.5</v>
      </c>
      <c r="J140" s="322" t="s">
        <v>450</v>
      </c>
    </row>
    <row r="141" spans="6:10" x14ac:dyDescent="0.25">
      <c r="F141" s="297" t="s">
        <v>447</v>
      </c>
      <c r="G141" s="194">
        <v>0.02</v>
      </c>
      <c r="H141" s="322"/>
      <c r="I141" s="265">
        <f>G141/240*1000</f>
        <v>8.3333333333333329E-2</v>
      </c>
    </row>
    <row r="143" spans="6:10" x14ac:dyDescent="0.25">
      <c r="F143" s="324" t="s">
        <v>466</v>
      </c>
      <c r="G143" s="320" t="s">
        <v>465</v>
      </c>
      <c r="H143" s="318"/>
    </row>
    <row r="144" spans="6:10" x14ac:dyDescent="0.25">
      <c r="F144" s="324" t="s">
        <v>448</v>
      </c>
      <c r="G144" s="320" t="s">
        <v>463</v>
      </c>
      <c r="H144" s="320" t="s">
        <v>464</v>
      </c>
      <c r="I144" s="320"/>
    </row>
    <row r="145" spans="6:11" x14ac:dyDescent="0.25">
      <c r="F145" s="297" t="s">
        <v>443</v>
      </c>
      <c r="G145" s="194">
        <v>200</v>
      </c>
      <c r="H145" s="323">
        <v>145</v>
      </c>
      <c r="I145" s="322" t="s">
        <v>449</v>
      </c>
    </row>
    <row r="146" spans="6:11" x14ac:dyDescent="0.25">
      <c r="F146" s="297" t="s">
        <v>444</v>
      </c>
      <c r="G146" s="194">
        <v>556</v>
      </c>
      <c r="H146" s="323">
        <v>348</v>
      </c>
      <c r="I146" s="322" t="s">
        <v>449</v>
      </c>
    </row>
    <row r="147" spans="6:11" x14ac:dyDescent="0.25">
      <c r="F147" s="297" t="s">
        <v>445</v>
      </c>
      <c r="G147" s="194">
        <v>0.14000000000000001</v>
      </c>
      <c r="H147" s="323">
        <v>0.06</v>
      </c>
      <c r="I147" s="322" t="s">
        <v>450</v>
      </c>
    </row>
    <row r="148" spans="6:11" x14ac:dyDescent="0.25">
      <c r="F148" s="324" t="s">
        <v>451</v>
      </c>
      <c r="G148" s="320"/>
      <c r="H148" s="320"/>
      <c r="I148" s="320"/>
    </row>
    <row r="149" spans="6:11" x14ac:dyDescent="0.25">
      <c r="F149" s="297" t="s">
        <v>443</v>
      </c>
      <c r="G149" s="194">
        <v>264</v>
      </c>
      <c r="H149" s="323">
        <v>205</v>
      </c>
      <c r="I149" s="322" t="s">
        <v>449</v>
      </c>
    </row>
    <row r="150" spans="6:11" x14ac:dyDescent="0.25">
      <c r="F150" s="297" t="s">
        <v>444</v>
      </c>
      <c r="G150" s="194">
        <v>782</v>
      </c>
      <c r="H150" s="323">
        <v>660</v>
      </c>
      <c r="I150" s="322" t="s">
        <v>449</v>
      </c>
      <c r="K150" s="11"/>
    </row>
    <row r="151" spans="6:11" x14ac:dyDescent="0.25">
      <c r="F151" s="297" t="s">
        <v>445</v>
      </c>
      <c r="G151" s="194">
        <v>0.1</v>
      </c>
      <c r="H151" s="323">
        <v>0.1</v>
      </c>
      <c r="I151" s="322" t="s">
        <v>450</v>
      </c>
    </row>
    <row r="152" spans="6:11" x14ac:dyDescent="0.25">
      <c r="F152" s="324" t="s">
        <v>452</v>
      </c>
      <c r="G152" s="320"/>
      <c r="H152" s="320"/>
      <c r="I152" s="320"/>
    </row>
    <row r="153" spans="6:11" x14ac:dyDescent="0.25">
      <c r="F153" s="297" t="s">
        <v>443</v>
      </c>
      <c r="G153" s="194">
        <v>550</v>
      </c>
      <c r="H153" s="323">
        <v>370</v>
      </c>
      <c r="I153" s="322" t="s">
        <v>449</v>
      </c>
    </row>
    <row r="154" spans="6:11" x14ac:dyDescent="0.25">
      <c r="F154" s="297" t="s">
        <v>444</v>
      </c>
      <c r="G154" s="194">
        <v>1100</v>
      </c>
      <c r="H154" s="323">
        <v>752</v>
      </c>
      <c r="I154" s="322" t="s">
        <v>449</v>
      </c>
    </row>
    <row r="155" spans="6:11" x14ac:dyDescent="0.25">
      <c r="F155" s="297" t="s">
        <v>445</v>
      </c>
      <c r="G155" s="194">
        <v>0.2</v>
      </c>
      <c r="H155" s="323">
        <v>0.08</v>
      </c>
      <c r="I155" s="322" t="s">
        <v>450</v>
      </c>
    </row>
  </sheetData>
  <mergeCells count="24">
    <mergeCell ref="AB53:AB57"/>
    <mergeCell ref="U50:U51"/>
    <mergeCell ref="U53:U57"/>
    <mergeCell ref="J4:J6"/>
    <mergeCell ref="H4:H6"/>
    <mergeCell ref="O95:P95"/>
    <mergeCell ref="L50:L51"/>
    <mergeCell ref="L53:L57"/>
    <mergeCell ref="N1:O1"/>
    <mergeCell ref="AB50:AB51"/>
    <mergeCell ref="F130:G130"/>
    <mergeCell ref="F2:G2"/>
    <mergeCell ref="U117:U118"/>
    <mergeCell ref="U120:U124"/>
    <mergeCell ref="X28:Y28"/>
    <mergeCell ref="L120:L124"/>
    <mergeCell ref="F62:G62"/>
    <mergeCell ref="O28:P28"/>
    <mergeCell ref="F95:G95"/>
    <mergeCell ref="F28:G28"/>
    <mergeCell ref="L117:L118"/>
    <mergeCell ref="L84:L85"/>
    <mergeCell ref="L87:L91"/>
    <mergeCell ref="G7:K7"/>
  </mergeCells>
  <hyperlinks>
    <hyperlink ref="X29" r:id="rId1" xr:uid="{93144AB9-6C6A-4529-A022-BC7967ABC438}"/>
    <hyperlink ref="O29" r:id="rId2" xr:uid="{B12BA969-2BED-4E76-920B-A579F28542D2}"/>
    <hyperlink ref="U104:U110" r:id="rId3" display="https://www.plasticrecyclingmachine.net/plastic-film-washing-line/" xr:uid="{3C9A8423-0E46-4685-8232-6AD990C20949}"/>
    <hyperlink ref="U103" r:id="rId4" xr:uid="{39A42D6C-6368-444A-8335-79A8E008B7E9}"/>
    <hyperlink ref="U102" r:id="rId5" xr:uid="{EEC3160A-6010-44F6-98BB-74F42C0E1529}"/>
  </hyperlinks>
  <pageMargins left="0.7" right="0.7" top="0.75" bottom="0.75" header="0.3" footer="0.3"/>
  <pageSetup paperSize="9" orientation="portrait" r:id="rId6"/>
  <drawing r:id="rId7"/>
  <legacyDrawing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010FD4903B00E4BBD2B1772120E63E2" ma:contentTypeVersion="12" ma:contentTypeDescription="Create a new document." ma:contentTypeScope="" ma:versionID="fffe4d0a38afe954dfdd13070170729e">
  <xsd:schema xmlns:xsd="http://www.w3.org/2001/XMLSchema" xmlns:xs="http://www.w3.org/2001/XMLSchema" xmlns:p="http://schemas.microsoft.com/office/2006/metadata/properties" xmlns:ns2="4e477e6a-bdb3-4dbb-b4c9-9ba931c9fbcb" xmlns:ns3="06434e18-5ad5-490c-a04c-9346c95f393c" targetNamespace="http://schemas.microsoft.com/office/2006/metadata/properties" ma:root="true" ma:fieldsID="941a06e7db7f0116f8b7b515fb1d8c30" ns2:_="" ns3:_="">
    <xsd:import namespace="4e477e6a-bdb3-4dbb-b4c9-9ba931c9fbcb"/>
    <xsd:import namespace="06434e18-5ad5-490c-a04c-9346c95f393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77e6a-bdb3-4dbb-b4c9-9ba931c9fbcb"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434e18-5ad5-490c-a04c-9346c95f393c"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1D3CA6-67A3-46BA-842C-84E972DC8A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77e6a-bdb3-4dbb-b4c9-9ba931c9fbcb"/>
    <ds:schemaRef ds:uri="06434e18-5ad5-490c-a04c-9346c95f39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48FBF4-D796-42AD-AF59-496E0A1268A7}">
  <ds:schemaRefs>
    <ds:schemaRef ds:uri="06434e18-5ad5-490c-a04c-9346c95f393c"/>
    <ds:schemaRef ds:uri="http://purl.org/dc/terms/"/>
    <ds:schemaRef ds:uri="http://schemas.openxmlformats.org/package/2006/metadata/core-properties"/>
    <ds:schemaRef ds:uri="http://schemas.microsoft.com/office/2006/documentManagement/types"/>
    <ds:schemaRef ds:uri="4e477e6a-bdb3-4dbb-b4c9-9ba931c9fbcb"/>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96EFC29-5C65-4D92-942C-4AD724B36F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LCA Presentation</vt:lpstr>
      <vt:lpstr>COLLECTION&amp;TRANSPORT</vt:lpstr>
      <vt:lpstr>SORTING</vt:lpstr>
      <vt:lpstr>WASHING&amp;REPROCESSING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Ángel Górriz Peris</dc:creator>
  <cp:lastModifiedBy>Miguel Ángel Górriz Peris</cp:lastModifiedBy>
  <dcterms:created xsi:type="dcterms:W3CDTF">2020-11-25T09:04:13Z</dcterms:created>
  <dcterms:modified xsi:type="dcterms:W3CDTF">2021-11-26T11:53:57Z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0x0101009010FD4903B00E4BBD2B1772120E63E2</vt:lpwstr>
  </property>
</Properties>
</file>