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8. Jahrhundert" sheetId="1" state="visible" r:id="rId2"/>
    <sheet name="19. Jahrhundert" sheetId="2" state="visible" r:id="rId3"/>
    <sheet name="20. Jahrhundert" sheetId="3" state="visible" r:id="rId4"/>
    <sheet name="21. Jahrhundert" sheetId="4" state="visible" r:id="rId5"/>
    <sheet name="Alle Jahrhunderte" sheetId="5" state="visible" r:id="rId6"/>
    <sheet name="Testtexte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<sst xmlns="http://schemas.openxmlformats.org/spreadsheetml/2006/main" count="354" uniqueCount="225">
  <si>
    <t xml:space="preserve">Text</t>
  </si>
  <si>
    <t xml:space="preserve">Formel: (Orte + Relationen + (Raumhinweise x 0,5) + (Raumbeschreibung x 0,6) + (Raumthema x 0,7) + Relationale Verben x 0,8)) : Wortzahl x 100</t>
  </si>
  <si>
    <t xml:space="preserve">RIW</t>
  </si>
  <si>
    <t xml:space="preserve">OIW</t>
  </si>
  <si>
    <t xml:space="preserve">ThIW</t>
  </si>
  <si>
    <t xml:space="preserve">RelIW</t>
  </si>
  <si>
    <t xml:space="preserve">1702 Hunold "Die liebenswürdige Adalie</t>
  </si>
  <si>
    <t xml:space="preserve">(1029+2.636+742,5+37,8+167,3+1.705,6):90.075x100=7,01</t>
  </si>
  <si>
    <t xml:space="preserve">1743 Schnabel "Wunderliche Fata einiger See-Fahrer"</t>
  </si>
  <si>
    <t xml:space="preserve">(6.641+16.386+5.427+573+1.412,6+11.032):488.911x100=8,48</t>
  </si>
  <si>
    <t xml:space="preserve">1748 Gellert "Das Leben der schwedischen Gräfin"</t>
  </si>
  <si>
    <t xml:space="preserve">(549+1.386+495,5+44,4+167,3+1.266,4):47.753x100=8,19</t>
  </si>
  <si>
    <t xml:space="preserve">1776 Jacobi "Aus Eduard Allwills Papieren"</t>
  </si>
  <si>
    <t xml:space="preserve">(248+768+345+34,2+37,8+548):24.924x100=7,95</t>
  </si>
  <si>
    <t xml:space="preserve">1776 Miller "Siegwart. Eine Klostergeschichte"</t>
  </si>
  <si>
    <t xml:space="preserve">(3.414+8.201+2820,5+179,4+517,3+7.116,8):199.692x100=11,14</t>
  </si>
  <si>
    <t xml:space="preserve">1779 Müller "Siegfried von Lindenberg"</t>
  </si>
  <si>
    <t xml:space="preserve">(702+1.341+560+87,6+62,3+915,2):47.847x100=7,66</t>
  </si>
  <si>
    <t xml:space="preserve">1780 Wezel "Herrmann und Ulrike"</t>
  </si>
  <si>
    <t xml:space="preserve">(3.315+9.800+3.987+512,4+868,7+7.600):259.048x100=10,07</t>
  </si>
  <si>
    <t xml:space="preserve">1786 Moritz "Andreas Hartknopf"</t>
  </si>
  <si>
    <t xml:space="preserve">(468+1.055+461+55,2+51,1+717,6):25.052x100=11,21</t>
  </si>
  <si>
    <t xml:space="preserve">1786 Schilling "Die Denwürdihkeiten des Herrn v. H."</t>
  </si>
  <si>
    <t xml:space="preserve">(505+1.869+1.084+122,4+180,6+2.138,4):46.274x100=12,75</t>
  </si>
  <si>
    <t xml:space="preserve">1787 Pestalozzi "Lienhard"</t>
  </si>
  <si>
    <t xml:space="preserve">(1.391+5.664+2.136+127,8+267,4+3.700):152.873x100=8,69</t>
  </si>
  <si>
    <t xml:space="preserve">1788 Ehrmann "Amalie. Eine wahre Geschichte in Briefen"</t>
  </si>
  <si>
    <t xml:space="preserve">(1.128+3.030+1.372+159+298,9+1946,4):118.917x100=6,67</t>
  </si>
  <si>
    <t xml:space="preserve">1788 Ehrmann "Nina's Briefe an ihren Geliebten"</t>
  </si>
  <si>
    <t xml:space="preserve">(328+1.138+493+37,2+83,3+817,6):44.363x100=6,53</t>
  </si>
  <si>
    <t xml:space="preserve">1788 Naubert "Hermann von Unna"</t>
  </si>
  <si>
    <t xml:space="preserve">(1.789+4.008+1.547+178,8+416,5+3.853,6):131.828x100=8,95</t>
  </si>
  <si>
    <t xml:space="preserve">1789 Schiller "Der Geisterseher"</t>
  </si>
  <si>
    <t xml:space="preserve">(557+1.418+568+57+135,8+1.247,2):38.175x100=10,43</t>
  </si>
  <si>
    <t xml:space="preserve">1790 Moritz "Anton Reiser"</t>
  </si>
  <si>
    <t xml:space="preserve">(2.230+4.958+1.614,5+273,6+383,6+3.446,4):131.584x100=9,81</t>
  </si>
  <si>
    <t xml:space="preserve">1794 Wieland "Agathon"</t>
  </si>
  <si>
    <t xml:space="preserve">(1.450+3.676+1.508+192,6+267,4+2.746,4):161.598x100=6,09</t>
  </si>
  <si>
    <t xml:space="preserve">1795 Hölderlin "Hyperions Jugend"</t>
  </si>
  <si>
    <t xml:space="preserve">(176+452+181+18+31,5+364,8):12.019x100=10,18</t>
  </si>
  <si>
    <t xml:space="preserve">1795 Jean Paul "Hesperus oder die 45 Hundposttage"</t>
  </si>
  <si>
    <t xml:space="preserve">(4.202+10.474+4.857,5+681,6+567,7+6.765,6):248.433x100=11,09</t>
  </si>
  <si>
    <t xml:space="preserve">1796 Heinse "Hildegard von Hohenthal"</t>
  </si>
  <si>
    <t xml:space="preserve">(1.954+4.564+1.898+241,8+263,9+2.756,8):132.018x100=8,85</t>
  </si>
  <si>
    <t xml:space="preserve">1796 Huber "Die Familie Seldorf"</t>
  </si>
  <si>
    <t xml:space="preserve">(1.405+3.653+1.666,5+128,4+294+3.119,2):92.443x100=11,11</t>
  </si>
  <si>
    <t xml:space="preserve">1796 Huber "Luise"</t>
  </si>
  <si>
    <t xml:space="preserve">(386+1.111+447+34,8+157,5+1007,2):39.317x100=7,99</t>
  </si>
  <si>
    <t xml:space="preserve">1796 Jean Paul "Das Leben des Quintus Fixlein"</t>
  </si>
  <si>
    <t xml:space="preserve">(1.311+3.283+1.478,5+229,8+147+1.986,4):77.904x100=10,83</t>
  </si>
  <si>
    <t xml:space="preserve">1797 Hölderlin "Hyperion oder der Eremit in Griechenland"</t>
  </si>
  <si>
    <t xml:space="preserve">(1.039+1.973+829+49,8+119,7+1.388,8):48.077x100=11,23</t>
  </si>
  <si>
    <t xml:space="preserve">1797 Jean Paul "Blumen-, Frucht- und Dornenstücke"</t>
  </si>
  <si>
    <t xml:space="preserve">(2.712+7.558+3.395,5+486,6+370,3+4.834,4):178.698x100=10,83</t>
  </si>
  <si>
    <t xml:space="preserve">1798 Unger "Julchen Grünthal"</t>
  </si>
  <si>
    <t xml:space="preserve">(1.114+2.927+1.321+176,4+187,6+2.636):98.153x100=8,52</t>
  </si>
  <si>
    <t xml:space="preserve">Durchschnitt</t>
  </si>
  <si>
    <t xml:space="preserve">Standardabweichung</t>
  </si>
  <si>
    <t xml:space="preserve">1802 Novalis "Die Lehlinge zu Sais"</t>
  </si>
  <si>
    <t xml:space="preserve">(244+376+165+21+26,6+285,6):10.712x100=</t>
  </si>
  <si>
    <t xml:space="preserve">1805 Klingemann "Die Nachtwachen des Bonaventura"</t>
  </si>
  <si>
    <t xml:space="preserve">635+1748+729,5+79,2+68,6+1233,6:38.813x100</t>
  </si>
  <si>
    <t xml:space="preserve">1809 Jean Paul "Des Feldpredigers Reise..."</t>
  </si>
  <si>
    <t xml:space="preserve">358+865+351+53,4+55,3+520:22.385x100</t>
  </si>
  <si>
    <t xml:space="preserve">1810 de la Motte Fouque "Die Frau des Falkensteins"</t>
  </si>
  <si>
    <t xml:space="preserve">1043+2940+1152,5+165,6+249,9+2560:65.471x100=</t>
  </si>
  <si>
    <t xml:space="preserve">1815 Eichendorff "Ahnung und Gegenwart"</t>
  </si>
  <si>
    <t xml:space="preserve">2667+5753+1913+347,4+445,9+4102,4:89.604x100=</t>
  </si>
  <si>
    <t xml:space="preserve">1820 Schopenhauer "Gabriele"</t>
  </si>
  <si>
    <t xml:space="preserve">2371+5696+2279,5+328,2+568,4+4612,8:152.588x100=</t>
  </si>
  <si>
    <t xml:space="preserve">1830 Stendhal "Rot und Schwarz"</t>
  </si>
  <si>
    <t xml:space="preserve">2387+5596+2029,5+298,2+415,1+4391,2:161.612x100=</t>
  </si>
  <si>
    <t xml:space="preserve">1845 Schopenhauer "Anna"</t>
  </si>
  <si>
    <t xml:space="preserve">1363+3368+1346+182,4+324,8+3005,6:89.340x100=</t>
  </si>
  <si>
    <t xml:space="preserve">1846 Stifter "Zwei Schwestern"</t>
  </si>
  <si>
    <t xml:space="preserve">1360+2976+955,5+135+263,9+2232:49.641x100=</t>
  </si>
  <si>
    <t xml:space="preserve">1847 Gerstäcker "Die Flusspiraten des Mississippi..."</t>
  </si>
  <si>
    <t xml:space="preserve">3647+7704+3080+499,8+546+6727,2:158.145x100=</t>
  </si>
  <si>
    <t xml:space="preserve">1848 Aston "Lydia"</t>
  </si>
  <si>
    <t xml:space="preserve">706+2176+970+102+198,8+1828:50.218x100=</t>
  </si>
  <si>
    <t xml:space="preserve">1857 Auerbach "Barfüßele"</t>
  </si>
  <si>
    <t xml:space="preserve">1248+2872+943+109,8+105,7+2173,6:62.749x100=</t>
  </si>
  <si>
    <t xml:space="preserve">1857 Goedsche "Sebastopol"</t>
  </si>
  <si>
    <t xml:space="preserve">12283+26805+10805,5+1886,4+2548,7+18656,8:528.777x100=</t>
  </si>
  <si>
    <t xml:space="preserve">1862 Spielhagen "Problematische Naturen. Zweite Abteilung"</t>
  </si>
  <si>
    <t xml:space="preserve">2974+7183+2991+410,4+634,2+5344,8:168.350x100=</t>
  </si>
  <si>
    <t xml:space="preserve">1863 Auerbach "Der Lehnhold"</t>
  </si>
  <si>
    <t xml:space="preserve">1234+2500+809+93+118,3+1892:56.255x100=</t>
  </si>
  <si>
    <t xml:space="preserve">1866 Marlitt "Goldelse"</t>
  </si>
  <si>
    <t xml:space="preserve">2121+5029+2161,5+321,6+450,1+4005,6:99.954x100=</t>
  </si>
  <si>
    <t xml:space="preserve">1867 Stifter "Witiko"</t>
  </si>
  <si>
    <t xml:space="preserve">9030+15942+5101,5+690,6+944,3+11713,6:276.680x100=</t>
  </si>
  <si>
    <t xml:space="preserve">1881 Keller "Das Sinngedicht"</t>
  </si>
  <si>
    <t xml:space="preserve">1491+3629+1616,5+255+395,5+3391,2:87.880x100=</t>
  </si>
  <si>
    <t xml:space="preserve">1886 Keller "Martin Salander"</t>
  </si>
  <si>
    <t xml:space="preserve">(1594+3630+311,5+218,4+3.336):94.558x100=</t>
  </si>
  <si>
    <t xml:space="preserve">1890 Bahr "Die gute Schule"</t>
  </si>
  <si>
    <t xml:space="preserve">404+1748+699+111,6+86,8+1144,8:53.613x100=</t>
  </si>
  <si>
    <t xml:space="preserve">1891 Fontane "Unwiederbringlich"</t>
  </si>
  <si>
    <t xml:space="preserve">1475+3137+1093+165,6+266+2269,6:80.837x100=</t>
  </si>
  <si>
    <t xml:space="preserve">1894 May "Satan und Ischariot I"</t>
  </si>
  <si>
    <t xml:space="preserve">2267+5496+2234+270,6+405,3+5834,4:140.880x100=</t>
  </si>
  <si>
    <t xml:space="preserve">1895 Andreas-Salomé "Ruth"</t>
  </si>
  <si>
    <t xml:space="preserve">1103+3655+1462,5+219+259,7+2835,2:70.171x100=</t>
  </si>
  <si>
    <t xml:space="preserve">1896 Franzos "Leib Weihnachtskuchen..."</t>
  </si>
  <si>
    <t xml:space="preserve">797+2097+848+97,8+100,8+2086,4:59.051x100=</t>
  </si>
  <si>
    <t xml:space="preserve">1897 Spielhagen "Zum Zeitvertreib"</t>
  </si>
  <si>
    <t xml:space="preserve">805+2249+921+126,6+181,3+1644,8:57.157x100=</t>
  </si>
  <si>
    <t xml:space="preserve">Raumwert</t>
  </si>
  <si>
    <t xml:space="preserve">Orts-Index-Wert</t>
  </si>
  <si>
    <t xml:space="preserve">1902 Heyking Briefe, die ihn nicht erreichten</t>
  </si>
  <si>
    <t xml:space="preserve">(1321+2038+657,5+221,4+189,7+1369,6):48,107x100=</t>
  </si>
  <si>
    <t xml:space="preserve">1905 Ernst Semper der Jüngling</t>
  </si>
  <si>
    <t xml:space="preserve">(1165+2852+1193+161,4+186,2+2343,2):84.523x100=</t>
  </si>
  <si>
    <t xml:space="preserve">1905 May Im Lande des Mahdi I</t>
  </si>
  <si>
    <t xml:space="preserve">(2589+6357+2685,5+291+424,9+6687,2):162.297x100=</t>
  </si>
  <si>
    <t xml:space="preserve">1905 May Im Lande des Mahdi II</t>
  </si>
  <si>
    <t xml:space="preserve">(2006+5803+2324,5+201+449,4+6106,4):149.272x100=</t>
  </si>
  <si>
    <t xml:space="preserve">1907 Meysenbug Unerfüllt</t>
  </si>
  <si>
    <t xml:space="preserve">(576+1317+578,5+64,2+90,3+1235,2):34.158x100=</t>
  </si>
  <si>
    <t xml:space="preserve">1907 Spitteler Die Mädchenfeinde</t>
  </si>
  <si>
    <t xml:space="preserve">(488+1401+623,5+53,4+130,2+952,8):26.216x100</t>
  </si>
  <si>
    <t xml:space="preserve">1909 Wille Abendburg</t>
  </si>
  <si>
    <t xml:space="preserve">(3173+7000+3350,5+231,6+448,7+5774,4):148.290x100=</t>
  </si>
  <si>
    <t xml:space="preserve">1910 Ernst Der schmale Weg zum Glück</t>
  </si>
  <si>
    <t xml:space="preserve">(1612+4084+1677+318,6+289,8+3281,6):101.608x100=</t>
  </si>
  <si>
    <t xml:space="preserve">1910 Rilke Malte Lauids Brigge</t>
  </si>
  <si>
    <t xml:space="preserve">(925+2523+1008+213,6+195,3+2125,6):59.400x100=</t>
  </si>
  <si>
    <t xml:space="preserve">1911 Keyserling Wellen</t>
  </si>
  <si>
    <t xml:space="preserve">(1005+2389+1015,5+156+151,9+2000):44.409x100=</t>
  </si>
  <si>
    <t xml:space="preserve">1914 Christ Mathias Bichler</t>
  </si>
  <si>
    <t xml:space="preserve">(1331+3415+1451+151,2+238+2922,4):67568x100=</t>
  </si>
  <si>
    <t xml:space="preserve">1914 Ganghofer Ochsenkrieg</t>
  </si>
  <si>
    <t xml:space="preserve">(3875+10.063+4.453,5+633,6+596,4+6.964,8):174263x100=</t>
  </si>
  <si>
    <t xml:space="preserve">1914 Heyking Tschun</t>
  </si>
  <si>
    <t xml:space="preserve">(1260+2539+934,5+312+200,9+2112,8):62909x100=</t>
  </si>
  <si>
    <t xml:space="preserve">1914 Keyserling abendliche Häuser</t>
  </si>
  <si>
    <t xml:space="preserve">(1152+2603+1122,5+209,4+175,7+2130,4):46360x100=</t>
  </si>
  <si>
    <t xml:space="preserve">1915 Boy-Ed Vor der Ehe</t>
  </si>
  <si>
    <t xml:space="preserve">(1095+2892+1177,5+205,8+245+2313,6):79375x100=</t>
  </si>
  <si>
    <t xml:space="preserve">1917 Sudermann Jons und Erdme</t>
  </si>
  <si>
    <t xml:space="preserve">(733+1731+715,5+120,6+91,7+1441,6):40.472x100=</t>
  </si>
  <si>
    <t xml:space="preserve">1920 Engel Caus Störtebeker</t>
  </si>
  <si>
    <t xml:space="preserve">(1888+6337+3163+391,8+386,4+4740):116844x100=</t>
  </si>
  <si>
    <t xml:space="preserve">1925 Reventlow Selbstmordverein</t>
  </si>
  <si>
    <t xml:space="preserve">(515+1416+477+51,6+112,7+1390,4):41.055x100=</t>
  </si>
  <si>
    <t xml:space="preserve">1931 Tucholsky Gripsholm</t>
  </si>
  <si>
    <t xml:space="preserve">(849+1571+550,5+126,6+124,6+1426,4):37394x100=</t>
  </si>
  <si>
    <t xml:space="preserve">1932 Hofmannsthal Andreas</t>
  </si>
  <si>
    <t xml:space="preserve">(749+1956+763,5+105,6+187,6+1379,2):37.191x100=</t>
  </si>
  <si>
    <t xml:space="preserve">1967 Ball Tenderenda</t>
  </si>
  <si>
    <t xml:space="preserve">(194+472+263+21+22,4+366,4):9.620x100=</t>
  </si>
  <si>
    <t xml:space="preserve">1985 Timm Morenga</t>
  </si>
  <si>
    <t xml:space="preserve">(2533+5291+2131,5+372,6+353,5+3671,2):108.732x100=</t>
  </si>
  <si>
    <t xml:space="preserve">1986 Timm Kopfjäger</t>
  </si>
  <si>
    <t xml:space="preserve">(2596+5585+2275,5+327,6+427+4353,6):109.385x100=</t>
  </si>
  <si>
    <t xml:space="preserve">1993 Timm Entdeckung</t>
  </si>
  <si>
    <t xml:space="preserve">(1023+2502+1093+127,2+235,2+1988,8):45.189x100=</t>
  </si>
  <si>
    <t xml:space="preserve">1999 Lenz Arnes Nachlass</t>
  </si>
  <si>
    <t xml:space="preserve">(636+2356+1073,5+71,4+210+2365,6):44.152x100=</t>
  </si>
  <si>
    <t xml:space="preserve">2002 Uebel Horror Vacui</t>
  </si>
  <si>
    <t xml:space="preserve">(1.342+3.082+1.284+160,2+103,6+2.033,6):77.257x100=</t>
  </si>
  <si>
    <t xml:space="preserve">2002 Herrndorf In Plüschgewittern</t>
  </si>
  <si>
    <t xml:space="preserve">(905+2.411+986,5+95,4+207,2+1.764,8):48.741x100=</t>
  </si>
  <si>
    <t xml:space="preserve">2003 Genazino Eine Frau, eine Wohnung, ein Roman</t>
  </si>
  <si>
    <t xml:space="preserve">(783+2.160+813+118,8+187,6+1.618,4):40.291x100=</t>
  </si>
  <si>
    <t xml:space="preserve">2003 Stern Pias Labyrinth</t>
  </si>
  <si>
    <t xml:space="preserve">(889+2.999+1.196+100,8+181,3+2.239,2):64.210x100=</t>
  </si>
  <si>
    <t xml:space="preserve">2005 Geiger Es geht uns gut</t>
  </si>
  <si>
    <t xml:space="preserve">(1.840+5.152+2.253+200,4+505,4+3.312):108.222x100=</t>
  </si>
  <si>
    <t xml:space="preserve">2006 Trojanow Weltensammler</t>
  </si>
  <si>
    <t xml:space="preserve">(2.561+5.603+2.476,5+286,2+403,9+4.696):143.232x100=</t>
  </si>
  <si>
    <t xml:space="preserve">2007 Lange-Müller Böse Schafe</t>
  </si>
  <si>
    <t xml:space="preserve">(589+1.955+991,5+105+158,9+1430,4):47.854x100=</t>
  </si>
  <si>
    <t xml:space="preserve">2008 Steinhöfel Mitte der Welt</t>
  </si>
  <si>
    <t xml:space="preserve">(2.207+5701+2.711,5+390+453,6+4300):112.100x100=</t>
  </si>
  <si>
    <t xml:space="preserve">2009 Müller Atemschaukel</t>
  </si>
  <si>
    <t xml:space="preserve">(1.614+4.277+2.096+211,2+214,2+2.380):68.051x100=</t>
  </si>
  <si>
    <t xml:space="preserve">2010 Haratischwili Juja</t>
  </si>
  <si>
    <t xml:space="preserve">(1.435+3.260+1.264+191,4+272,3+3.008):77.887x100=</t>
  </si>
  <si>
    <t xml:space="preserve">2011 Weins Lazyboy</t>
  </si>
  <si>
    <t xml:space="preserve">(2050+4693+1860,5+240+694,4+3173,6):84.217x100=</t>
  </si>
  <si>
    <t xml:space="preserve">2012 Berg Vielen Dank für das Leben</t>
  </si>
  <si>
    <t xml:space="preserve">(2.535+4071+1631,5+253,8+352,8+3.167,2):96.559x100=</t>
  </si>
  <si>
    <t xml:space="preserve">2013 Mora Ungeheuer</t>
  </si>
  <si>
    <t xml:space="preserve">(3.588+6.636+2.747,5+310,8+609+4.858,4):170.572x100=</t>
  </si>
  <si>
    <t xml:space="preserve">2013 Gruber Über Nacht</t>
  </si>
  <si>
    <t xml:space="preserve">(1.316+3.778+1.705+108,6+322+3.224):62.464x100=</t>
  </si>
  <si>
    <t xml:space="preserve">2013 Kuckart Wünsche</t>
  </si>
  <si>
    <t xml:space="preserve">(1.884+4.769+1914,5+239,4+409,5+2.915,2):74.361x100=</t>
  </si>
  <si>
    <t xml:space="preserve">2014 Herrndorf Bilder einer großen Liebe</t>
  </si>
  <si>
    <t xml:space="preserve">(558+1613+707,5+81+116,9+1.176):27.695x100=</t>
  </si>
  <si>
    <t xml:space="preserve">2014 Zaimoglu Isabel</t>
  </si>
  <si>
    <t xml:space="preserve">(932+2.954+1.327,5+121,2+230,3+2.382,4):53.428x100=</t>
  </si>
  <si>
    <t xml:space="preserve">2014 Stanisic Vor dem Fest</t>
  </si>
  <si>
    <t xml:space="preserve">(1.505+2.842+1.227+142,8+236,6+1.860,8):63.878x100=</t>
  </si>
  <si>
    <t xml:space="preserve">2015 Meyerhoff Ach diese Lücke</t>
  </si>
  <si>
    <t xml:space="preserve">(1.914+5.326+2.366,5+241,8+400,4+4.127,2):102.548x100=</t>
  </si>
  <si>
    <t xml:space="preserve">2015 Bovenschen Sarahs Gesetz</t>
  </si>
  <si>
    <t xml:space="preserve">(896+1.531+464+98,4+136,5+927,2):39.845x100=</t>
  </si>
  <si>
    <t xml:space="preserve">2016 Steinfest Allesforscher</t>
  </si>
  <si>
    <t xml:space="preserve">(1794+3660+1638,5+280,2+244,3+2991,2):102.213x100=</t>
  </si>
  <si>
    <t xml:space="preserve">2016 Moosdorf Die Freundinnen</t>
  </si>
  <si>
    <t xml:space="preserve">(1.256+3.628+1.535+213+304,5+2.828):82.530x100=</t>
  </si>
  <si>
    <t xml:space="preserve">2017 Kehlmann Tyll</t>
  </si>
  <si>
    <t xml:space="preserve">(1.686+3.801+1.711+291,6+289,8+3.561,6):96.002x100=</t>
  </si>
  <si>
    <t xml:space="preserve">2017 Regener Wiener Straße</t>
  </si>
  <si>
    <t xml:space="preserve">(1.221+2.645+1.040,5+106,8+248,5+2.225,6):66.782x100=</t>
  </si>
  <si>
    <t xml:space="preserve">2018 Josten Frau Pfeiffer</t>
  </si>
  <si>
    <t xml:space="preserve">(1.076+2.522+1013+94,8+236,6+1.808):57.546x100=</t>
  </si>
  <si>
    <t xml:space="preserve">Titel</t>
  </si>
  <si>
    <t xml:space="preserve">Orte x 1</t>
  </si>
  <si>
    <t xml:space="preserve">Relation x 1</t>
  </si>
  <si>
    <t xml:space="preserve">Raumhinweis x 0,5</t>
  </si>
  <si>
    <t xml:space="preserve">RAUMBESCHREIBUNG x 0,6</t>
  </si>
  <si>
    <t xml:space="preserve">RAUMTHEMA x 0,7</t>
  </si>
  <si>
    <t xml:space="preserve">RELATIONALES VERB x 0,8</t>
  </si>
  <si>
    <t xml:space="preserve">18 Schiller</t>
  </si>
  <si>
    <t xml:space="preserve">18 Huber</t>
  </si>
  <si>
    <t xml:space="preserve">19 Spielhagen</t>
  </si>
  <si>
    <t xml:space="preserve">19 Salome</t>
  </si>
  <si>
    <t xml:space="preserve">20 Tucholsky</t>
  </si>
  <si>
    <t xml:space="preserve">20 Reventlow</t>
  </si>
  <si>
    <t xml:space="preserve">21 Stanisic</t>
  </si>
  <si>
    <t xml:space="preserve">21 Josten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</si>
</sst>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D/M"/>
  </numFmts>
  <fonts count="6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2"/>
      <charset val="1"/>
    </font>
    <font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9"/>
  <sheetViews>
    <sheetView showFormulas="false" showGridLines="true" showRowColHeaders="true" showZeros="true" rightToLeft="false" tabSelected="true" showOutlineSymbols="true" defaultGridColor="true" view="normal" topLeftCell="A12" colorId="64" zoomScale="100" zoomScaleNormal="100" zoomScalePageLayoutView="100" workbookViewId="0">
      <selection pane="topLeft" activeCell="D27" activeCellId="0" sqref="1:1048576"/>
    </sheetView>
  </sheetViews>
  <sheetFormatPr defaultRowHeight="15.75" zeroHeight="false" outlineLevelRow="0" outlineLevelCol="0"/>
  <cols>
    <col collapsed="false" customWidth="true" hidden="false" outlineLevel="0" max="1" min="1" style="1" width="58.57"/>
    <col collapsed="false" customWidth="true" hidden="false" outlineLevel="0" max="2" min="2" style="1" width="66.14"/>
    <col collapsed="false" customWidth="true" hidden="false" outlineLevel="0" max="3" min="3" style="1" width="11.3"/>
    <col collapsed="false" customWidth="true" hidden="false" outlineLevel="0" max="1025" min="4" style="1" width="14.43"/>
  </cols>
  <sheetData>
    <row r="1" customFormat="false" ht="15" hidden="false" customHeight="false" outlineLevel="0" collapsed="false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customFormat="false" ht="15" hidden="false" customHeight="false" outlineLevel="0" collapsed="false">
      <c r="A2" s="2" t="s">
        <v>6</v>
      </c>
      <c r="B2" s="3" t="s">
        <v>7</v>
      </c>
      <c r="C2" s="3" t="n">
        <v>7.01</v>
      </c>
      <c r="D2" s="3" t="n">
        <v>1.14</v>
      </c>
      <c r="E2" s="3" t="n">
        <v>0.19</v>
      </c>
      <c r="F2" s="1" t="n">
        <f aca="false">(2636+1705.6)/90075*100</f>
        <v>4.819983347</v>
      </c>
    </row>
    <row r="3" customFormat="false" ht="15" hidden="false" customHeight="false" outlineLevel="0" collapsed="false">
      <c r="A3" s="2" t="s">
        <v>8</v>
      </c>
      <c r="B3" s="3" t="s">
        <v>9</v>
      </c>
      <c r="C3" s="3" t="n">
        <v>8.48</v>
      </c>
      <c r="D3" s="3" t="n">
        <v>1.36</v>
      </c>
      <c r="E3" s="3" t="n">
        <v>0.29</v>
      </c>
      <c r="F3" s="1" t="n">
        <f aca="false">(16386+11032)/488911*100</f>
        <v>5.607973639</v>
      </c>
    </row>
    <row r="4" customFormat="false" ht="15" hidden="false" customHeight="false" outlineLevel="0" collapsed="false">
      <c r="A4" s="2" t="s">
        <v>10</v>
      </c>
      <c r="B4" s="3" t="s">
        <v>11</v>
      </c>
      <c r="C4" s="3" t="n">
        <v>8.19</v>
      </c>
      <c r="D4" s="3" t="n">
        <v>1.15</v>
      </c>
      <c r="E4" s="3" t="n">
        <v>0.35</v>
      </c>
      <c r="F4" s="1" t="n">
        <f aca="false">(1386+1266.4)/47753*100</f>
        <v>5.554415429</v>
      </c>
    </row>
    <row r="5" customFormat="false" ht="15" hidden="false" customHeight="false" outlineLevel="0" collapsed="false">
      <c r="A5" s="2" t="s">
        <v>12</v>
      </c>
      <c r="B5" s="3" t="s">
        <v>13</v>
      </c>
      <c r="C5" s="3" t="n">
        <v>7.95</v>
      </c>
      <c r="D5" s="3" t="n">
        <v>0.99</v>
      </c>
      <c r="E5" s="3" t="n">
        <v>0.15</v>
      </c>
      <c r="F5" s="1" t="n">
        <f aca="false">(768+548)/24924*100</f>
        <v>5.280051356</v>
      </c>
    </row>
    <row r="6" customFormat="false" ht="15" hidden="false" customHeight="false" outlineLevel="0" collapsed="false">
      <c r="A6" s="2" t="s">
        <v>14</v>
      </c>
      <c r="B6" s="3" t="s">
        <v>15</v>
      </c>
      <c r="C6" s="3" t="n">
        <v>11.14</v>
      </c>
      <c r="D6" s="3" t="n">
        <v>1.71</v>
      </c>
      <c r="E6" s="3" t="n">
        <v>0.26</v>
      </c>
      <c r="F6" s="1" t="n">
        <f aca="false">(8201+7226.8)/199692*100</f>
        <v>7.725797729</v>
      </c>
    </row>
    <row r="7" customFormat="false" ht="15" hidden="false" customHeight="false" outlineLevel="0" collapsed="false">
      <c r="A7" s="2" t="s">
        <v>16</v>
      </c>
      <c r="B7" s="3" t="s">
        <v>17</v>
      </c>
      <c r="C7" s="3" t="n">
        <v>7.66</v>
      </c>
      <c r="D7" s="3" t="n">
        <v>1.47</v>
      </c>
      <c r="E7" s="3" t="n">
        <v>0.13</v>
      </c>
      <c r="F7" s="1" t="n">
        <f aca="false">(1341+915.2)/47847*100</f>
        <v>4.715447154</v>
      </c>
    </row>
    <row r="8" customFormat="false" ht="15" hidden="false" customHeight="false" outlineLevel="0" collapsed="false">
      <c r="A8" s="2" t="s">
        <v>18</v>
      </c>
      <c r="B8" s="3" t="s">
        <v>19</v>
      </c>
      <c r="C8" s="3" t="n">
        <v>10.07</v>
      </c>
      <c r="D8" s="3" t="n">
        <v>1.28</v>
      </c>
      <c r="E8" s="3" t="n">
        <v>0.34</v>
      </c>
      <c r="F8" s="1" t="n">
        <f aca="false">(9800+7600)/259048*100</f>
        <v>6.716901887</v>
      </c>
    </row>
    <row r="9" customFormat="false" ht="15" hidden="false" customHeight="false" outlineLevel="0" collapsed="false">
      <c r="A9" s="2" t="s">
        <v>20</v>
      </c>
      <c r="B9" s="3" t="s">
        <v>21</v>
      </c>
      <c r="C9" s="3" t="n">
        <v>11.21</v>
      </c>
      <c r="D9" s="3" t="n">
        <v>1.87</v>
      </c>
      <c r="E9" s="3" t="n">
        <v>0.2</v>
      </c>
      <c r="F9" s="1" t="n">
        <f aca="false">(1055+717.6)/25052*100</f>
        <v>7.07568258</v>
      </c>
    </row>
    <row r="10" customFormat="false" ht="15" hidden="false" customHeight="false" outlineLevel="0" collapsed="false">
      <c r="A10" s="2" t="s">
        <v>22</v>
      </c>
      <c r="B10" s="3" t="s">
        <v>23</v>
      </c>
      <c r="C10" s="3" t="n">
        <v>12.75</v>
      </c>
      <c r="D10" s="3" t="n">
        <v>1.1</v>
      </c>
      <c r="E10" s="3" t="n">
        <v>0.39</v>
      </c>
      <c r="F10" s="1" t="n">
        <f aca="false">(1869+2138)/46274*100</f>
        <v>8.659290314</v>
      </c>
    </row>
    <row r="11" customFormat="false" ht="15" hidden="false" customHeight="false" outlineLevel="0" collapsed="false">
      <c r="A11" s="2" t="s">
        <v>24</v>
      </c>
      <c r="B11" s="3" t="s">
        <v>25</v>
      </c>
      <c r="C11" s="3" t="n">
        <v>8.69</v>
      </c>
      <c r="D11" s="3" t="n">
        <v>0.9</v>
      </c>
      <c r="E11" s="3" t="n">
        <v>0.17</v>
      </c>
      <c r="F11" s="1" t="n">
        <f aca="false">(5664+3700)/152873*100</f>
        <v>6.125345875</v>
      </c>
    </row>
    <row r="12" customFormat="false" ht="15" hidden="false" customHeight="false" outlineLevel="0" collapsed="false">
      <c r="A12" s="2" t="s">
        <v>26</v>
      </c>
      <c r="B12" s="3" t="s">
        <v>27</v>
      </c>
      <c r="C12" s="3" t="n">
        <v>6.67</v>
      </c>
      <c r="D12" s="3" t="n">
        <v>0.95</v>
      </c>
      <c r="E12" s="3" t="n">
        <v>0.25</v>
      </c>
      <c r="F12" s="1" t="n">
        <f aca="false">(3030+1946.4)/118917*100</f>
        <v>4.184767527</v>
      </c>
    </row>
    <row r="13" customFormat="false" ht="15" hidden="false" customHeight="false" outlineLevel="0" collapsed="false">
      <c r="A13" s="2" t="s">
        <v>28</v>
      </c>
      <c r="B13" s="3" t="s">
        <v>29</v>
      </c>
      <c r="C13" s="3" t="n">
        <v>6.53</v>
      </c>
      <c r="D13" s="3" t="n">
        <v>0.74</v>
      </c>
      <c r="E13" s="3" t="n">
        <v>0.19</v>
      </c>
      <c r="F13" s="1" t="n">
        <f aca="false">(1138+817.6)/44363*100</f>
        <v>4.408177986</v>
      </c>
    </row>
    <row r="14" customFormat="false" ht="15" hidden="false" customHeight="false" outlineLevel="0" collapsed="false">
      <c r="A14" s="2" t="s">
        <v>30</v>
      </c>
      <c r="B14" s="3" t="s">
        <v>31</v>
      </c>
      <c r="C14" s="3" t="n">
        <v>8.95</v>
      </c>
      <c r="D14" s="3" t="n">
        <v>1.36</v>
      </c>
      <c r="E14" s="3" t="n">
        <v>0.32</v>
      </c>
      <c r="F14" s="1" t="n">
        <f aca="false">(4008+3853.6)/131828*100</f>
        <v>5.963528234</v>
      </c>
    </row>
    <row r="15" customFormat="false" ht="15" hidden="false" customHeight="false" outlineLevel="0" collapsed="false">
      <c r="A15" s="2" t="s">
        <v>32</v>
      </c>
      <c r="B15" s="3" t="s">
        <v>33</v>
      </c>
      <c r="C15" s="3" t="n">
        <v>10.43</v>
      </c>
      <c r="D15" s="3" t="n">
        <v>1.46</v>
      </c>
      <c r="E15" s="3" t="n">
        <v>0.36</v>
      </c>
      <c r="F15" s="1" t="n">
        <f aca="false">(1418+1247.2)/38175*100</f>
        <v>6.981532417</v>
      </c>
    </row>
    <row r="16" customFormat="false" ht="15" hidden="false" customHeight="false" outlineLevel="0" collapsed="false">
      <c r="A16" s="2" t="s">
        <v>34</v>
      </c>
      <c r="B16" s="3" t="s">
        <v>35</v>
      </c>
      <c r="C16" s="3" t="n">
        <v>9.81</v>
      </c>
      <c r="D16" s="3" t="n">
        <v>1.69</v>
      </c>
      <c r="E16" s="3" t="n">
        <v>0.29</v>
      </c>
      <c r="F16" s="1" t="n">
        <f aca="false">(4958+3446.4)/131584*100</f>
        <v>6.387098735</v>
      </c>
    </row>
    <row r="17" customFormat="false" ht="15" hidden="false" customHeight="false" outlineLevel="0" collapsed="false">
      <c r="A17" s="2" t="s">
        <v>36</v>
      </c>
      <c r="B17" s="3" t="s">
        <v>37</v>
      </c>
      <c r="C17" s="3" t="n">
        <v>6.09</v>
      </c>
      <c r="D17" s="3" t="n">
        <v>0.9</v>
      </c>
      <c r="E17" s="3" t="n">
        <v>0.17</v>
      </c>
      <c r="F17" s="1" t="n">
        <f aca="false">(3676+2746.4)/161598*100</f>
        <v>3.974306613</v>
      </c>
    </row>
    <row r="18" customFormat="false" ht="15" hidden="false" customHeight="false" outlineLevel="0" collapsed="false">
      <c r="A18" s="2" t="s">
        <v>38</v>
      </c>
      <c r="B18" s="3" t="s">
        <v>39</v>
      </c>
      <c r="C18" s="3" t="n">
        <v>10.18</v>
      </c>
      <c r="D18" s="3" t="n">
        <v>1.46</v>
      </c>
      <c r="E18" s="3" t="n">
        <v>0.26</v>
      </c>
      <c r="F18" s="1" t="n">
        <f aca="false">(452+364.8)/12019*100</f>
        <v>6.795906481</v>
      </c>
    </row>
    <row r="19" customFormat="false" ht="15" hidden="false" customHeight="false" outlineLevel="0" collapsed="false">
      <c r="A19" s="2" t="s">
        <v>40</v>
      </c>
      <c r="B19" s="3" t="s">
        <v>41</v>
      </c>
      <c r="C19" s="3" t="n">
        <v>11.09</v>
      </c>
      <c r="D19" s="3" t="n">
        <v>1.69</v>
      </c>
      <c r="E19" s="3" t="n">
        <v>0.23</v>
      </c>
      <c r="F19" s="1" t="n">
        <f aca="false">(10474+6765.6)/248433*100</f>
        <v>6.939335757</v>
      </c>
    </row>
    <row r="20" customFormat="false" ht="15" hidden="false" customHeight="false" outlineLevel="0" collapsed="false">
      <c r="A20" s="2" t="s">
        <v>42</v>
      </c>
      <c r="B20" s="3" t="s">
        <v>43</v>
      </c>
      <c r="C20" s="3" t="n">
        <v>8.85</v>
      </c>
      <c r="D20" s="3" t="n">
        <v>1.48</v>
      </c>
      <c r="E20" s="3" t="n">
        <v>0.19</v>
      </c>
      <c r="F20" s="1" t="n">
        <f aca="false">(4564+2756.8)/132018*100</f>
        <v>5.545304428</v>
      </c>
    </row>
    <row r="21" customFormat="false" ht="15" hidden="false" customHeight="false" outlineLevel="0" collapsed="false">
      <c r="A21" s="2" t="s">
        <v>44</v>
      </c>
      <c r="B21" s="3" t="s">
        <v>45</v>
      </c>
      <c r="C21" s="3" t="n">
        <v>11.11</v>
      </c>
      <c r="D21" s="3" t="n">
        <v>1.52</v>
      </c>
      <c r="E21" s="3" t="n">
        <v>0.32</v>
      </c>
      <c r="F21" s="1" t="n">
        <f aca="false">(3653+3119.2)/92443*100</f>
        <v>7.325811581</v>
      </c>
    </row>
    <row r="22" customFormat="false" ht="15" hidden="false" customHeight="false" outlineLevel="0" collapsed="false">
      <c r="A22" s="2" t="s">
        <v>46</v>
      </c>
      <c r="B22" s="3" t="s">
        <v>47</v>
      </c>
      <c r="C22" s="3" t="n">
        <v>7.99</v>
      </c>
      <c r="D22" s="3" t="n">
        <v>0.98</v>
      </c>
      <c r="E22" s="3" t="n">
        <v>0.4</v>
      </c>
      <c r="F22" s="1" t="n">
        <f aca="false">(1111+1007.2)/39317*100</f>
        <v>5.387491416</v>
      </c>
    </row>
    <row r="23" customFormat="false" ht="15" hidden="false" customHeight="false" outlineLevel="0" collapsed="false">
      <c r="A23" s="2" t="s">
        <v>48</v>
      </c>
      <c r="B23" s="3" t="s">
        <v>49</v>
      </c>
      <c r="C23" s="3" t="n">
        <v>10.83</v>
      </c>
      <c r="D23" s="3" t="n">
        <v>1.68</v>
      </c>
      <c r="E23" s="3" t="n">
        <v>0.19</v>
      </c>
      <c r="F23" s="1" t="n">
        <f aca="false">(3283+1986.4)/77904*100</f>
        <v>6.763965907</v>
      </c>
    </row>
    <row r="24" customFormat="false" ht="15" hidden="false" customHeight="false" outlineLevel="0" collapsed="false">
      <c r="A24" s="2" t="s">
        <v>50</v>
      </c>
      <c r="B24" s="3" t="s">
        <v>51</v>
      </c>
      <c r="C24" s="3" t="n">
        <v>11.23</v>
      </c>
      <c r="D24" s="3" t="n">
        <v>2.16</v>
      </c>
      <c r="E24" s="3" t="n">
        <v>0.25</v>
      </c>
      <c r="F24" s="1" t="n">
        <f aca="false">(1973+1388.8)/48077*100</f>
        <v>6.992532812</v>
      </c>
    </row>
    <row r="25" customFormat="false" ht="15" hidden="false" customHeight="false" outlineLevel="0" collapsed="false">
      <c r="A25" s="2" t="s">
        <v>52</v>
      </c>
      <c r="B25" s="3" t="s">
        <v>53</v>
      </c>
      <c r="C25" s="3" t="n">
        <v>10.83</v>
      </c>
      <c r="D25" s="3" t="n">
        <v>1.52</v>
      </c>
      <c r="E25" s="3" t="n">
        <v>0.21</v>
      </c>
      <c r="F25" s="1" t="n">
        <f aca="false">(7558+4834.4)/178698*100</f>
        <v>6.934828593</v>
      </c>
    </row>
    <row r="26" customFormat="false" ht="15" hidden="false" customHeight="false" outlineLevel="0" collapsed="false">
      <c r="A26" s="2" t="s">
        <v>54</v>
      </c>
      <c r="B26" s="3" t="s">
        <v>55</v>
      </c>
      <c r="C26" s="3" t="n">
        <v>8.52</v>
      </c>
      <c r="D26" s="3" t="n">
        <v>1.13</v>
      </c>
      <c r="E26" s="3" t="n">
        <v>0.19</v>
      </c>
      <c r="F26" s="1" t="n">
        <f aca="false">(2927+2636)/98153*100</f>
        <v>5.667682088</v>
      </c>
    </row>
    <row r="27" customFormat="false" ht="15" hidden="false" customHeight="false" outlineLevel="0" collapsed="false">
      <c r="A27" s="2" t="s">
        <v>56</v>
      </c>
      <c r="C27" s="1" t="n">
        <f aca="false">AVERAGE(C2:C26)</f>
        <v>9.2904</v>
      </c>
      <c r="D27" s="1" t="n">
        <f aca="false">AVERAGE(D2:D26)</f>
        <v>1.3476</v>
      </c>
      <c r="E27" s="1" t="n">
        <f aca="false">AVERAGE(E2:E26)</f>
        <v>0.2516</v>
      </c>
      <c r="F27" s="1" t="n">
        <f aca="false">AVERAGE(F2:F26)</f>
        <v>6.1013263954</v>
      </c>
    </row>
    <row r="28" customFormat="false" ht="15" hidden="false" customHeight="false" outlineLevel="0" collapsed="false">
      <c r="A28" s="3" t="s">
        <v>57</v>
      </c>
      <c r="C28" s="1" t="n">
        <f aca="false">STDEV(C2:C26)</f>
        <v>1.783036922</v>
      </c>
      <c r="D28" s="1" t="n">
        <f aca="false">STDEV(D2:D26)</f>
        <v>0.348392498962497</v>
      </c>
      <c r="E28" s="1" t="n">
        <f aca="false">STDEV(E2:E26)</f>
        <v>0.0777646020586059</v>
      </c>
      <c r="F28" s="1" t="n">
        <f aca="false">STDEV(F2:F26)</f>
        <v>1.16991715849192</v>
      </c>
    </row>
    <row r="29" customFormat="false" ht="15" hidden="false" customHeight="false" outlineLevel="0" collapsed="false"/>
    <row r="30" customFormat="false" ht="15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8"/>
  <sheetViews>
    <sheetView showFormulas="false" showGridLines="true" showRowColHeaders="true" showZeros="true" rightToLeft="false" tabSelected="false" showOutlineSymbols="true" defaultGridColor="true" view="normal" topLeftCell="A14" colorId="64" zoomScale="100" zoomScaleNormal="100" zoomScalePageLayoutView="100" workbookViewId="0">
      <selection pane="topLeft" activeCell="A1" activeCellId="0" sqref="1:1048576"/>
    </sheetView>
  </sheetViews>
  <sheetFormatPr defaultRowHeight="15.75" zeroHeight="false" outlineLevelRow="0" outlineLevelCol="0"/>
  <cols>
    <col collapsed="false" customWidth="true" hidden="false" outlineLevel="0" max="1" min="1" style="1" width="51"/>
    <col collapsed="false" customWidth="true" hidden="false" outlineLevel="0" max="2" min="2" style="1" width="57.71"/>
    <col collapsed="false" customWidth="true" hidden="false" outlineLevel="0" max="1025" min="3" style="1" width="14.43"/>
  </cols>
  <sheetData>
    <row r="1" customFormat="false" ht="15" hidden="false" customHeight="false" outlineLevel="0" collapsed="false">
      <c r="A1" s="2" t="s">
        <v>0</v>
      </c>
      <c r="B1" s="3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customFormat="false" ht="15" hidden="false" customHeight="false" outlineLevel="0" collapsed="false">
      <c r="A2" s="2" t="s">
        <v>58</v>
      </c>
      <c r="B2" s="3" t="s">
        <v>59</v>
      </c>
      <c r="C2" s="3" t="n">
        <v>10.44</v>
      </c>
      <c r="D2" s="3" t="n">
        <v>2.28</v>
      </c>
      <c r="E2" s="1" t="n">
        <f aca="false">26.6/10712*100</f>
        <v>0.2483196415</v>
      </c>
      <c r="F2" s="1" t="n">
        <f aca="false">(376+285.6)/10712*100</f>
        <v>6.176250934</v>
      </c>
    </row>
    <row r="3" customFormat="false" ht="15" hidden="false" customHeight="false" outlineLevel="0" collapsed="false">
      <c r="A3" s="2" t="s">
        <v>60</v>
      </c>
      <c r="B3" s="3" t="s">
        <v>61</v>
      </c>
      <c r="C3" s="3" t="n">
        <v>11.58</v>
      </c>
      <c r="D3" s="3" t="n">
        <v>1.64</v>
      </c>
      <c r="E3" s="1" t="n">
        <f aca="false">68.6/38813*100</f>
        <v>0.1767449051</v>
      </c>
      <c r="F3" s="1" t="n">
        <f aca="false">(1748+1233.6)/38813*100</f>
        <v>7.681962229</v>
      </c>
    </row>
    <row r="4" customFormat="false" ht="15" hidden="false" customHeight="false" outlineLevel="0" collapsed="false">
      <c r="A4" s="2" t="s">
        <v>62</v>
      </c>
      <c r="B4" s="3" t="s">
        <v>63</v>
      </c>
      <c r="C4" s="3" t="n">
        <v>9.84</v>
      </c>
      <c r="D4" s="3" t="n">
        <v>1.6</v>
      </c>
      <c r="E4" s="1" t="n">
        <f aca="false">55.3/22385*100</f>
        <v>0.2470404289</v>
      </c>
      <c r="F4" s="1" t="n">
        <f aca="false">(865+520)/22385*100</f>
        <v>6.187178914</v>
      </c>
    </row>
    <row r="5" customFormat="false" ht="15" hidden="false" customHeight="false" outlineLevel="0" collapsed="false">
      <c r="A5" s="2" t="s">
        <v>64</v>
      </c>
      <c r="B5" s="3" t="s">
        <v>65</v>
      </c>
      <c r="C5" s="3" t="n">
        <v>12.39</v>
      </c>
      <c r="D5" s="3" t="n">
        <v>1.6</v>
      </c>
      <c r="E5" s="1" t="n">
        <f aca="false">249.9/65471*100</f>
        <v>0.3816957126</v>
      </c>
      <c r="F5" s="1" t="n">
        <f aca="false">(2940+2560)/65471*100</f>
        <v>8.400665944</v>
      </c>
    </row>
    <row r="6" customFormat="false" ht="15" hidden="false" customHeight="false" outlineLevel="0" collapsed="false">
      <c r="A6" s="2" t="s">
        <v>66</v>
      </c>
      <c r="B6" s="3" t="s">
        <v>67</v>
      </c>
      <c r="C6" s="3" t="n">
        <v>16.99</v>
      </c>
      <c r="D6" s="3" t="n">
        <v>2.98</v>
      </c>
      <c r="E6" s="1" t="n">
        <f aca="false">445.9/89604*100</f>
        <v>0.4976340342</v>
      </c>
      <c r="F6" s="1" t="n">
        <f aca="false">(5753+4102.4)/89604*100</f>
        <v>10.99883934</v>
      </c>
    </row>
    <row r="7" customFormat="false" ht="15" hidden="false" customHeight="false" outlineLevel="0" collapsed="false">
      <c r="A7" s="2" t="s">
        <v>68</v>
      </c>
      <c r="B7" s="4" t="s">
        <v>69</v>
      </c>
      <c r="C7" s="3" t="n">
        <v>10.39</v>
      </c>
      <c r="D7" s="3" t="n">
        <v>1.55</v>
      </c>
      <c r="E7" s="1" t="n">
        <f aca="false">568.4/152588*100</f>
        <v>0.372506357</v>
      </c>
      <c r="F7" s="1" t="n">
        <f aca="false">(5696+4612.8)/152588*100</f>
        <v>6.755970325</v>
      </c>
    </row>
    <row r="8" customFormat="false" ht="15" hidden="false" customHeight="false" outlineLevel="0" collapsed="false">
      <c r="A8" s="2" t="s">
        <v>70</v>
      </c>
      <c r="B8" s="3" t="s">
        <v>71</v>
      </c>
      <c r="C8" s="3" t="n">
        <v>9.35</v>
      </c>
      <c r="D8" s="3" t="n">
        <v>1.48</v>
      </c>
      <c r="E8" s="1" t="n">
        <f aca="false">415.1/161612*100</f>
        <v>0.2568497389</v>
      </c>
      <c r="F8" s="1" t="n">
        <f aca="false">(5596+4391.2)/161612*100</f>
        <v>6.179739128</v>
      </c>
    </row>
    <row r="9" customFormat="false" ht="15" hidden="false" customHeight="false" outlineLevel="0" collapsed="false">
      <c r="A9" s="2" t="s">
        <v>72</v>
      </c>
      <c r="B9" s="3" t="s">
        <v>73</v>
      </c>
      <c r="C9" s="3" t="n">
        <v>10.74</v>
      </c>
      <c r="D9" s="3" t="n">
        <v>1.53</v>
      </c>
      <c r="E9" s="1" t="n">
        <f aca="false">324.8/89340*100</f>
        <v>0.3635549586</v>
      </c>
      <c r="F9" s="1" t="n">
        <f aca="false">(3368+3005.6)/89340*100</f>
        <v>7.134094471</v>
      </c>
    </row>
    <row r="10" customFormat="false" ht="15" hidden="false" customHeight="false" outlineLevel="0" collapsed="false">
      <c r="A10" s="2" t="s">
        <v>74</v>
      </c>
      <c r="B10" s="3" t="s">
        <v>75</v>
      </c>
      <c r="C10" s="3" t="n">
        <v>15.96</v>
      </c>
      <c r="D10" s="3" t="n">
        <v>2.74</v>
      </c>
      <c r="E10" s="1" t="n">
        <f aca="false">263.9/49641*100</f>
        <v>0.5316170101</v>
      </c>
      <c r="F10" s="1" t="n">
        <f aca="false">(2976+2232)/49641*100</f>
        <v>10.49132773</v>
      </c>
    </row>
    <row r="11" customFormat="false" ht="15" hidden="false" customHeight="false" outlineLevel="0" collapsed="false">
      <c r="A11" s="2" t="s">
        <v>76</v>
      </c>
      <c r="B11" s="3" t="s">
        <v>77</v>
      </c>
      <c r="C11" s="3" t="n">
        <v>14.04</v>
      </c>
      <c r="D11" s="3" t="n">
        <v>2.31</v>
      </c>
      <c r="E11" s="1" t="n">
        <f aca="false">546/158145*100</f>
        <v>0.3452527744</v>
      </c>
      <c r="F11" s="1" t="n">
        <f aca="false">(7704+6727.2)/158145*100</f>
        <v>9.125296405</v>
      </c>
    </row>
    <row r="12" customFormat="false" ht="15" hidden="false" customHeight="false" outlineLevel="0" collapsed="false">
      <c r="A12" s="2" t="s">
        <v>78</v>
      </c>
      <c r="B12" s="3" t="s">
        <v>79</v>
      </c>
      <c r="C12" s="3" t="n">
        <v>11.9</v>
      </c>
      <c r="D12" s="3" t="n">
        <v>1.41</v>
      </c>
      <c r="E12" s="1" t="n">
        <f aca="false">198.8/50218*100</f>
        <v>0.3958739894</v>
      </c>
      <c r="F12" s="1" t="n">
        <f aca="false">(2176+1828)/50218*100</f>
        <v>7.973236688</v>
      </c>
      <c r="H12" s="5"/>
    </row>
    <row r="13" customFormat="false" ht="15" hidden="false" customHeight="false" outlineLevel="0" collapsed="false">
      <c r="A13" s="2" t="s">
        <v>80</v>
      </c>
      <c r="B13" s="3" t="s">
        <v>81</v>
      </c>
      <c r="C13" s="3" t="n">
        <v>11.88</v>
      </c>
      <c r="D13" s="3" t="n">
        <v>1.99</v>
      </c>
      <c r="E13" s="1" t="n">
        <f aca="false">105.7/62749*100</f>
        <v>0.1684488996</v>
      </c>
      <c r="F13" s="1" t="n">
        <f aca="false">(2872+2173.6)/62749*100</f>
        <v>8.040924955</v>
      </c>
    </row>
    <row r="14" customFormat="false" ht="15" hidden="false" customHeight="false" outlineLevel="0" collapsed="false">
      <c r="A14" s="2" t="s">
        <v>82</v>
      </c>
      <c r="B14" s="3" t="s">
        <v>83</v>
      </c>
      <c r="C14" s="3" t="n">
        <v>13.8</v>
      </c>
      <c r="D14" s="3" t="n">
        <v>2.32</v>
      </c>
      <c r="E14" s="1" t="n">
        <f aca="false">2548.7/528777*100</f>
        <v>0.4819990279</v>
      </c>
      <c r="F14" s="1" t="n">
        <f aca="false">(26805+18656.8)/528777*100</f>
        <v>8.597537336</v>
      </c>
    </row>
    <row r="15" customFormat="false" ht="15" hidden="false" customHeight="false" outlineLevel="0" collapsed="false">
      <c r="A15" s="2" t="s">
        <v>84</v>
      </c>
      <c r="B15" s="3" t="s">
        <v>85</v>
      </c>
      <c r="C15" s="3" t="n">
        <v>11.61</v>
      </c>
      <c r="D15" s="3" t="n">
        <v>1.77</v>
      </c>
      <c r="E15" s="1" t="n">
        <f aca="false">634.2/168350*100</f>
        <v>0.3767151767</v>
      </c>
      <c r="F15" s="1" t="n">
        <f aca="false">(7183+5344.8)/168350*100</f>
        <v>7.441520642</v>
      </c>
    </row>
    <row r="16" customFormat="false" ht="15" hidden="false" customHeight="false" outlineLevel="0" collapsed="false">
      <c r="A16" s="2" t="s">
        <v>86</v>
      </c>
      <c r="B16" s="3" t="s">
        <v>87</v>
      </c>
      <c r="C16" s="3" t="n">
        <v>11.81</v>
      </c>
      <c r="D16" s="3" t="n">
        <v>2.2</v>
      </c>
      <c r="E16" s="1" t="n">
        <f aca="false">118.3/56255*100</f>
        <v>0.2102924185</v>
      </c>
      <c r="F16" s="1" t="n">
        <f aca="false">(2500+1892)/56255*100</f>
        <v>7.807306017</v>
      </c>
    </row>
    <row r="17" customFormat="false" ht="15" hidden="false" customHeight="false" outlineLevel="0" collapsed="false">
      <c r="A17" s="2" t="s">
        <v>88</v>
      </c>
      <c r="B17" s="3" t="s">
        <v>89</v>
      </c>
      <c r="C17" s="3" t="n">
        <v>14.1</v>
      </c>
      <c r="D17" s="3" t="n">
        <v>2.12</v>
      </c>
      <c r="E17" s="1" t="n">
        <f aca="false">450.1/99954*100</f>
        <v>0.4503071413</v>
      </c>
      <c r="F17" s="1" t="n">
        <f aca="false">(5029+4005.6)/99954*100</f>
        <v>9.038757829</v>
      </c>
    </row>
    <row r="18" customFormat="false" ht="15" hidden="false" customHeight="false" outlineLevel="0" collapsed="false">
      <c r="A18" s="2" t="s">
        <v>90</v>
      </c>
      <c r="B18" s="3" t="s">
        <v>91</v>
      </c>
      <c r="C18" s="3" t="n">
        <v>15.69</v>
      </c>
      <c r="D18" s="3" t="n">
        <v>3.26</v>
      </c>
      <c r="E18" s="1" t="n">
        <f aca="false">944.3/276680*100</f>
        <v>0.341296805</v>
      </c>
      <c r="F18" s="1" t="n">
        <f aca="false">(15942+11713.6)/276680*100</f>
        <v>9.995518288</v>
      </c>
    </row>
    <row r="19" customFormat="false" ht="15" hidden="false" customHeight="false" outlineLevel="0" collapsed="false">
      <c r="A19" s="2" t="s">
        <v>92</v>
      </c>
      <c r="B19" s="3" t="s">
        <v>93</v>
      </c>
      <c r="C19" s="3" t="n">
        <v>12.26</v>
      </c>
      <c r="D19" s="3" t="n">
        <v>1.7</v>
      </c>
      <c r="E19" s="1" t="n">
        <f aca="false">395.5/87880*100</f>
        <v>0.4500455166</v>
      </c>
      <c r="F19" s="1" t="n">
        <f aca="false">(3629+3391.2)/87880*100</f>
        <v>7.988393264</v>
      </c>
    </row>
    <row r="20" customFormat="false" ht="15" hidden="false" customHeight="false" outlineLevel="0" collapsed="false">
      <c r="A20" s="2" t="s">
        <v>94</v>
      </c>
      <c r="B20" s="3" t="s">
        <v>95</v>
      </c>
      <c r="C20" s="3" t="n">
        <v>9.41</v>
      </c>
      <c r="D20" s="3" t="n">
        <v>1.69</v>
      </c>
      <c r="E20" s="1" t="n">
        <f aca="false">218.4/94558*100</f>
        <v>0.2309693521</v>
      </c>
      <c r="F20" s="1" t="n">
        <f aca="false">(3630+3336)/94558*100</f>
        <v>7.366907083</v>
      </c>
    </row>
    <row r="21" customFormat="false" ht="15" hidden="false" customHeight="false" outlineLevel="0" collapsed="false">
      <c r="A21" s="2" t="s">
        <v>96</v>
      </c>
      <c r="B21" s="3" t="s">
        <v>97</v>
      </c>
      <c r="C21" s="3" t="n">
        <v>7.82</v>
      </c>
      <c r="D21" s="3" t="n">
        <v>0.75</v>
      </c>
      <c r="E21" s="1" t="n">
        <f aca="false">86.8/53613*100</f>
        <v>0.1619010315</v>
      </c>
      <c r="F21" s="1" t="n">
        <f aca="false">(1748+1144.8)/53613*100</f>
        <v>5.395706265</v>
      </c>
    </row>
    <row r="22" customFormat="false" ht="15" hidden="false" customHeight="false" outlineLevel="0" collapsed="false">
      <c r="A22" s="2" t="s">
        <v>98</v>
      </c>
      <c r="B22" s="3" t="s">
        <v>99</v>
      </c>
      <c r="C22" s="3" t="n">
        <v>10.4</v>
      </c>
      <c r="D22" s="3" t="n">
        <v>1.82</v>
      </c>
      <c r="E22" s="1" t="n">
        <f aca="false">266/80337*100</f>
        <v>0.3311052193</v>
      </c>
      <c r="F22" s="1" t="n">
        <f aca="false">(3137+2269.6)/80837*100</f>
        <v>6.688273934</v>
      </c>
    </row>
    <row r="23" customFormat="false" ht="15" hidden="false" customHeight="false" outlineLevel="0" collapsed="false">
      <c r="A23" s="2" t="s">
        <v>100</v>
      </c>
      <c r="B23" s="3" t="s">
        <v>101</v>
      </c>
      <c r="C23" s="3" t="n">
        <v>11.72</v>
      </c>
      <c r="D23" s="3" t="n">
        <v>1.6</v>
      </c>
      <c r="E23" s="1" t="n">
        <f aca="false">405.3/140880*100</f>
        <v>0.2876916525</v>
      </c>
      <c r="F23" s="1" t="n">
        <f aca="false">(5496+5834.4)/140880*100</f>
        <v>8.042589438</v>
      </c>
    </row>
    <row r="24" customFormat="false" ht="15" hidden="false" customHeight="false" outlineLevel="0" collapsed="false">
      <c r="A24" s="2" t="s">
        <v>102</v>
      </c>
      <c r="B24" s="3" t="s">
        <v>103</v>
      </c>
      <c r="C24" s="3" t="n">
        <v>13.59</v>
      </c>
      <c r="D24" s="3" t="n">
        <v>1.57</v>
      </c>
      <c r="E24" s="1" t="n">
        <f aca="false">259.7/70171*100</f>
        <v>0.3700959086</v>
      </c>
      <c r="F24" s="1" t="n">
        <f aca="false">(3655+2835.2)/70171*100</f>
        <v>9.249120007</v>
      </c>
    </row>
    <row r="25" customFormat="false" ht="15" hidden="false" customHeight="false" outlineLevel="0" collapsed="false">
      <c r="A25" s="2" t="s">
        <v>104</v>
      </c>
      <c r="B25" s="3" t="s">
        <v>105</v>
      </c>
      <c r="C25" s="3" t="n">
        <v>10.2</v>
      </c>
      <c r="D25" s="3" t="n">
        <v>1.35</v>
      </c>
      <c r="E25" s="1" t="n">
        <f aca="false">100.8/59051*100</f>
        <v>0.1706999035</v>
      </c>
      <c r="F25" s="1" t="n">
        <f aca="false">(2097+2086.4)/59051*100</f>
        <v>7.084384684</v>
      </c>
    </row>
    <row r="26" customFormat="false" ht="15" hidden="false" customHeight="false" outlineLevel="0" collapsed="false">
      <c r="A26" s="2" t="s">
        <v>106</v>
      </c>
      <c r="B26" s="3" t="s">
        <v>107</v>
      </c>
      <c r="C26" s="3" t="n">
        <v>10.37</v>
      </c>
      <c r="D26" s="3" t="n">
        <v>1.41</v>
      </c>
      <c r="E26" s="1" t="n">
        <f aca="false">181.3/57157*100</f>
        <v>0.3171964939</v>
      </c>
      <c r="F26" s="1" t="n">
        <f aca="false">(2249+1644.8)/57157*100</f>
        <v>6.812463915</v>
      </c>
    </row>
    <row r="27" customFormat="false" ht="15" hidden="false" customHeight="false" outlineLevel="0" collapsed="false">
      <c r="A27" s="2" t="s">
        <v>56</v>
      </c>
      <c r="C27" s="1" t="n">
        <f aca="false">AVERAGE(C3:C26)</f>
        <v>11.9933333333333</v>
      </c>
      <c r="D27" s="1" t="n">
        <f aca="false">AVERAGE(D3:D26)</f>
        <v>1.84958333333333</v>
      </c>
      <c r="E27" s="1" t="n">
        <f aca="false">AVERAGE(E3:E26)</f>
        <v>0.329897269008333</v>
      </c>
      <c r="F27" s="1" t="n">
        <f aca="false">AVERAGE(F3:F26)</f>
        <v>7.93657145129167</v>
      </c>
    </row>
    <row r="28" customFormat="false" ht="15" hidden="false" customHeight="false" outlineLevel="0" collapsed="false">
      <c r="A28" s="3" t="s">
        <v>57</v>
      </c>
      <c r="C28" s="1" t="n">
        <f aca="false">STDEV(C3:C26)</f>
        <v>2.26244128757193</v>
      </c>
      <c r="D28" s="1" t="n">
        <f aca="false">STDEV(D3:D26)</f>
        <v>0.561306543906165</v>
      </c>
      <c r="E28" s="1" t="n">
        <f aca="false">STDEV(E3:E26)</f>
        <v>0.109619623387861</v>
      </c>
      <c r="F28" s="1" t="n">
        <f aca="false">STDEV(F3:F26)</f>
        <v>1.38332372271521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8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A1" activeCellId="0" sqref="1:1048576"/>
    </sheetView>
  </sheetViews>
  <sheetFormatPr defaultRowHeight="15.75" zeroHeight="false" outlineLevelRow="0" outlineLevelCol="0"/>
  <cols>
    <col collapsed="false" customWidth="true" hidden="false" outlineLevel="0" max="1" min="1" style="1" width="44.71"/>
    <col collapsed="false" customWidth="true" hidden="false" outlineLevel="0" max="2" min="2" style="1" width="53.43"/>
    <col collapsed="false" customWidth="true" hidden="false" outlineLevel="0" max="3" min="3" style="1" width="11.71"/>
    <col collapsed="false" customWidth="true" hidden="false" outlineLevel="0" max="1025" min="4" style="1" width="14.43"/>
  </cols>
  <sheetData>
    <row r="1" customFormat="false" ht="15" hidden="false" customHeight="false" outlineLevel="0" collapsed="false">
      <c r="A1" s="3" t="s">
        <v>0</v>
      </c>
      <c r="B1" s="3" t="s">
        <v>1</v>
      </c>
      <c r="C1" s="3" t="s">
        <v>108</v>
      </c>
      <c r="D1" s="3" t="s">
        <v>109</v>
      </c>
      <c r="E1" s="3" t="s">
        <v>4</v>
      </c>
      <c r="F1" s="3" t="s">
        <v>5</v>
      </c>
    </row>
    <row r="2" customFormat="false" ht="15" hidden="false" customHeight="false" outlineLevel="0" collapsed="false">
      <c r="A2" s="2" t="s">
        <v>110</v>
      </c>
      <c r="B2" s="3" t="s">
        <v>111</v>
      </c>
      <c r="C2" s="3" t="n">
        <v>12.05</v>
      </c>
      <c r="D2" s="3" t="n">
        <v>2.75</v>
      </c>
      <c r="E2" s="1" t="n">
        <f aca="false">189.7/48107*100</f>
        <v>0.3943293076</v>
      </c>
      <c r="F2" s="1" t="n">
        <f aca="false">(2038+1369.6)/48107*100</f>
        <v>7.08337664</v>
      </c>
    </row>
    <row r="3" customFormat="false" ht="15" hidden="false" customHeight="false" outlineLevel="0" collapsed="false">
      <c r="A3" s="2" t="s">
        <v>112</v>
      </c>
      <c r="B3" s="3" t="s">
        <v>113</v>
      </c>
      <c r="C3" s="3" t="n">
        <v>9.35</v>
      </c>
      <c r="D3" s="3" t="n">
        <v>1.38</v>
      </c>
      <c r="E3" s="1" t="n">
        <f aca="false">186.2/84523*100</f>
        <v>0.2202950676</v>
      </c>
      <c r="F3" s="1" t="n">
        <f aca="false">(2852+2343.2)/84523*100</f>
        <v>6.146492671</v>
      </c>
    </row>
    <row r="4" customFormat="false" ht="15" hidden="false" customHeight="false" outlineLevel="0" collapsed="false">
      <c r="A4" s="2" t="s">
        <v>114</v>
      </c>
      <c r="B4" s="3" t="s">
        <v>115</v>
      </c>
      <c r="C4" s="3" t="n">
        <v>11.73</v>
      </c>
      <c r="D4" s="3" t="n">
        <v>1.6</v>
      </c>
      <c r="E4" s="1" t="n">
        <f aca="false">424.9/162297*100</f>
        <v>0.2618039767</v>
      </c>
      <c r="F4" s="1" t="n">
        <f aca="false">(6357+6687.2)/162297*100</f>
        <v>8.037240368</v>
      </c>
    </row>
    <row r="5" customFormat="false" ht="15" hidden="false" customHeight="false" outlineLevel="0" collapsed="false">
      <c r="A5" s="2" t="s">
        <v>116</v>
      </c>
      <c r="B5" s="3" t="s">
        <v>117</v>
      </c>
      <c r="C5" s="3" t="n">
        <v>11.32</v>
      </c>
      <c r="D5" s="3" t="n">
        <v>1.34</v>
      </c>
      <c r="E5" s="1" t="n">
        <f aca="false">449.4/149272*100</f>
        <v>0.3010611501</v>
      </c>
      <c r="F5" s="1" t="n">
        <f aca="false">(5803+6106.4)/149272*100</f>
        <v>7.978321453</v>
      </c>
    </row>
    <row r="6" customFormat="false" ht="15" hidden="false" customHeight="false" outlineLevel="0" collapsed="false">
      <c r="A6" s="2" t="s">
        <v>118</v>
      </c>
      <c r="B6" s="3" t="s">
        <v>119</v>
      </c>
      <c r="C6" s="3" t="n">
        <v>11.3</v>
      </c>
      <c r="D6" s="3" t="n">
        <v>1.69</v>
      </c>
      <c r="E6" s="1" t="n">
        <f aca="false">90.3/34158*100</f>
        <v>0.26435974</v>
      </c>
      <c r="F6" s="1" t="n">
        <f aca="false">(1317+1235.2)/34158*100</f>
        <v>7.471748931</v>
      </c>
    </row>
    <row r="7" customFormat="false" ht="15" hidden="false" customHeight="false" outlineLevel="0" collapsed="false">
      <c r="A7" s="2" t="s">
        <v>120</v>
      </c>
      <c r="B7" s="3" t="s">
        <v>121</v>
      </c>
      <c r="C7" s="3" t="n">
        <v>13.92</v>
      </c>
      <c r="D7" s="3" t="n">
        <v>1.86</v>
      </c>
      <c r="E7" s="1" t="n">
        <f aca="false">130.2/26216*100</f>
        <v>0.4966432713</v>
      </c>
      <c r="F7" s="1" t="n">
        <f aca="false">(1401+952.8)/26216*100</f>
        <v>8.978486421</v>
      </c>
    </row>
    <row r="8" customFormat="false" ht="15" hidden="false" customHeight="false" outlineLevel="0" collapsed="false">
      <c r="A8" s="2" t="s">
        <v>122</v>
      </c>
      <c r="B8" s="3" t="s">
        <v>123</v>
      </c>
      <c r="C8" s="3" t="n">
        <v>13.47</v>
      </c>
      <c r="D8" s="3" t="n">
        <v>2.14</v>
      </c>
      <c r="E8" s="1" t="n">
        <f aca="false">448.7/148290*100</f>
        <v>0.302582777</v>
      </c>
      <c r="F8" s="1" t="n">
        <f aca="false">(7000+5774.4)/148290*100</f>
        <v>8.614471643</v>
      </c>
    </row>
    <row r="9" customFormat="false" ht="15" hidden="false" customHeight="false" outlineLevel="0" collapsed="false">
      <c r="A9" s="2" t="s">
        <v>124</v>
      </c>
      <c r="B9" s="4" t="s">
        <v>125</v>
      </c>
      <c r="C9" s="3" t="n">
        <v>11.08</v>
      </c>
      <c r="D9" s="3" t="n">
        <v>1.59</v>
      </c>
      <c r="E9" s="1" t="n">
        <f aca="false">289.8/101608*100</f>
        <v>0.2852137627</v>
      </c>
      <c r="F9" s="1" t="n">
        <f aca="false">(4084+3281.6)/101608*100</f>
        <v>7.249035509</v>
      </c>
    </row>
    <row r="10" customFormat="false" ht="15" hidden="false" customHeight="false" outlineLevel="0" collapsed="false">
      <c r="A10" s="2" t="s">
        <v>126</v>
      </c>
      <c r="B10" s="3" t="s">
        <v>127</v>
      </c>
      <c r="C10" s="3" t="n">
        <v>11.77</v>
      </c>
      <c r="D10" s="3" t="n">
        <v>1.56</v>
      </c>
      <c r="E10" s="1" t="n">
        <f aca="false">195.3/59400*100</f>
        <v>0.3287878788</v>
      </c>
      <c r="F10" s="1" t="n">
        <f aca="false">(2523+2125.6)/59400*100</f>
        <v>7.825925926</v>
      </c>
    </row>
    <row r="11" customFormat="false" ht="15" hidden="false" customHeight="false" outlineLevel="0" collapsed="false">
      <c r="A11" s="2" t="s">
        <v>128</v>
      </c>
      <c r="B11" s="3" t="s">
        <v>129</v>
      </c>
      <c r="C11" s="3" t="n">
        <v>15.13</v>
      </c>
      <c r="D11" s="3" t="n">
        <v>2.26</v>
      </c>
      <c r="E11" s="1" t="n">
        <f aca="false">151.9/44409*100</f>
        <v>0.3420477831</v>
      </c>
      <c r="F11" s="1" t="n">
        <f aca="false">(2389+2000)/44409*100</f>
        <v>9.883131798</v>
      </c>
    </row>
    <row r="12" customFormat="false" ht="15" hidden="false" customHeight="false" outlineLevel="0" collapsed="false">
      <c r="A12" s="2" t="s">
        <v>130</v>
      </c>
      <c r="B12" s="3" t="s">
        <v>131</v>
      </c>
      <c r="C12" s="3" t="n">
        <v>14.07</v>
      </c>
      <c r="D12" s="3" t="n">
        <v>1.97</v>
      </c>
      <c r="E12" s="1" t="n">
        <f aca="false">238/67568*100</f>
        <v>0.3522377457</v>
      </c>
      <c r="F12" s="1" t="n">
        <f aca="false">(3415+2922.4)/67568*100</f>
        <v>9.379291973</v>
      </c>
    </row>
    <row r="13" customFormat="false" ht="15" hidden="false" customHeight="false" outlineLevel="0" collapsed="false">
      <c r="A13" s="2" t="s">
        <v>132</v>
      </c>
      <c r="B13" s="3" t="s">
        <v>133</v>
      </c>
      <c r="C13" s="3" t="n">
        <v>15.26</v>
      </c>
      <c r="D13" s="3" t="n">
        <v>2.22</v>
      </c>
      <c r="E13" s="1" t="n">
        <f aca="false">596.4/174263*100</f>
        <v>0.3422413249</v>
      </c>
      <c r="F13" s="1" t="n">
        <f aca="false">(10063+6964.8)/174263*100</f>
        <v>9.771322656</v>
      </c>
    </row>
    <row r="14" customFormat="false" ht="15" hidden="false" customHeight="false" outlineLevel="0" collapsed="false">
      <c r="A14" s="2" t="s">
        <v>134</v>
      </c>
      <c r="B14" s="3" t="s">
        <v>135</v>
      </c>
      <c r="C14" s="3" t="n">
        <v>11.7</v>
      </c>
      <c r="D14" s="3" t="n">
        <v>2</v>
      </c>
      <c r="E14" s="1" t="n">
        <f aca="false">200.9/62909*100</f>
        <v>0.3193501725</v>
      </c>
      <c r="F14" s="1" t="n">
        <f aca="false">(2539+2112.8)/62909*100</f>
        <v>7.394490454</v>
      </c>
    </row>
    <row r="15" customFormat="false" ht="15" hidden="false" customHeight="false" outlineLevel="0" collapsed="false">
      <c r="A15" s="2" t="s">
        <v>136</v>
      </c>
      <c r="B15" s="3" t="s">
        <v>137</v>
      </c>
      <c r="C15" s="3" t="n">
        <v>15.95</v>
      </c>
      <c r="D15" s="3" t="n">
        <v>2.48</v>
      </c>
      <c r="E15" s="1" t="n">
        <f aca="false">175.7/46360*100</f>
        <v>0.3789905091</v>
      </c>
      <c r="F15" s="1" t="n">
        <f aca="false">(2603+2130.4)/46360*100</f>
        <v>10.21009491</v>
      </c>
    </row>
    <row r="16" customFormat="false" ht="15" hidden="false" customHeight="false" outlineLevel="0" collapsed="false">
      <c r="A16" s="2" t="s">
        <v>138</v>
      </c>
      <c r="B16" s="3" t="s">
        <v>139</v>
      </c>
      <c r="C16" s="3" t="n">
        <v>9.99</v>
      </c>
      <c r="D16" s="3" t="n">
        <v>1.38</v>
      </c>
      <c r="E16" s="1" t="n">
        <f aca="false">245/79375*100</f>
        <v>0.3086614173</v>
      </c>
      <c r="F16" s="1" t="n">
        <f aca="false">(2892+2313.6)/79375*100</f>
        <v>6.55823622</v>
      </c>
    </row>
    <row r="17" customFormat="false" ht="15" hidden="false" customHeight="false" outlineLevel="0" collapsed="false">
      <c r="A17" s="2" t="s">
        <v>140</v>
      </c>
      <c r="B17" s="3" t="s">
        <v>141</v>
      </c>
      <c r="C17" s="3" t="n">
        <v>11.94</v>
      </c>
      <c r="D17" s="3" t="n">
        <v>1.81</v>
      </c>
      <c r="E17" s="1" t="n">
        <f aca="false">91.7/40472*100</f>
        <v>0.2265763985</v>
      </c>
      <c r="F17" s="1" t="n">
        <f aca="false">(1731+1441.6)/40472*100</f>
        <v>7.838999802</v>
      </c>
    </row>
    <row r="18" customFormat="false" ht="15" hidden="false" customHeight="false" outlineLevel="0" collapsed="false">
      <c r="A18" s="2" t="s">
        <v>142</v>
      </c>
      <c r="B18" s="3" t="s">
        <v>143</v>
      </c>
      <c r="C18" s="3" t="n">
        <v>14.47</v>
      </c>
      <c r="D18" s="3" t="n">
        <v>1.62</v>
      </c>
      <c r="E18" s="1" t="n">
        <f aca="false">386/116844*100</f>
        <v>0.3303550033</v>
      </c>
      <c r="F18" s="1" t="n">
        <f aca="false">(6337+4740)/116844*100</f>
        <v>9.480161583</v>
      </c>
    </row>
    <row r="19" customFormat="false" ht="15" hidden="false" customHeight="false" outlineLevel="0" collapsed="false">
      <c r="A19" s="2" t="s">
        <v>144</v>
      </c>
      <c r="B19" s="3" t="s">
        <v>145</v>
      </c>
      <c r="C19" s="3" t="n">
        <v>9.65</v>
      </c>
      <c r="D19" s="3" t="n">
        <v>1.25</v>
      </c>
      <c r="E19" s="1" t="n">
        <f aca="false">112.7/41055*100</f>
        <v>0.2745098039</v>
      </c>
      <c r="F19" s="1" t="n">
        <f aca="false">(1416+1390.4)/41055*100</f>
        <v>6.835708196</v>
      </c>
    </row>
    <row r="20" customFormat="false" ht="15" hidden="false" customHeight="false" outlineLevel="0" collapsed="false">
      <c r="A20" s="2" t="s">
        <v>146</v>
      </c>
      <c r="B20" s="3" t="s">
        <v>147</v>
      </c>
      <c r="C20" s="3" t="n">
        <v>12.43</v>
      </c>
      <c r="D20" s="3" t="n">
        <v>2.27</v>
      </c>
      <c r="E20" s="1" t="n">
        <f aca="false">124.6/37394*100</f>
        <v>0.3332085361</v>
      </c>
      <c r="F20" s="1" t="n">
        <f aca="false">(1571+1426.4)/37394*100</f>
        <v>8.015724448</v>
      </c>
    </row>
    <row r="21" customFormat="false" ht="15" hidden="false" customHeight="false" outlineLevel="0" collapsed="false">
      <c r="A21" s="2" t="s">
        <v>148</v>
      </c>
      <c r="B21" s="3" t="s">
        <v>149</v>
      </c>
      <c r="C21" s="3" t="n">
        <v>13.82</v>
      </c>
      <c r="D21" s="3" t="n">
        <v>2.01</v>
      </c>
      <c r="E21" s="1" t="n">
        <f aca="false">187.6/37191*100</f>
        <v>0.5044231131</v>
      </c>
      <c r="F21" s="1" t="n">
        <f aca="false">(1956+1379.2)/37191*100</f>
        <v>8.967761017</v>
      </c>
    </row>
    <row r="22" customFormat="false" ht="15" hidden="false" customHeight="false" outlineLevel="0" collapsed="false">
      <c r="A22" s="2" t="s">
        <v>150</v>
      </c>
      <c r="B22" s="3" t="s">
        <v>151</v>
      </c>
      <c r="C22" s="3" t="n">
        <v>13.92</v>
      </c>
      <c r="D22" s="3" t="n">
        <v>2.02</v>
      </c>
      <c r="E22" s="1" t="n">
        <f aca="false">22.4/9620*100</f>
        <v>0.2328482328</v>
      </c>
      <c r="F22" s="1" t="n">
        <f aca="false">(472+366.4)/9620*100</f>
        <v>8.715176715</v>
      </c>
    </row>
    <row r="23" customFormat="false" ht="15" hidden="false" customHeight="false" outlineLevel="0" collapsed="false">
      <c r="A23" s="2" t="s">
        <v>152</v>
      </c>
      <c r="B23" s="3" t="s">
        <v>153</v>
      </c>
      <c r="C23" s="3" t="n">
        <v>13.2</v>
      </c>
      <c r="D23" s="3" t="n">
        <v>2.33</v>
      </c>
      <c r="E23" s="1" t="n">
        <f aca="false">353.5/108732*100</f>
        <v>0.3251112828</v>
      </c>
      <c r="F23" s="1" t="n">
        <f aca="false">(5291+3671.2)/108732*100</f>
        <v>8.242467719</v>
      </c>
    </row>
    <row r="24" customFormat="false" ht="15" hidden="false" customHeight="false" outlineLevel="0" collapsed="false">
      <c r="A24" s="2" t="s">
        <v>154</v>
      </c>
      <c r="B24" s="3" t="s">
        <v>155</v>
      </c>
      <c r="C24" s="3" t="n">
        <v>14.23</v>
      </c>
      <c r="D24" s="3" t="n">
        <v>2.37</v>
      </c>
      <c r="E24" s="1" t="n">
        <f aca="false">427/109385*100</f>
        <v>0.3903643095</v>
      </c>
      <c r="F24" s="1" t="n">
        <f aca="false">(5585+4353.6)/109385*100</f>
        <v>9.08588929</v>
      </c>
    </row>
    <row r="25" customFormat="false" ht="15" hidden="false" customHeight="false" outlineLevel="0" collapsed="false">
      <c r="A25" s="2" t="s">
        <v>156</v>
      </c>
      <c r="B25" s="3" t="s">
        <v>157</v>
      </c>
      <c r="C25" s="3" t="n">
        <v>15.42</v>
      </c>
      <c r="D25" s="3" t="n">
        <v>2.26</v>
      </c>
      <c r="E25" s="1" t="n">
        <f aca="false">235.2/45189*100</f>
        <v>0.5204806479</v>
      </c>
      <c r="F25" s="1" t="n">
        <f aca="false">(2502+1988.8)/45189*100</f>
        <v>9.937816725</v>
      </c>
    </row>
    <row r="26" customFormat="false" ht="15" hidden="false" customHeight="false" outlineLevel="0" collapsed="false">
      <c r="A26" s="2" t="s">
        <v>158</v>
      </c>
      <c r="B26" s="3" t="s">
        <v>159</v>
      </c>
      <c r="C26" s="3" t="n">
        <v>15.2</v>
      </c>
      <c r="D26" s="3" t="n">
        <v>1.44</v>
      </c>
      <c r="E26" s="1" t="n">
        <f aca="false">210/44152*100</f>
        <v>0.4756296431</v>
      </c>
      <c r="F26" s="1" t="n">
        <f aca="false">(2356+2365.6)/44152*100</f>
        <v>10.6939663</v>
      </c>
    </row>
    <row r="27" customFormat="false" ht="15" hidden="false" customHeight="false" outlineLevel="0" collapsed="false">
      <c r="A27" s="2" t="s">
        <v>56</v>
      </c>
      <c r="C27" s="3" t="n">
        <f aca="false">AVERAGE(C2:C26)</f>
        <v>12.8948</v>
      </c>
      <c r="D27" s="3" t="n">
        <f aca="false">AVERAGE(D2:D26)</f>
        <v>1.904</v>
      </c>
      <c r="E27" s="3" t="n">
        <f aca="false">AVERAGE(E2:E26)</f>
        <v>0.340484514216</v>
      </c>
      <c r="F27" s="3" t="n">
        <f aca="false">AVERAGE(F2:F26)</f>
        <v>8.41581357472</v>
      </c>
    </row>
    <row r="28" customFormat="false" ht="15" hidden="false" customHeight="false" outlineLevel="0" collapsed="false">
      <c r="A28" s="3" t="s">
        <v>57</v>
      </c>
      <c r="C28" s="6" t="n">
        <f aca="false">STDEV(C2:C26)</f>
        <v>1.89717140325626</v>
      </c>
      <c r="D28" s="6" t="n">
        <f aca="false">STDEV(D2:D26)</f>
        <v>0.407441202302042</v>
      </c>
      <c r="E28" s="6" t="n">
        <f aca="false">STDEV(E2:E26)</f>
        <v>0.0847338816627316</v>
      </c>
      <c r="F28" s="6" t="n">
        <f aca="false">STDEV(F2:F26)</f>
        <v>1.21364784631121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8"/>
  <sheetViews>
    <sheetView showFormulas="false" showGridLines="true" showRowColHeaders="true" showZeros="true" rightToLeft="false" tabSelected="false" showOutlineSymbols="true" defaultGridColor="true" view="normal" topLeftCell="A14" colorId="64" zoomScale="100" zoomScaleNormal="100" zoomScalePageLayoutView="100" workbookViewId="0">
      <selection pane="topLeft" activeCell="B31" activeCellId="0" sqref="1:1048576"/>
    </sheetView>
  </sheetViews>
  <sheetFormatPr defaultRowHeight="15.75" zeroHeight="false" outlineLevelRow="0" outlineLevelCol="0"/>
  <cols>
    <col collapsed="false" customWidth="true" hidden="false" outlineLevel="0" max="1" min="1" style="1" width="37.86"/>
    <col collapsed="false" customWidth="true" hidden="false" outlineLevel="0" max="2" min="2" style="1" width="58.29"/>
    <col collapsed="false" customWidth="true" hidden="false" outlineLevel="0" max="1025" min="3" style="1" width="14.43"/>
  </cols>
  <sheetData>
    <row r="1" customFormat="false" ht="15" hidden="false" customHeight="false" outlineLevel="0" collapsed="false">
      <c r="A1" s="3" t="s">
        <v>0</v>
      </c>
      <c r="B1" s="3" t="s">
        <v>1</v>
      </c>
      <c r="C1" s="3" t="s">
        <v>108</v>
      </c>
      <c r="D1" s="3" t="s">
        <v>109</v>
      </c>
      <c r="E1" s="3" t="s">
        <v>4</v>
      </c>
      <c r="F1" s="3" t="s">
        <v>5</v>
      </c>
    </row>
    <row r="2" customFormat="false" ht="15" hidden="false" customHeight="false" outlineLevel="0" collapsed="false">
      <c r="A2" s="2" t="s">
        <v>160</v>
      </c>
      <c r="B2" s="3" t="s">
        <v>161</v>
      </c>
      <c r="C2" s="3" t="n">
        <v>10.36</v>
      </c>
      <c r="D2" s="3" t="n">
        <v>1.74</v>
      </c>
      <c r="E2" s="1" t="n">
        <f aca="false">103.6/77257*100</f>
        <v>0.1340978811</v>
      </c>
      <c r="F2" s="1" t="n">
        <f aca="false">(3082+2033.6)/77257*100</f>
        <v>6.621535913</v>
      </c>
    </row>
    <row r="3" customFormat="false" ht="15" hidden="false" customHeight="false" outlineLevel="0" collapsed="false">
      <c r="A3" s="2" t="s">
        <v>162</v>
      </c>
      <c r="B3" s="3" t="s">
        <v>163</v>
      </c>
      <c r="C3" s="3" t="n">
        <v>13.07</v>
      </c>
      <c r="D3" s="3" t="n">
        <v>1.86</v>
      </c>
      <c r="E3" s="1" t="n">
        <f aca="false">207.2/48741*100</f>
        <v>0.4251041218</v>
      </c>
      <c r="F3" s="1" t="n">
        <f aca="false">(2411+1764.8)/48741*100</f>
        <v>8.56732525</v>
      </c>
    </row>
    <row r="4" customFormat="false" ht="15" hidden="false" customHeight="false" outlineLevel="0" collapsed="false">
      <c r="A4" s="2" t="s">
        <v>164</v>
      </c>
      <c r="B4" s="3" t="s">
        <v>165</v>
      </c>
      <c r="C4" s="3" t="n">
        <v>14.1</v>
      </c>
      <c r="D4" s="3" t="n">
        <v>1.94</v>
      </c>
      <c r="E4" s="1" t="n">
        <f aca="false">187.6/40291*100</f>
        <v>0.4656126678</v>
      </c>
      <c r="F4" s="1" t="n">
        <f aca="false">(2160+1618.4)/40291*100</f>
        <v>9.377776675</v>
      </c>
    </row>
    <row r="5" customFormat="false" ht="15" hidden="false" customHeight="false" outlineLevel="0" collapsed="false">
      <c r="A5" s="2" t="s">
        <v>166</v>
      </c>
      <c r="B5" s="3" t="s">
        <v>167</v>
      </c>
      <c r="C5" s="3" t="n">
        <v>11.84</v>
      </c>
      <c r="D5" s="3" t="n">
        <v>1.38</v>
      </c>
      <c r="E5" s="1" t="n">
        <f aca="false">181.3/64210*100</f>
        <v>0.2823547734</v>
      </c>
      <c r="F5" s="1" t="n">
        <f aca="false">(2999+2239.2)/64210*100</f>
        <v>8.157919327</v>
      </c>
    </row>
    <row r="6" customFormat="false" ht="15" hidden="false" customHeight="false" outlineLevel="0" collapsed="false">
      <c r="A6" s="2" t="s">
        <v>168</v>
      </c>
      <c r="B6" s="3" t="s">
        <v>169</v>
      </c>
      <c r="C6" s="3" t="n">
        <v>12.26</v>
      </c>
      <c r="D6" s="3" t="n">
        <v>1.7</v>
      </c>
      <c r="E6" s="1" t="n">
        <f aca="false">505.4/108222*100</f>
        <v>0.4670030123</v>
      </c>
      <c r="F6" s="1" t="n">
        <f aca="false">(5152+3312)/108222*100</f>
        <v>7.820960618</v>
      </c>
    </row>
    <row r="7" customFormat="false" ht="15" hidden="false" customHeight="false" outlineLevel="0" collapsed="false">
      <c r="A7" s="2" t="s">
        <v>170</v>
      </c>
      <c r="B7" s="3" t="s">
        <v>171</v>
      </c>
      <c r="C7" s="3" t="n">
        <v>11.19</v>
      </c>
      <c r="D7" s="3" t="n">
        <v>1.79</v>
      </c>
      <c r="E7" s="1" t="n">
        <f aca="false">403.9/143232*100</f>
        <v>0.2819900581</v>
      </c>
      <c r="F7" s="1" t="n">
        <f aca="false">(5603+4696)/143232*100</f>
        <v>7.190432306</v>
      </c>
    </row>
    <row r="8" customFormat="false" ht="15" hidden="false" customHeight="false" outlineLevel="0" collapsed="false">
      <c r="A8" s="2" t="s">
        <v>172</v>
      </c>
      <c r="B8" s="3" t="s">
        <v>173</v>
      </c>
      <c r="C8" s="3" t="n">
        <v>10.93</v>
      </c>
      <c r="D8" s="3" t="n">
        <v>1.23</v>
      </c>
      <c r="E8" s="1" t="n">
        <f aca="false">158.9/47854*100</f>
        <v>0.3320516571</v>
      </c>
      <c r="F8" s="1" t="n">
        <f aca="false">(1955+1430.4)/47854*100</f>
        <v>7.074434739</v>
      </c>
    </row>
    <row r="9" customFormat="false" ht="15" hidden="false" customHeight="false" outlineLevel="0" collapsed="false">
      <c r="A9" s="2" t="s">
        <v>174</v>
      </c>
      <c r="B9" s="3" t="s">
        <v>175</v>
      </c>
      <c r="C9" s="3" t="n">
        <v>14.06</v>
      </c>
      <c r="D9" s="3" t="n">
        <v>1.97</v>
      </c>
      <c r="E9" s="1" t="n">
        <f aca="false">453.6/112100*100</f>
        <v>0.4046387154</v>
      </c>
      <c r="F9" s="1" t="n">
        <f aca="false">(5701+4300)/112100*100</f>
        <v>8.921498662</v>
      </c>
    </row>
    <row r="10" customFormat="false" ht="15" hidden="false" customHeight="false" outlineLevel="0" collapsed="false">
      <c r="A10" s="2" t="s">
        <v>176</v>
      </c>
      <c r="B10" s="3" t="s">
        <v>177</v>
      </c>
      <c r="C10" s="3" t="n">
        <v>15.86</v>
      </c>
      <c r="D10" s="3" t="n">
        <v>2.37</v>
      </c>
      <c r="E10" s="1" t="n">
        <f aca="false">214.2/68051*100</f>
        <v>0.3147639271</v>
      </c>
      <c r="F10" s="1" t="n">
        <f aca="false">(4277+2380)/68051*100</f>
        <v>9.782369106</v>
      </c>
    </row>
    <row r="11" customFormat="false" ht="15" hidden="false" customHeight="false" outlineLevel="0" collapsed="false">
      <c r="A11" s="2" t="s">
        <v>178</v>
      </c>
      <c r="B11" s="3" t="s">
        <v>179</v>
      </c>
      <c r="C11" s="3" t="n">
        <v>12.11</v>
      </c>
      <c r="D11" s="3" t="n">
        <v>1.82</v>
      </c>
      <c r="E11" s="1" t="n">
        <f aca="false">272.3/77887*100</f>
        <v>0.349609049</v>
      </c>
      <c r="F11" s="1" t="n">
        <f aca="false">(3260+3008)/77887*100</f>
        <v>8.047556075</v>
      </c>
    </row>
    <row r="12" customFormat="false" ht="15" hidden="false" customHeight="false" outlineLevel="0" collapsed="false">
      <c r="A12" s="2" t="s">
        <v>180</v>
      </c>
      <c r="B12" s="3" t="s">
        <v>181</v>
      </c>
      <c r="C12" s="3" t="n">
        <v>15.09</v>
      </c>
      <c r="D12" s="3" t="n">
        <v>2.43</v>
      </c>
      <c r="E12" s="1" t="n">
        <f aca="false">694.4/84217*100</f>
        <v>0.8245366137</v>
      </c>
      <c r="F12" s="1" t="n">
        <f aca="false">(4693+3173.6)/84217*100</f>
        <v>9.340869421</v>
      </c>
    </row>
    <row r="13" customFormat="false" ht="15" hidden="false" customHeight="false" outlineLevel="0" collapsed="false">
      <c r="A13" s="2" t="s">
        <v>182</v>
      </c>
      <c r="B13" s="3" t="s">
        <v>183</v>
      </c>
      <c r="C13" s="3" t="n">
        <v>12.44</v>
      </c>
      <c r="D13" s="3" t="n">
        <v>2.63</v>
      </c>
      <c r="E13" s="1" t="n">
        <f aca="false">352.8/96559*100</f>
        <v>0.3653724666</v>
      </c>
      <c r="F13" s="1" t="n">
        <f aca="false">(4071+3167)/96559*100</f>
        <v>7.495935128</v>
      </c>
    </row>
    <row r="14" customFormat="false" ht="15" hidden="false" customHeight="false" outlineLevel="0" collapsed="false">
      <c r="A14" s="2" t="s">
        <v>184</v>
      </c>
      <c r="B14" s="3" t="s">
        <v>185</v>
      </c>
      <c r="C14" s="3" t="n">
        <v>10.99</v>
      </c>
      <c r="D14" s="3" t="n">
        <v>2.1</v>
      </c>
      <c r="E14" s="1" t="n">
        <f aca="false">609/170572*100</f>
        <v>0.3570339798</v>
      </c>
      <c r="F14" s="1" t="n">
        <f aca="false">(6636+4858)/170572*100</f>
        <v>6.738503389</v>
      </c>
    </row>
    <row r="15" customFormat="false" ht="15" hidden="false" customHeight="false" outlineLevel="0" collapsed="false">
      <c r="A15" s="2" t="s">
        <v>186</v>
      </c>
      <c r="B15" s="3" t="s">
        <v>187</v>
      </c>
      <c r="C15" s="3" t="n">
        <v>16.74</v>
      </c>
      <c r="D15" s="3" t="n">
        <v>2.11</v>
      </c>
      <c r="E15" s="1" t="n">
        <f aca="false">322/62464*100</f>
        <v>0.5154969262</v>
      </c>
      <c r="F15" s="1" t="n">
        <f aca="false">(3778+3224)/62464*100</f>
        <v>11.20965676</v>
      </c>
    </row>
    <row r="16" customFormat="false" ht="15" hidden="false" customHeight="false" outlineLevel="0" collapsed="false">
      <c r="A16" s="2" t="s">
        <v>188</v>
      </c>
      <c r="B16" s="3" t="s">
        <v>189</v>
      </c>
      <c r="C16" s="3" t="n">
        <v>16.31</v>
      </c>
      <c r="D16" s="3" t="n">
        <v>2.53</v>
      </c>
      <c r="E16" s="1" t="n">
        <f aca="false">409.5/74361*100</f>
        <v>0.5506918949</v>
      </c>
      <c r="F16" s="1" t="n">
        <f aca="false">(4769+2915.2)/74361*100</f>
        <v>10.33364264</v>
      </c>
    </row>
    <row r="17" customFormat="false" ht="15" hidden="false" customHeight="false" outlineLevel="0" collapsed="false">
      <c r="A17" s="2" t="s">
        <v>190</v>
      </c>
      <c r="B17" s="3" t="s">
        <v>191</v>
      </c>
      <c r="C17" s="3" t="n">
        <v>15.35</v>
      </c>
      <c r="D17" s="3" t="n">
        <v>2.01</v>
      </c>
      <c r="E17" s="1" t="n">
        <f aca="false">116.9/27695*100</f>
        <v>0.4220978516</v>
      </c>
      <c r="F17" s="1" t="n">
        <f aca="false">(1613+1176)/27695*100</f>
        <v>10.07040982</v>
      </c>
    </row>
    <row r="18" customFormat="false" ht="15" hidden="false" customHeight="false" outlineLevel="0" collapsed="false">
      <c r="A18" s="2" t="s">
        <v>192</v>
      </c>
      <c r="B18" s="3" t="s">
        <v>193</v>
      </c>
      <c r="C18" s="3" t="n">
        <v>14.87</v>
      </c>
      <c r="D18" s="3" t="n">
        <v>1.74</v>
      </c>
      <c r="E18" s="1" t="n">
        <f aca="false">230.3/53428*100</f>
        <v>0.4310473909</v>
      </c>
      <c r="F18" s="1" t="n">
        <f aca="false">(2954+2382.4)/53428*100</f>
        <v>9.988021262</v>
      </c>
    </row>
    <row r="19" customFormat="false" ht="15" hidden="false" customHeight="false" outlineLevel="0" collapsed="false">
      <c r="A19" s="2" t="s">
        <v>194</v>
      </c>
      <c r="B19" s="3" t="s">
        <v>195</v>
      </c>
      <c r="C19" s="3" t="n">
        <v>12.23</v>
      </c>
      <c r="D19" s="3" t="n">
        <v>2.36</v>
      </c>
      <c r="E19" s="1" t="n">
        <f aca="false">236.6/63878*100</f>
        <v>0.3703935627</v>
      </c>
      <c r="F19" s="1" t="n">
        <f aca="false">(2842+1860.8)/63878*100</f>
        <v>7.362159116</v>
      </c>
    </row>
    <row r="20" customFormat="false" ht="15" hidden="false" customHeight="false" outlineLevel="0" collapsed="false">
      <c r="A20" s="2" t="s">
        <v>196</v>
      </c>
      <c r="B20" s="3" t="s">
        <v>197</v>
      </c>
      <c r="C20" s="3" t="n">
        <v>14.02</v>
      </c>
      <c r="D20" s="3" t="n">
        <v>1.87</v>
      </c>
      <c r="E20" s="1" t="n">
        <f aca="false">400.4/102548*100</f>
        <v>0.3904513009</v>
      </c>
      <c r="F20" s="1" t="n">
        <f aca="false">(5326+4127.2)/102548*100</f>
        <v>9.218317276</v>
      </c>
    </row>
    <row r="21" customFormat="false" ht="15" hidden="false" customHeight="false" outlineLevel="0" collapsed="false">
      <c r="A21" s="2" t="s">
        <v>198</v>
      </c>
      <c r="B21" s="3" t="s">
        <v>199</v>
      </c>
      <c r="C21" s="3" t="n">
        <v>10.17</v>
      </c>
      <c r="D21" s="3" t="n">
        <v>2.25</v>
      </c>
      <c r="E21" s="1" t="n">
        <f aca="false">136.5/39845*100</f>
        <v>0.3425774878</v>
      </c>
      <c r="F21" s="1" t="n">
        <f aca="false">(1531+927.2)/39845*100</f>
        <v>6.16940645</v>
      </c>
    </row>
    <row r="22" customFormat="false" ht="15" hidden="false" customHeight="false" outlineLevel="0" collapsed="false">
      <c r="A22" s="2" t="s">
        <v>200</v>
      </c>
      <c r="B22" s="3" t="s">
        <v>201</v>
      </c>
      <c r="C22" s="3" t="n">
        <v>10.38</v>
      </c>
      <c r="D22" s="3" t="n">
        <v>1.76</v>
      </c>
      <c r="E22" s="1" t="n">
        <f aca="false">244.3/102213*100</f>
        <v>0.2390106934</v>
      </c>
      <c r="F22" s="1" t="n">
        <f aca="false">(3660+2991.2)/102213*100</f>
        <v>6.507195758</v>
      </c>
    </row>
    <row r="23" customFormat="false" ht="15" hidden="false" customHeight="false" outlineLevel="0" collapsed="false">
      <c r="A23" s="2" t="s">
        <v>202</v>
      </c>
      <c r="B23" s="3" t="s">
        <v>203</v>
      </c>
      <c r="C23" s="3" t="n">
        <v>11.83</v>
      </c>
      <c r="D23" s="3" t="n">
        <v>1.52</v>
      </c>
      <c r="E23" s="1" t="n">
        <f aca="false">304.5/82530*100</f>
        <v>0.368956743</v>
      </c>
      <c r="F23" s="1" t="n">
        <f aca="false">(3628+2828)/82530*100</f>
        <v>7.82260996</v>
      </c>
    </row>
    <row r="24" customFormat="false" ht="15" hidden="false" customHeight="false" outlineLevel="0" collapsed="false">
      <c r="A24" s="2" t="s">
        <v>204</v>
      </c>
      <c r="B24" s="3" t="s">
        <v>205</v>
      </c>
      <c r="C24" s="3" t="n">
        <v>11.81</v>
      </c>
      <c r="D24" s="3" t="n">
        <v>1.76</v>
      </c>
      <c r="E24" s="1" t="n">
        <f aca="false">289.8/96002*100</f>
        <v>0.3018687111</v>
      </c>
      <c r="F24" s="1" t="n">
        <f aca="false">(3801+3561.6)/96002*100</f>
        <v>7.669215225</v>
      </c>
    </row>
    <row r="25" customFormat="false" ht="15" hidden="false" customHeight="false" outlineLevel="0" collapsed="false">
      <c r="A25" s="2" t="s">
        <v>206</v>
      </c>
      <c r="B25" s="3" t="s">
        <v>207</v>
      </c>
      <c r="C25" s="3" t="n">
        <v>11.21</v>
      </c>
      <c r="D25" s="3" t="n">
        <v>1.83</v>
      </c>
      <c r="E25" s="1" t="n">
        <f aca="false">248.5/66782*100</f>
        <v>0.3721062562</v>
      </c>
      <c r="F25" s="1" t="n">
        <f aca="false">(2645+2225.6)/66782*100</f>
        <v>7.293282621</v>
      </c>
    </row>
    <row r="26" customFormat="false" ht="15" hidden="false" customHeight="false" outlineLevel="0" collapsed="false">
      <c r="A26" s="2" t="s">
        <v>208</v>
      </c>
      <c r="B26" s="3" t="s">
        <v>209</v>
      </c>
      <c r="C26" s="3" t="n">
        <v>11.73</v>
      </c>
      <c r="D26" s="3" t="n">
        <v>1.87</v>
      </c>
      <c r="E26" s="1" t="n">
        <f aca="false">236.6/57546*100</f>
        <v>0.4111493414</v>
      </c>
      <c r="F26" s="1" t="n">
        <f aca="false">(2522+1808)/57546*100</f>
        <v>7.52441525</v>
      </c>
    </row>
    <row r="27" customFormat="false" ht="15" hidden="false" customHeight="false" outlineLevel="0" collapsed="false">
      <c r="A27" s="2" t="s">
        <v>56</v>
      </c>
      <c r="C27" s="1" t="n">
        <f aca="false">AVERAGE(C2:C26)</f>
        <v>12.838</v>
      </c>
      <c r="D27" s="1" t="n">
        <f aca="false">AVERAGE(D2:D26)</f>
        <v>1.9428</v>
      </c>
      <c r="E27" s="1" t="n">
        <f aca="false">AVERAGE(E2:E26)</f>
        <v>0.388800683332</v>
      </c>
      <c r="F27" s="1" t="n">
        <f aca="false">AVERAGE(F2:F26)</f>
        <v>8.25221794988</v>
      </c>
    </row>
    <row r="28" customFormat="false" ht="15" hidden="false" customHeight="false" outlineLevel="0" collapsed="false">
      <c r="A28" s="3" t="s">
        <v>57</v>
      </c>
      <c r="C28" s="7" t="n">
        <f aca="false">STDEV(C2:C26)</f>
        <v>1.97770279196176</v>
      </c>
      <c r="D28" s="7" t="n">
        <f aca="false">STDEV(D2:D26)</f>
        <v>0.344208270286077</v>
      </c>
      <c r="E28" s="7" t="n">
        <f aca="false">STDEV(E2:E26)</f>
        <v>0.126104683034443</v>
      </c>
      <c r="F28" s="7" t="n">
        <f aca="false">STDEV(F2:F26)</f>
        <v>1.35545894716983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3"/>
  <sheetViews>
    <sheetView showFormulas="false" showGridLines="true" showRowColHeaders="true" showZeros="true" rightToLeft="false" tabSelected="false" showOutlineSymbols="true" defaultGridColor="true" view="normal" topLeftCell="A81" colorId="64" zoomScale="100" zoomScaleNormal="100" zoomScalePageLayoutView="100" workbookViewId="0">
      <selection pane="topLeft" activeCell="F104" activeCellId="0" sqref="1:1048576"/>
    </sheetView>
  </sheetViews>
  <sheetFormatPr defaultRowHeight="15.75" zeroHeight="false" outlineLevelRow="0" outlineLevelCol="0"/>
  <cols>
    <col collapsed="false" customWidth="true" hidden="false" outlineLevel="0" max="1025" min="1" style="1" width="14.43"/>
  </cols>
  <sheetData>
    <row r="1" customFormat="false" ht="15" hidden="false" customHeight="false" outlineLevel="0" collapsed="false">
      <c r="A1" s="2" t="s">
        <v>210</v>
      </c>
      <c r="B1" s="3" t="s">
        <v>2</v>
      </c>
      <c r="C1" s="3" t="s">
        <v>3</v>
      </c>
      <c r="D1" s="3" t="s">
        <v>4</v>
      </c>
      <c r="E1" s="3" t="s">
        <v>5</v>
      </c>
    </row>
    <row r="2" customFormat="false" ht="15" hidden="false" customHeight="false" outlineLevel="0" collapsed="false">
      <c r="A2" s="2" t="s">
        <v>6</v>
      </c>
      <c r="B2" s="3" t="n">
        <v>7.01</v>
      </c>
      <c r="C2" s="3" t="n">
        <v>1.14</v>
      </c>
      <c r="D2" s="3" t="n">
        <v>0.19</v>
      </c>
      <c r="E2" s="1" t="n">
        <f aca="false">(2636+1705.6)/90075*100</f>
        <v>4.819983347</v>
      </c>
    </row>
    <row r="3" customFormat="false" ht="15" hidden="false" customHeight="false" outlineLevel="0" collapsed="false">
      <c r="A3" s="2" t="s">
        <v>8</v>
      </c>
      <c r="B3" s="3" t="n">
        <v>8.48</v>
      </c>
      <c r="C3" s="3" t="n">
        <v>1.36</v>
      </c>
      <c r="D3" s="3" t="n">
        <v>0.29</v>
      </c>
      <c r="E3" s="1" t="n">
        <f aca="false">(16386+11032)/488911*100</f>
        <v>5.607973639</v>
      </c>
    </row>
    <row r="4" customFormat="false" ht="15" hidden="false" customHeight="false" outlineLevel="0" collapsed="false">
      <c r="A4" s="2" t="s">
        <v>10</v>
      </c>
      <c r="B4" s="3" t="n">
        <v>8.19</v>
      </c>
      <c r="C4" s="3" t="n">
        <v>1.15</v>
      </c>
      <c r="D4" s="3" t="n">
        <v>0.35</v>
      </c>
      <c r="E4" s="1" t="n">
        <f aca="false">(1386+1266.4)/47753*100</f>
        <v>5.554415429</v>
      </c>
    </row>
    <row r="5" customFormat="false" ht="15" hidden="false" customHeight="false" outlineLevel="0" collapsed="false">
      <c r="A5" s="2" t="s">
        <v>12</v>
      </c>
      <c r="B5" s="3" t="n">
        <v>7.95</v>
      </c>
      <c r="C5" s="3" t="n">
        <v>0.99</v>
      </c>
      <c r="D5" s="3" t="n">
        <v>0.15</v>
      </c>
      <c r="E5" s="1" t="n">
        <f aca="false">(768+548)/24924*100</f>
        <v>5.280051356</v>
      </c>
    </row>
    <row r="6" customFormat="false" ht="15" hidden="false" customHeight="false" outlineLevel="0" collapsed="false">
      <c r="A6" s="2" t="s">
        <v>14</v>
      </c>
      <c r="B6" s="3" t="n">
        <v>11.14</v>
      </c>
      <c r="C6" s="3" t="n">
        <v>1.71</v>
      </c>
      <c r="D6" s="3" t="n">
        <v>0.26</v>
      </c>
      <c r="E6" s="1" t="n">
        <f aca="false">(8201+7226.8)/199692*100</f>
        <v>7.725797729</v>
      </c>
    </row>
    <row r="7" customFormat="false" ht="15" hidden="false" customHeight="false" outlineLevel="0" collapsed="false">
      <c r="A7" s="2" t="s">
        <v>16</v>
      </c>
      <c r="B7" s="3" t="n">
        <v>7.66</v>
      </c>
      <c r="C7" s="3" t="n">
        <v>1.47</v>
      </c>
      <c r="D7" s="3" t="n">
        <v>0.13</v>
      </c>
      <c r="E7" s="1" t="n">
        <f aca="false">(1341+915.2)/47847*100</f>
        <v>4.715447154</v>
      </c>
    </row>
    <row r="8" customFormat="false" ht="15" hidden="false" customHeight="false" outlineLevel="0" collapsed="false">
      <c r="A8" s="2" t="s">
        <v>18</v>
      </c>
      <c r="B8" s="3" t="n">
        <v>10.07</v>
      </c>
      <c r="C8" s="3" t="n">
        <v>1.28</v>
      </c>
      <c r="D8" s="3" t="n">
        <v>0.34</v>
      </c>
      <c r="E8" s="1" t="n">
        <f aca="false">(9800+7600)/259048*100</f>
        <v>6.716901887</v>
      </c>
    </row>
    <row r="9" customFormat="false" ht="15" hidden="false" customHeight="false" outlineLevel="0" collapsed="false">
      <c r="A9" s="2" t="s">
        <v>20</v>
      </c>
      <c r="B9" s="3" t="n">
        <v>11.21</v>
      </c>
      <c r="C9" s="3" t="n">
        <v>1.87</v>
      </c>
      <c r="D9" s="3" t="n">
        <v>0.2</v>
      </c>
      <c r="E9" s="1" t="n">
        <f aca="false">(1055+717.6)/25052*100</f>
        <v>7.07568258</v>
      </c>
    </row>
    <row r="10" customFormat="false" ht="15" hidden="false" customHeight="false" outlineLevel="0" collapsed="false">
      <c r="A10" s="2" t="s">
        <v>22</v>
      </c>
      <c r="B10" s="3" t="n">
        <v>12.75</v>
      </c>
      <c r="C10" s="3" t="n">
        <v>1.1</v>
      </c>
      <c r="D10" s="3" t="n">
        <v>0.39</v>
      </c>
      <c r="E10" s="1" t="n">
        <f aca="false">(1869+2138)/46274*100</f>
        <v>8.659290314</v>
      </c>
    </row>
    <row r="11" customFormat="false" ht="15" hidden="false" customHeight="false" outlineLevel="0" collapsed="false">
      <c r="A11" s="2" t="s">
        <v>24</v>
      </c>
      <c r="B11" s="3" t="n">
        <v>8.69</v>
      </c>
      <c r="C11" s="3" t="n">
        <v>0.9</v>
      </c>
      <c r="D11" s="3" t="n">
        <v>0.17</v>
      </c>
      <c r="E11" s="1" t="n">
        <f aca="false">(5664+3700)/152873*100</f>
        <v>6.125345875</v>
      </c>
    </row>
    <row r="12" customFormat="false" ht="15" hidden="false" customHeight="false" outlineLevel="0" collapsed="false">
      <c r="A12" s="2" t="s">
        <v>26</v>
      </c>
      <c r="B12" s="3" t="n">
        <v>6.67</v>
      </c>
      <c r="C12" s="3" t="n">
        <v>0.95</v>
      </c>
      <c r="D12" s="3" t="n">
        <v>0.25</v>
      </c>
      <c r="E12" s="1" t="n">
        <f aca="false">(3030+1946.4)/118917*100</f>
        <v>4.184767527</v>
      </c>
    </row>
    <row r="13" customFormat="false" ht="15" hidden="false" customHeight="false" outlineLevel="0" collapsed="false">
      <c r="A13" s="2" t="s">
        <v>28</v>
      </c>
      <c r="B13" s="3" t="n">
        <v>6.53</v>
      </c>
      <c r="C13" s="3" t="n">
        <v>0.74</v>
      </c>
      <c r="D13" s="3" t="n">
        <v>0.19</v>
      </c>
      <c r="E13" s="1" t="n">
        <f aca="false">(1138+817.6)/44363*100</f>
        <v>4.408177986</v>
      </c>
    </row>
    <row r="14" customFormat="false" ht="15" hidden="false" customHeight="false" outlineLevel="0" collapsed="false">
      <c r="A14" s="2" t="s">
        <v>30</v>
      </c>
      <c r="B14" s="3" t="n">
        <v>8.95</v>
      </c>
      <c r="C14" s="3" t="n">
        <v>1.36</v>
      </c>
      <c r="D14" s="3" t="n">
        <v>0.32</v>
      </c>
      <c r="E14" s="1" t="n">
        <f aca="false">(4008+3853.6)/131828*100</f>
        <v>5.963528234</v>
      </c>
    </row>
    <row r="15" customFormat="false" ht="15" hidden="false" customHeight="false" outlineLevel="0" collapsed="false">
      <c r="A15" s="2" t="s">
        <v>32</v>
      </c>
      <c r="B15" s="3" t="n">
        <v>10.43</v>
      </c>
      <c r="C15" s="3" t="n">
        <v>1.46</v>
      </c>
      <c r="D15" s="3" t="n">
        <v>0.36</v>
      </c>
      <c r="E15" s="1" t="n">
        <f aca="false">(1418+1247.2)/38175*100</f>
        <v>6.981532417</v>
      </c>
    </row>
    <row r="16" customFormat="false" ht="15" hidden="false" customHeight="false" outlineLevel="0" collapsed="false">
      <c r="A16" s="2" t="s">
        <v>34</v>
      </c>
      <c r="B16" s="3" t="n">
        <v>9.81</v>
      </c>
      <c r="C16" s="3" t="n">
        <v>1.69</v>
      </c>
      <c r="D16" s="3" t="n">
        <v>0.29</v>
      </c>
      <c r="E16" s="1" t="n">
        <f aca="false">(4958+3446.4)/131584*100</f>
        <v>6.387098735</v>
      </c>
    </row>
    <row r="17" customFormat="false" ht="15" hidden="false" customHeight="false" outlineLevel="0" collapsed="false">
      <c r="A17" s="2" t="s">
        <v>36</v>
      </c>
      <c r="B17" s="3" t="n">
        <v>6.09</v>
      </c>
      <c r="C17" s="3" t="n">
        <v>0.9</v>
      </c>
      <c r="D17" s="3" t="n">
        <v>0.17</v>
      </c>
      <c r="E17" s="1" t="n">
        <f aca="false">(3676+2746.4)/161598*100</f>
        <v>3.974306613</v>
      </c>
    </row>
    <row r="18" customFormat="false" ht="15" hidden="false" customHeight="false" outlineLevel="0" collapsed="false">
      <c r="A18" s="2" t="s">
        <v>38</v>
      </c>
      <c r="B18" s="3" t="n">
        <v>10.18</v>
      </c>
      <c r="C18" s="3" t="n">
        <v>1.46</v>
      </c>
      <c r="D18" s="3" t="n">
        <v>0.26</v>
      </c>
      <c r="E18" s="1" t="n">
        <f aca="false">(452+364.8)/12019*100</f>
        <v>6.795906481</v>
      </c>
    </row>
    <row r="19" customFormat="false" ht="15" hidden="false" customHeight="false" outlineLevel="0" collapsed="false">
      <c r="A19" s="2" t="s">
        <v>40</v>
      </c>
      <c r="B19" s="3" t="n">
        <v>11.09</v>
      </c>
      <c r="C19" s="3" t="n">
        <v>1.69</v>
      </c>
      <c r="D19" s="3" t="n">
        <v>0.23</v>
      </c>
      <c r="E19" s="1" t="n">
        <f aca="false">(10474+6765.6)/248433*100</f>
        <v>6.939335757</v>
      </c>
    </row>
    <row r="20" customFormat="false" ht="15" hidden="false" customHeight="false" outlineLevel="0" collapsed="false">
      <c r="A20" s="2" t="s">
        <v>42</v>
      </c>
      <c r="B20" s="3" t="n">
        <v>8.85</v>
      </c>
      <c r="C20" s="3" t="n">
        <v>1.48</v>
      </c>
      <c r="D20" s="3" t="n">
        <v>0.19</v>
      </c>
      <c r="E20" s="1" t="n">
        <f aca="false">(4564+2756.8)/132018*100</f>
        <v>5.545304428</v>
      </c>
    </row>
    <row r="21" customFormat="false" ht="15" hidden="false" customHeight="false" outlineLevel="0" collapsed="false">
      <c r="A21" s="2" t="s">
        <v>44</v>
      </c>
      <c r="B21" s="3" t="n">
        <v>11.11</v>
      </c>
      <c r="C21" s="3" t="n">
        <v>1.52</v>
      </c>
      <c r="D21" s="3" t="n">
        <v>0.32</v>
      </c>
      <c r="E21" s="1" t="n">
        <f aca="false">(3653+3119.2)/92443*100</f>
        <v>7.325811581</v>
      </c>
    </row>
    <row r="22" customFormat="false" ht="15" hidden="false" customHeight="false" outlineLevel="0" collapsed="false">
      <c r="A22" s="2" t="s">
        <v>46</v>
      </c>
      <c r="B22" s="3" t="n">
        <v>7.99</v>
      </c>
      <c r="C22" s="3" t="n">
        <v>0.98</v>
      </c>
      <c r="D22" s="3" t="n">
        <v>0.4</v>
      </c>
      <c r="E22" s="1" t="n">
        <f aca="false">(1111+1007.2)/39317*100</f>
        <v>5.387491416</v>
      </c>
    </row>
    <row r="23" customFormat="false" ht="15" hidden="false" customHeight="false" outlineLevel="0" collapsed="false">
      <c r="A23" s="2" t="s">
        <v>48</v>
      </c>
      <c r="B23" s="3" t="n">
        <v>10.83</v>
      </c>
      <c r="C23" s="3" t="n">
        <v>1.68</v>
      </c>
      <c r="D23" s="3" t="n">
        <v>0.19</v>
      </c>
      <c r="E23" s="1" t="n">
        <f aca="false">(3283+1986.4)/77904*100</f>
        <v>6.763965907</v>
      </c>
    </row>
    <row r="24" customFormat="false" ht="15" hidden="false" customHeight="false" outlineLevel="0" collapsed="false">
      <c r="A24" s="2" t="s">
        <v>50</v>
      </c>
      <c r="B24" s="3" t="n">
        <v>11.23</v>
      </c>
      <c r="C24" s="3" t="n">
        <v>2.16</v>
      </c>
      <c r="D24" s="3" t="n">
        <v>0.25</v>
      </c>
      <c r="E24" s="1" t="n">
        <f aca="false">(1973+1388.8)/48077*100</f>
        <v>6.992532812</v>
      </c>
    </row>
    <row r="25" customFormat="false" ht="15" hidden="false" customHeight="false" outlineLevel="0" collapsed="false">
      <c r="A25" s="2" t="s">
        <v>52</v>
      </c>
      <c r="B25" s="3" t="n">
        <v>10.83</v>
      </c>
      <c r="C25" s="3" t="n">
        <v>1.52</v>
      </c>
      <c r="D25" s="3" t="n">
        <v>0.21</v>
      </c>
      <c r="E25" s="1" t="n">
        <f aca="false">(7558+4834.4)/178698*100</f>
        <v>6.934828593</v>
      </c>
    </row>
    <row r="26" customFormat="false" ht="15" hidden="false" customHeight="false" outlineLevel="0" collapsed="false">
      <c r="A26" s="2" t="s">
        <v>54</v>
      </c>
      <c r="B26" s="3" t="n">
        <v>8.52</v>
      </c>
      <c r="C26" s="3" t="n">
        <v>1.13</v>
      </c>
      <c r="D26" s="3" t="n">
        <v>0.19</v>
      </c>
      <c r="E26" s="1" t="n">
        <f aca="false">(2927+2636)/98153*100</f>
        <v>5.667682088</v>
      </c>
    </row>
    <row r="27" customFormat="false" ht="15" hidden="false" customHeight="false" outlineLevel="0" collapsed="false">
      <c r="A27" s="2" t="s">
        <v>58</v>
      </c>
      <c r="B27" s="8" t="n">
        <v>10.44</v>
      </c>
      <c r="C27" s="3" t="n">
        <v>2.28</v>
      </c>
      <c r="D27" s="1" t="n">
        <f aca="false">26.6/10712*100</f>
        <v>0.2483196415</v>
      </c>
      <c r="E27" s="1" t="n">
        <f aca="false">(376+285.6)/10712*100</f>
        <v>6.176250934</v>
      </c>
    </row>
    <row r="28" customFormat="false" ht="15" hidden="false" customHeight="false" outlineLevel="0" collapsed="false">
      <c r="A28" s="2" t="s">
        <v>60</v>
      </c>
      <c r="B28" s="8" t="n">
        <v>11.58</v>
      </c>
      <c r="C28" s="3" t="n">
        <v>1.64</v>
      </c>
      <c r="D28" s="1" t="n">
        <f aca="false">68.6/38813*100</f>
        <v>0.1767449051</v>
      </c>
      <c r="E28" s="1" t="n">
        <f aca="false">(1748+1233.6)/38813*100</f>
        <v>7.681962229</v>
      </c>
    </row>
    <row r="29" customFormat="false" ht="15" hidden="false" customHeight="false" outlineLevel="0" collapsed="false">
      <c r="A29" s="2" t="s">
        <v>62</v>
      </c>
      <c r="B29" s="8" t="n">
        <v>9.84</v>
      </c>
      <c r="C29" s="3" t="n">
        <v>1.6</v>
      </c>
      <c r="D29" s="1" t="n">
        <f aca="false">55.3/22385*100</f>
        <v>0.2470404289</v>
      </c>
      <c r="E29" s="1" t="n">
        <f aca="false">(865+520)/22385*100</f>
        <v>6.187178914</v>
      </c>
    </row>
    <row r="30" customFormat="false" ht="15" hidden="false" customHeight="false" outlineLevel="0" collapsed="false">
      <c r="A30" s="2" t="s">
        <v>64</v>
      </c>
      <c r="B30" s="8" t="n">
        <v>12.39</v>
      </c>
      <c r="C30" s="3" t="n">
        <v>1.6</v>
      </c>
      <c r="D30" s="1" t="n">
        <f aca="false">249.9/65471*100</f>
        <v>0.3816957126</v>
      </c>
      <c r="E30" s="1" t="n">
        <f aca="false">(2940+2560)/65471*100</f>
        <v>8.400665944</v>
      </c>
    </row>
    <row r="31" customFormat="false" ht="15" hidden="false" customHeight="false" outlineLevel="0" collapsed="false">
      <c r="A31" s="2" t="s">
        <v>66</v>
      </c>
      <c r="B31" s="8" t="n">
        <v>16.99</v>
      </c>
      <c r="C31" s="3" t="n">
        <v>2.98</v>
      </c>
      <c r="D31" s="1" t="n">
        <f aca="false">445.9/89604*100</f>
        <v>0.4976340342</v>
      </c>
      <c r="E31" s="1" t="n">
        <f aca="false">(5753+4102.4)/89604*100</f>
        <v>10.99883934</v>
      </c>
    </row>
    <row r="32" customFormat="false" ht="15" hidden="false" customHeight="false" outlineLevel="0" collapsed="false">
      <c r="A32" s="2" t="s">
        <v>68</v>
      </c>
      <c r="B32" s="8" t="n">
        <v>10.39</v>
      </c>
      <c r="C32" s="3" t="n">
        <v>1.55</v>
      </c>
      <c r="D32" s="1" t="n">
        <f aca="false">568.4/152588*100</f>
        <v>0.372506357</v>
      </c>
      <c r="E32" s="1" t="n">
        <f aca="false">(5696+4612.8)/152588*100</f>
        <v>6.755970325</v>
      </c>
    </row>
    <row r="33" customFormat="false" ht="15" hidden="false" customHeight="false" outlineLevel="0" collapsed="false">
      <c r="A33" s="2" t="s">
        <v>70</v>
      </c>
      <c r="B33" s="8" t="n">
        <v>9.35</v>
      </c>
      <c r="C33" s="3" t="n">
        <v>1.48</v>
      </c>
      <c r="D33" s="1" t="n">
        <f aca="false">415.1/161612*100</f>
        <v>0.2568497389</v>
      </c>
      <c r="E33" s="1" t="n">
        <f aca="false">(5596+4391.2)/161612*100</f>
        <v>6.179739128</v>
      </c>
    </row>
    <row r="34" customFormat="false" ht="15" hidden="false" customHeight="false" outlineLevel="0" collapsed="false">
      <c r="A34" s="2" t="s">
        <v>72</v>
      </c>
      <c r="B34" s="8" t="n">
        <v>10.74</v>
      </c>
      <c r="C34" s="3" t="n">
        <v>1.53</v>
      </c>
      <c r="D34" s="1" t="n">
        <f aca="false">324.8/89340*100</f>
        <v>0.3635549586</v>
      </c>
      <c r="E34" s="1" t="n">
        <f aca="false">(3368+3005.6)/89340*100</f>
        <v>7.134094471</v>
      </c>
    </row>
    <row r="35" customFormat="false" ht="15" hidden="false" customHeight="false" outlineLevel="0" collapsed="false">
      <c r="A35" s="2" t="s">
        <v>74</v>
      </c>
      <c r="B35" s="8" t="n">
        <v>15.96</v>
      </c>
      <c r="C35" s="3" t="n">
        <v>2.74</v>
      </c>
      <c r="D35" s="1" t="n">
        <f aca="false">263.9/49641*100</f>
        <v>0.5316170101</v>
      </c>
      <c r="E35" s="1" t="n">
        <f aca="false">(2976+2232)/49641*100</f>
        <v>10.49132773</v>
      </c>
    </row>
    <row r="36" customFormat="false" ht="15" hidden="false" customHeight="false" outlineLevel="0" collapsed="false">
      <c r="A36" s="2" t="s">
        <v>76</v>
      </c>
      <c r="B36" s="8" t="n">
        <v>14.04</v>
      </c>
      <c r="C36" s="3" t="n">
        <v>2.31</v>
      </c>
      <c r="D36" s="1" t="n">
        <f aca="false">546/158145*100</f>
        <v>0.3452527744</v>
      </c>
      <c r="E36" s="1" t="n">
        <f aca="false">(7704+6727.2)/158145*100</f>
        <v>9.125296405</v>
      </c>
    </row>
    <row r="37" customFormat="false" ht="15" hidden="false" customHeight="false" outlineLevel="0" collapsed="false">
      <c r="A37" s="2" t="s">
        <v>78</v>
      </c>
      <c r="B37" s="8" t="n">
        <v>11.9</v>
      </c>
      <c r="C37" s="3" t="n">
        <v>1.41</v>
      </c>
      <c r="D37" s="1" t="n">
        <f aca="false">198.8/50218*100</f>
        <v>0.3958739894</v>
      </c>
      <c r="E37" s="1" t="n">
        <f aca="false">(2176+1828)/50218*100</f>
        <v>7.973236688</v>
      </c>
    </row>
    <row r="38" customFormat="false" ht="15" hidden="false" customHeight="false" outlineLevel="0" collapsed="false">
      <c r="A38" s="2" t="s">
        <v>80</v>
      </c>
      <c r="B38" s="8" t="n">
        <v>11.88</v>
      </c>
      <c r="C38" s="3" t="n">
        <v>1.99</v>
      </c>
      <c r="D38" s="1" t="n">
        <f aca="false">105.7/62749*100</f>
        <v>0.1684488996</v>
      </c>
      <c r="E38" s="1" t="n">
        <f aca="false">(2872+2173.6)/62749*100</f>
        <v>8.040924955</v>
      </c>
    </row>
    <row r="39" customFormat="false" ht="15" hidden="false" customHeight="false" outlineLevel="0" collapsed="false">
      <c r="A39" s="2" t="s">
        <v>82</v>
      </c>
      <c r="B39" s="8" t="n">
        <v>13.8</v>
      </c>
      <c r="C39" s="3" t="n">
        <v>2.32</v>
      </c>
      <c r="D39" s="1" t="n">
        <f aca="false">2548.7/528777*100</f>
        <v>0.4819990279</v>
      </c>
      <c r="E39" s="1" t="n">
        <f aca="false">(26805+18656.8)/528777*100</f>
        <v>8.597537336</v>
      </c>
    </row>
    <row r="40" customFormat="false" ht="15" hidden="false" customHeight="false" outlineLevel="0" collapsed="false">
      <c r="A40" s="2" t="s">
        <v>84</v>
      </c>
      <c r="B40" s="8" t="n">
        <v>11.61</v>
      </c>
      <c r="C40" s="3" t="n">
        <v>1.77</v>
      </c>
      <c r="D40" s="1" t="n">
        <f aca="false">634.2/168350*100</f>
        <v>0.3767151767</v>
      </c>
      <c r="E40" s="1" t="n">
        <f aca="false">(7183+5344.8)/168350*100</f>
        <v>7.441520642</v>
      </c>
    </row>
    <row r="41" customFormat="false" ht="15" hidden="false" customHeight="false" outlineLevel="0" collapsed="false">
      <c r="A41" s="2" t="s">
        <v>86</v>
      </c>
      <c r="B41" s="8" t="n">
        <v>11.81</v>
      </c>
      <c r="C41" s="3" t="n">
        <v>2.2</v>
      </c>
      <c r="D41" s="1" t="n">
        <f aca="false">118.3/56255*100</f>
        <v>0.2102924185</v>
      </c>
      <c r="E41" s="1" t="n">
        <f aca="false">(2500+1892)/56255*100</f>
        <v>7.807306017</v>
      </c>
    </row>
    <row r="42" customFormat="false" ht="15" hidden="false" customHeight="false" outlineLevel="0" collapsed="false">
      <c r="A42" s="2" t="s">
        <v>88</v>
      </c>
      <c r="B42" s="8" t="n">
        <v>14.1</v>
      </c>
      <c r="C42" s="3" t="n">
        <v>2.12</v>
      </c>
      <c r="D42" s="1" t="n">
        <f aca="false">450.1/99954*100</f>
        <v>0.4503071413</v>
      </c>
      <c r="E42" s="1" t="n">
        <f aca="false">(5029+4005.6)/99954*100</f>
        <v>9.038757829</v>
      </c>
    </row>
    <row r="43" customFormat="false" ht="15" hidden="false" customHeight="false" outlineLevel="0" collapsed="false">
      <c r="A43" s="2" t="s">
        <v>90</v>
      </c>
      <c r="B43" s="8" t="n">
        <v>15.69</v>
      </c>
      <c r="C43" s="3" t="n">
        <v>3.26</v>
      </c>
      <c r="D43" s="1" t="n">
        <f aca="false">944.3/276680*100</f>
        <v>0.341296805</v>
      </c>
      <c r="E43" s="1" t="n">
        <f aca="false">(15942+11713.6)/276680*100</f>
        <v>9.995518288</v>
      </c>
    </row>
    <row r="44" customFormat="false" ht="15" hidden="false" customHeight="false" outlineLevel="0" collapsed="false">
      <c r="A44" s="2" t="s">
        <v>92</v>
      </c>
      <c r="B44" s="8" t="n">
        <v>12.26</v>
      </c>
      <c r="C44" s="3" t="n">
        <v>1.7</v>
      </c>
      <c r="D44" s="1" t="n">
        <f aca="false">395.5/87880*100</f>
        <v>0.4500455166</v>
      </c>
      <c r="E44" s="1" t="n">
        <f aca="false">(3629+3391.2)/87880*100</f>
        <v>7.988393264</v>
      </c>
    </row>
    <row r="45" customFormat="false" ht="15" hidden="false" customHeight="false" outlineLevel="0" collapsed="false">
      <c r="A45" s="2" t="s">
        <v>94</v>
      </c>
      <c r="B45" s="8" t="n">
        <v>9.41</v>
      </c>
      <c r="C45" s="3" t="n">
        <v>1.69</v>
      </c>
      <c r="D45" s="1" t="n">
        <f aca="false">218.4/94558*100</f>
        <v>0.2309693521</v>
      </c>
      <c r="E45" s="1" t="n">
        <f aca="false">(3630+3336)/94558*100</f>
        <v>7.366907083</v>
      </c>
    </row>
    <row r="46" customFormat="false" ht="15" hidden="false" customHeight="false" outlineLevel="0" collapsed="false">
      <c r="A46" s="2" t="s">
        <v>96</v>
      </c>
      <c r="B46" s="8" t="n">
        <v>7.82</v>
      </c>
      <c r="C46" s="3" t="n">
        <v>0.75</v>
      </c>
      <c r="D46" s="1" t="n">
        <f aca="false">86.8/53613*100</f>
        <v>0.1619010315</v>
      </c>
      <c r="E46" s="1" t="n">
        <f aca="false">(1748+1144.8)/53613*100</f>
        <v>5.395706265</v>
      </c>
    </row>
    <row r="47" customFormat="false" ht="15" hidden="false" customHeight="false" outlineLevel="0" collapsed="false">
      <c r="A47" s="2" t="s">
        <v>98</v>
      </c>
      <c r="B47" s="8" t="n">
        <v>10.4</v>
      </c>
      <c r="C47" s="3" t="n">
        <v>1.82</v>
      </c>
      <c r="D47" s="1" t="n">
        <f aca="false">266/80337*100</f>
        <v>0.3311052193</v>
      </c>
      <c r="E47" s="1" t="n">
        <f aca="false">(3137+2269.6)/80837*100</f>
        <v>6.688273934</v>
      </c>
    </row>
    <row r="48" customFormat="false" ht="15" hidden="false" customHeight="false" outlineLevel="0" collapsed="false">
      <c r="A48" s="2" t="s">
        <v>100</v>
      </c>
      <c r="B48" s="8" t="n">
        <v>11.72</v>
      </c>
      <c r="C48" s="3" t="n">
        <v>1.6</v>
      </c>
      <c r="D48" s="1" t="n">
        <f aca="false">405.3/140880*100</f>
        <v>0.2876916525</v>
      </c>
      <c r="E48" s="1" t="n">
        <f aca="false">(5496+5834.4)/140880*100</f>
        <v>8.042589438</v>
      </c>
    </row>
    <row r="49" customFormat="false" ht="15" hidden="false" customHeight="false" outlineLevel="0" collapsed="false">
      <c r="A49" s="2" t="s">
        <v>102</v>
      </c>
      <c r="B49" s="8" t="n">
        <v>13.59</v>
      </c>
      <c r="C49" s="3" t="n">
        <v>1.57</v>
      </c>
      <c r="D49" s="1" t="n">
        <f aca="false">259.7/70171*100</f>
        <v>0.3700959086</v>
      </c>
      <c r="E49" s="1" t="n">
        <f aca="false">(3655+2835.2)/70171*100</f>
        <v>9.249120007</v>
      </c>
    </row>
    <row r="50" customFormat="false" ht="15" hidden="false" customHeight="false" outlineLevel="0" collapsed="false">
      <c r="A50" s="2" t="s">
        <v>104</v>
      </c>
      <c r="B50" s="8" t="n">
        <v>10.2</v>
      </c>
      <c r="C50" s="3" t="n">
        <v>1.35</v>
      </c>
      <c r="D50" s="1" t="n">
        <f aca="false">100.8/59051*100</f>
        <v>0.1706999035</v>
      </c>
      <c r="E50" s="1" t="n">
        <f aca="false">(2097+2086.4)/59051*100</f>
        <v>7.084384684</v>
      </c>
    </row>
    <row r="51" customFormat="false" ht="15" hidden="false" customHeight="false" outlineLevel="0" collapsed="false">
      <c r="A51" s="2" t="s">
        <v>106</v>
      </c>
      <c r="B51" s="8" t="n">
        <v>10.37</v>
      </c>
      <c r="C51" s="3" t="n">
        <v>1.41</v>
      </c>
      <c r="D51" s="1" t="n">
        <f aca="false">181.3/57157*100</f>
        <v>0.3171964939</v>
      </c>
      <c r="E51" s="1" t="n">
        <f aca="false">(2249+1644.8)/57157*100</f>
        <v>6.812463915</v>
      </c>
    </row>
    <row r="52" customFormat="false" ht="15" hidden="false" customHeight="false" outlineLevel="0" collapsed="false">
      <c r="A52" s="2" t="s">
        <v>110</v>
      </c>
      <c r="B52" s="3" t="n">
        <v>12.05</v>
      </c>
      <c r="C52" s="3" t="n">
        <v>2.75</v>
      </c>
      <c r="D52" s="1" t="n">
        <f aca="false">189.7/48107*100</f>
        <v>0.3943293076</v>
      </c>
      <c r="E52" s="1" t="n">
        <f aca="false">(2038+1369.6)/48107*100</f>
        <v>7.08337664</v>
      </c>
    </row>
    <row r="53" customFormat="false" ht="15" hidden="false" customHeight="false" outlineLevel="0" collapsed="false">
      <c r="A53" s="2" t="s">
        <v>112</v>
      </c>
      <c r="B53" s="3" t="n">
        <v>9.35</v>
      </c>
      <c r="C53" s="3" t="n">
        <v>1.38</v>
      </c>
      <c r="D53" s="1" t="n">
        <f aca="false">186.2/84523*100</f>
        <v>0.2202950676</v>
      </c>
      <c r="E53" s="1" t="n">
        <f aca="false">(2852+2343.2)/84523*100</f>
        <v>6.146492671</v>
      </c>
    </row>
    <row r="54" customFormat="false" ht="15" hidden="false" customHeight="false" outlineLevel="0" collapsed="false">
      <c r="A54" s="2" t="s">
        <v>114</v>
      </c>
      <c r="B54" s="3" t="n">
        <v>11.73</v>
      </c>
      <c r="C54" s="3" t="n">
        <v>1.6</v>
      </c>
      <c r="D54" s="1" t="n">
        <f aca="false">424.9/162297*100</f>
        <v>0.2618039767</v>
      </c>
      <c r="E54" s="1" t="n">
        <f aca="false">(6357+6687.2)/162297*100</f>
        <v>8.037240368</v>
      </c>
    </row>
    <row r="55" customFormat="false" ht="15" hidden="false" customHeight="false" outlineLevel="0" collapsed="false">
      <c r="A55" s="2" t="s">
        <v>116</v>
      </c>
      <c r="B55" s="3" t="n">
        <v>11.32</v>
      </c>
      <c r="C55" s="3" t="n">
        <v>1.34</v>
      </c>
      <c r="D55" s="1" t="n">
        <f aca="false">449.4/149272*100</f>
        <v>0.3010611501</v>
      </c>
      <c r="E55" s="1" t="n">
        <f aca="false">(5803+6106.4)/149272*100</f>
        <v>7.978321453</v>
      </c>
    </row>
    <row r="56" customFormat="false" ht="15" hidden="false" customHeight="false" outlineLevel="0" collapsed="false">
      <c r="A56" s="2" t="s">
        <v>118</v>
      </c>
      <c r="B56" s="3" t="n">
        <v>11.3</v>
      </c>
      <c r="C56" s="3" t="n">
        <v>1.69</v>
      </c>
      <c r="D56" s="1" t="n">
        <f aca="false">90.3/34158*100</f>
        <v>0.26435974</v>
      </c>
      <c r="E56" s="1" t="n">
        <f aca="false">(1317+1235.2)/34158*100</f>
        <v>7.471748931</v>
      </c>
    </row>
    <row r="57" customFormat="false" ht="15" hidden="false" customHeight="false" outlineLevel="0" collapsed="false">
      <c r="A57" s="2" t="s">
        <v>120</v>
      </c>
      <c r="B57" s="3" t="n">
        <v>13.92</v>
      </c>
      <c r="C57" s="3" t="n">
        <v>1.86</v>
      </c>
      <c r="D57" s="1" t="n">
        <f aca="false">130.2/26216*100</f>
        <v>0.4966432713</v>
      </c>
      <c r="E57" s="1" t="n">
        <f aca="false">(1401+952.8)/26216*100</f>
        <v>8.978486421</v>
      </c>
    </row>
    <row r="58" customFormat="false" ht="15" hidden="false" customHeight="false" outlineLevel="0" collapsed="false">
      <c r="A58" s="2" t="s">
        <v>122</v>
      </c>
      <c r="B58" s="3" t="n">
        <v>13.47</v>
      </c>
      <c r="C58" s="3" t="n">
        <v>2.14</v>
      </c>
      <c r="D58" s="1" t="n">
        <f aca="false">448.7/148290*100</f>
        <v>0.302582777</v>
      </c>
      <c r="E58" s="1" t="n">
        <f aca="false">(7000+5774.4)/148290*100</f>
        <v>8.614471643</v>
      </c>
    </row>
    <row r="59" customFormat="false" ht="15" hidden="false" customHeight="false" outlineLevel="0" collapsed="false">
      <c r="A59" s="2" t="s">
        <v>124</v>
      </c>
      <c r="B59" s="3" t="n">
        <v>11.08</v>
      </c>
      <c r="C59" s="3" t="n">
        <v>1.59</v>
      </c>
      <c r="D59" s="1" t="n">
        <f aca="false">289.8/101608*100</f>
        <v>0.2852137627</v>
      </c>
      <c r="E59" s="1" t="n">
        <f aca="false">(4084+3281.6)/101608*100</f>
        <v>7.249035509</v>
      </c>
    </row>
    <row r="60" customFormat="false" ht="15" hidden="false" customHeight="false" outlineLevel="0" collapsed="false">
      <c r="A60" s="2" t="s">
        <v>126</v>
      </c>
      <c r="B60" s="3" t="n">
        <v>11.77</v>
      </c>
      <c r="C60" s="3" t="n">
        <v>1.56</v>
      </c>
      <c r="D60" s="1" t="n">
        <f aca="false">195.3/59400*100</f>
        <v>0.3287878788</v>
      </c>
      <c r="E60" s="1" t="n">
        <f aca="false">(2523+2125.6)/59400*100</f>
        <v>7.825925926</v>
      </c>
    </row>
    <row r="61" customFormat="false" ht="15" hidden="false" customHeight="false" outlineLevel="0" collapsed="false">
      <c r="A61" s="2" t="s">
        <v>128</v>
      </c>
      <c r="B61" s="3" t="n">
        <v>15.13</v>
      </c>
      <c r="C61" s="3" t="n">
        <v>2.26</v>
      </c>
      <c r="D61" s="1" t="n">
        <f aca="false">151.9/44409*100</f>
        <v>0.3420477831</v>
      </c>
      <c r="E61" s="1" t="n">
        <f aca="false">(2389+2000)/44409*100</f>
        <v>9.883131798</v>
      </c>
    </row>
    <row r="62" customFormat="false" ht="15" hidden="false" customHeight="false" outlineLevel="0" collapsed="false">
      <c r="A62" s="2" t="s">
        <v>130</v>
      </c>
      <c r="B62" s="3" t="n">
        <v>14.07</v>
      </c>
      <c r="C62" s="3" t="n">
        <v>1.97</v>
      </c>
      <c r="D62" s="1" t="n">
        <f aca="false">238/67568*100</f>
        <v>0.3522377457</v>
      </c>
      <c r="E62" s="1" t="n">
        <f aca="false">(3415+2922.4)/67568*100</f>
        <v>9.379291973</v>
      </c>
    </row>
    <row r="63" customFormat="false" ht="15" hidden="false" customHeight="false" outlineLevel="0" collapsed="false">
      <c r="A63" s="2" t="s">
        <v>132</v>
      </c>
      <c r="B63" s="3" t="n">
        <v>15.26</v>
      </c>
      <c r="C63" s="3" t="n">
        <v>2.22</v>
      </c>
      <c r="D63" s="1" t="n">
        <f aca="false">596.4/174263*100</f>
        <v>0.3422413249</v>
      </c>
      <c r="E63" s="1" t="n">
        <f aca="false">(10063+6964.8)/174263*100</f>
        <v>9.771322656</v>
      </c>
    </row>
    <row r="64" customFormat="false" ht="15" hidden="false" customHeight="false" outlineLevel="0" collapsed="false">
      <c r="A64" s="2" t="s">
        <v>134</v>
      </c>
      <c r="B64" s="3" t="n">
        <v>11.7</v>
      </c>
      <c r="C64" s="3" t="n">
        <v>2</v>
      </c>
      <c r="D64" s="1" t="n">
        <f aca="false">200.9/62909*100</f>
        <v>0.3193501725</v>
      </c>
      <c r="E64" s="1" t="n">
        <f aca="false">(2539+2112.8)/62909*100</f>
        <v>7.394490454</v>
      </c>
    </row>
    <row r="65" customFormat="false" ht="15" hidden="false" customHeight="false" outlineLevel="0" collapsed="false">
      <c r="A65" s="2" t="s">
        <v>136</v>
      </c>
      <c r="B65" s="3" t="n">
        <v>15.95</v>
      </c>
      <c r="C65" s="3" t="n">
        <v>2.48</v>
      </c>
      <c r="D65" s="1" t="n">
        <f aca="false">175.7/46360*100</f>
        <v>0.3789905091</v>
      </c>
      <c r="E65" s="1" t="n">
        <f aca="false">(2603+2130.4)/46360*100</f>
        <v>10.21009491</v>
      </c>
    </row>
    <row r="66" customFormat="false" ht="15" hidden="false" customHeight="false" outlineLevel="0" collapsed="false">
      <c r="A66" s="2" t="s">
        <v>138</v>
      </c>
      <c r="B66" s="3" t="n">
        <v>9.99</v>
      </c>
      <c r="C66" s="3" t="n">
        <v>1.38</v>
      </c>
      <c r="D66" s="1" t="n">
        <f aca="false">245/79375*100</f>
        <v>0.3086614173</v>
      </c>
      <c r="E66" s="1" t="n">
        <f aca="false">(2892+2313.6)/79375*100</f>
        <v>6.55823622</v>
      </c>
    </row>
    <row r="67" customFormat="false" ht="15" hidden="false" customHeight="false" outlineLevel="0" collapsed="false">
      <c r="A67" s="2" t="s">
        <v>140</v>
      </c>
      <c r="B67" s="3" t="n">
        <v>11.94</v>
      </c>
      <c r="C67" s="3" t="n">
        <v>1.81</v>
      </c>
      <c r="D67" s="1" t="n">
        <f aca="false">91.7/40472*100</f>
        <v>0.2265763985</v>
      </c>
      <c r="E67" s="1" t="n">
        <f aca="false">(1731+1441.6)/40472*100</f>
        <v>7.838999802</v>
      </c>
    </row>
    <row r="68" customFormat="false" ht="15" hidden="false" customHeight="false" outlineLevel="0" collapsed="false">
      <c r="A68" s="2" t="s">
        <v>142</v>
      </c>
      <c r="B68" s="3" t="n">
        <v>14.47</v>
      </c>
      <c r="C68" s="3" t="n">
        <v>1.62</v>
      </c>
      <c r="D68" s="1" t="n">
        <f aca="false">386/116844*100</f>
        <v>0.3303550033</v>
      </c>
      <c r="E68" s="1" t="n">
        <f aca="false">(6337+4740)/116844*100</f>
        <v>9.480161583</v>
      </c>
    </row>
    <row r="69" customFormat="false" ht="15" hidden="false" customHeight="false" outlineLevel="0" collapsed="false">
      <c r="A69" s="2" t="s">
        <v>144</v>
      </c>
      <c r="B69" s="3" t="n">
        <v>9.65</v>
      </c>
      <c r="C69" s="3" t="n">
        <v>1.25</v>
      </c>
      <c r="D69" s="1" t="n">
        <f aca="false">112.7/41055*100</f>
        <v>0.2745098039</v>
      </c>
      <c r="E69" s="1" t="n">
        <f aca="false">(1416+1390.4)/41055*100</f>
        <v>6.835708196</v>
      </c>
    </row>
    <row r="70" customFormat="false" ht="15" hidden="false" customHeight="false" outlineLevel="0" collapsed="false">
      <c r="A70" s="2" t="s">
        <v>146</v>
      </c>
      <c r="B70" s="3" t="n">
        <v>12.43</v>
      </c>
      <c r="C70" s="3" t="n">
        <v>2.27</v>
      </c>
      <c r="D70" s="1" t="n">
        <f aca="false">124.6/37394*100</f>
        <v>0.3332085361</v>
      </c>
      <c r="E70" s="1" t="n">
        <f aca="false">(1571+1426.4)/37394*100</f>
        <v>8.015724448</v>
      </c>
    </row>
    <row r="71" customFormat="false" ht="15" hidden="false" customHeight="false" outlineLevel="0" collapsed="false">
      <c r="A71" s="2" t="s">
        <v>148</v>
      </c>
      <c r="B71" s="3" t="n">
        <v>13.82</v>
      </c>
      <c r="C71" s="3" t="n">
        <v>2.01</v>
      </c>
      <c r="D71" s="1" t="n">
        <f aca="false">187.6/37191*100</f>
        <v>0.5044231131</v>
      </c>
      <c r="E71" s="1" t="n">
        <f aca="false">(1956+1379.2)/37191*100</f>
        <v>8.967761017</v>
      </c>
    </row>
    <row r="72" customFormat="false" ht="15" hidden="false" customHeight="false" outlineLevel="0" collapsed="false">
      <c r="A72" s="2" t="s">
        <v>150</v>
      </c>
      <c r="B72" s="3" t="n">
        <v>13.92</v>
      </c>
      <c r="C72" s="3" t="n">
        <v>2.02</v>
      </c>
      <c r="D72" s="1" t="n">
        <f aca="false">22.4/9620*100</f>
        <v>0.2328482328</v>
      </c>
      <c r="E72" s="1" t="n">
        <f aca="false">(472+366.4)/9620*100</f>
        <v>8.715176715</v>
      </c>
    </row>
    <row r="73" customFormat="false" ht="15" hidden="false" customHeight="false" outlineLevel="0" collapsed="false">
      <c r="A73" s="2" t="s">
        <v>152</v>
      </c>
      <c r="B73" s="3" t="n">
        <v>13.2</v>
      </c>
      <c r="C73" s="3" t="n">
        <v>2.33</v>
      </c>
      <c r="D73" s="1" t="n">
        <f aca="false">353.5/108732*100</f>
        <v>0.3251112828</v>
      </c>
      <c r="E73" s="1" t="n">
        <f aca="false">(5291+3671.2)/108732*100</f>
        <v>8.242467719</v>
      </c>
    </row>
    <row r="74" customFormat="false" ht="15" hidden="false" customHeight="false" outlineLevel="0" collapsed="false">
      <c r="A74" s="2" t="s">
        <v>154</v>
      </c>
      <c r="B74" s="3" t="n">
        <v>14.23</v>
      </c>
      <c r="C74" s="3" t="n">
        <v>2.37</v>
      </c>
      <c r="D74" s="1" t="n">
        <f aca="false">427/109385*100</f>
        <v>0.3903643095</v>
      </c>
      <c r="E74" s="1" t="n">
        <f aca="false">(5585+4353.6)/109385*100</f>
        <v>9.08588929</v>
      </c>
    </row>
    <row r="75" customFormat="false" ht="15" hidden="false" customHeight="false" outlineLevel="0" collapsed="false">
      <c r="A75" s="2" t="s">
        <v>156</v>
      </c>
      <c r="B75" s="3" t="n">
        <v>15.42</v>
      </c>
      <c r="C75" s="3" t="n">
        <v>2.26</v>
      </c>
      <c r="D75" s="1" t="n">
        <f aca="false">235.2/45189*100</f>
        <v>0.5204806479</v>
      </c>
      <c r="E75" s="1" t="n">
        <f aca="false">(2502+1988.8)/45189*100</f>
        <v>9.937816725</v>
      </c>
    </row>
    <row r="76" customFormat="false" ht="15" hidden="false" customHeight="false" outlineLevel="0" collapsed="false">
      <c r="A76" s="2" t="s">
        <v>158</v>
      </c>
      <c r="B76" s="3" t="n">
        <v>15.2</v>
      </c>
      <c r="C76" s="3" t="n">
        <v>1.44</v>
      </c>
      <c r="D76" s="1" t="n">
        <f aca="false">210/44152*100</f>
        <v>0.4756296431</v>
      </c>
      <c r="E76" s="1" t="n">
        <f aca="false">(2356+2365.6)/44152*100</f>
        <v>10.6939663</v>
      </c>
    </row>
    <row r="77" customFormat="false" ht="15" hidden="false" customHeight="false" outlineLevel="0" collapsed="false">
      <c r="A77" s="2" t="s">
        <v>160</v>
      </c>
      <c r="B77" s="3" t="n">
        <v>10.36</v>
      </c>
      <c r="C77" s="3" t="n">
        <v>1.74</v>
      </c>
      <c r="D77" s="1" t="n">
        <f aca="false">103.6/77257*100</f>
        <v>0.1340978811</v>
      </c>
      <c r="E77" s="1" t="n">
        <f aca="false">(3082+2033.6)/77257*100</f>
        <v>6.621535913</v>
      </c>
    </row>
    <row r="78" customFormat="false" ht="15" hidden="false" customHeight="false" outlineLevel="0" collapsed="false">
      <c r="A78" s="2" t="s">
        <v>162</v>
      </c>
      <c r="B78" s="3" t="n">
        <v>13.07</v>
      </c>
      <c r="C78" s="3" t="n">
        <v>1.86</v>
      </c>
      <c r="D78" s="1" t="n">
        <f aca="false">207.2/48741*100</f>
        <v>0.4251041218</v>
      </c>
      <c r="E78" s="1" t="n">
        <f aca="false">(2411+1764.8)/48741*100</f>
        <v>8.56732525</v>
      </c>
    </row>
    <row r="79" customFormat="false" ht="15" hidden="false" customHeight="false" outlineLevel="0" collapsed="false">
      <c r="A79" s="2" t="s">
        <v>164</v>
      </c>
      <c r="B79" s="3" t="n">
        <v>14.1</v>
      </c>
      <c r="C79" s="3" t="n">
        <v>1.94</v>
      </c>
      <c r="D79" s="1" t="n">
        <f aca="false">187.6/40291*100</f>
        <v>0.4656126678</v>
      </c>
      <c r="E79" s="1" t="n">
        <f aca="false">(2160+1618.4)/40291*100</f>
        <v>9.377776675</v>
      </c>
    </row>
    <row r="80" customFormat="false" ht="15" hidden="false" customHeight="false" outlineLevel="0" collapsed="false">
      <c r="A80" s="2" t="s">
        <v>166</v>
      </c>
      <c r="B80" s="3" t="n">
        <v>11.84</v>
      </c>
      <c r="C80" s="3" t="n">
        <v>1.38</v>
      </c>
      <c r="D80" s="1" t="n">
        <f aca="false">181.3/64210*100</f>
        <v>0.2823547734</v>
      </c>
      <c r="E80" s="1" t="n">
        <f aca="false">(2999+2239.2)/64210*100</f>
        <v>8.157919327</v>
      </c>
    </row>
    <row r="81" customFormat="false" ht="15" hidden="false" customHeight="false" outlineLevel="0" collapsed="false">
      <c r="A81" s="2" t="s">
        <v>168</v>
      </c>
      <c r="B81" s="3" t="n">
        <v>12.26</v>
      </c>
      <c r="C81" s="3" t="n">
        <v>1.7</v>
      </c>
      <c r="D81" s="1" t="n">
        <f aca="false">505.4/108222*100</f>
        <v>0.4670030123</v>
      </c>
      <c r="E81" s="1" t="n">
        <f aca="false">(5152+3312)/108222*100</f>
        <v>7.820960618</v>
      </c>
    </row>
    <row r="82" customFormat="false" ht="15" hidden="false" customHeight="false" outlineLevel="0" collapsed="false">
      <c r="A82" s="2" t="s">
        <v>170</v>
      </c>
      <c r="B82" s="3" t="n">
        <v>11.19</v>
      </c>
      <c r="C82" s="3" t="n">
        <v>1.79</v>
      </c>
      <c r="D82" s="1" t="n">
        <f aca="false">403.9/143232*100</f>
        <v>0.2819900581</v>
      </c>
      <c r="E82" s="1" t="n">
        <f aca="false">(5603+4696)/143232*100</f>
        <v>7.190432306</v>
      </c>
    </row>
    <row r="83" customFormat="false" ht="15" hidden="false" customHeight="false" outlineLevel="0" collapsed="false">
      <c r="A83" s="2" t="s">
        <v>172</v>
      </c>
      <c r="B83" s="3" t="n">
        <v>10.93</v>
      </c>
      <c r="C83" s="3" t="n">
        <v>1.23</v>
      </c>
      <c r="D83" s="1" t="n">
        <f aca="false">158.9/47854*100</f>
        <v>0.3320516571</v>
      </c>
      <c r="E83" s="1" t="n">
        <f aca="false">(1955+1430.4)/47854*100</f>
        <v>7.074434739</v>
      </c>
    </row>
    <row r="84" customFormat="false" ht="15" hidden="false" customHeight="false" outlineLevel="0" collapsed="false">
      <c r="A84" s="2" t="s">
        <v>174</v>
      </c>
      <c r="B84" s="3" t="n">
        <v>14.06</v>
      </c>
      <c r="C84" s="3" t="n">
        <v>1.97</v>
      </c>
      <c r="D84" s="1" t="n">
        <f aca="false">453.6/112100*100</f>
        <v>0.4046387154</v>
      </c>
      <c r="E84" s="1" t="n">
        <f aca="false">(5701+4300)/112100*100</f>
        <v>8.921498662</v>
      </c>
    </row>
    <row r="85" customFormat="false" ht="15" hidden="false" customHeight="false" outlineLevel="0" collapsed="false">
      <c r="A85" s="2" t="s">
        <v>176</v>
      </c>
      <c r="B85" s="3" t="n">
        <v>15.86</v>
      </c>
      <c r="C85" s="3" t="n">
        <v>2.37</v>
      </c>
      <c r="D85" s="1" t="n">
        <f aca="false">214.2/68051*100</f>
        <v>0.3147639271</v>
      </c>
      <c r="E85" s="1" t="n">
        <f aca="false">(4277+2380)/68051*100</f>
        <v>9.782369106</v>
      </c>
    </row>
    <row r="86" customFormat="false" ht="15" hidden="false" customHeight="false" outlineLevel="0" collapsed="false">
      <c r="A86" s="2" t="s">
        <v>178</v>
      </c>
      <c r="B86" s="3" t="n">
        <v>12.11</v>
      </c>
      <c r="C86" s="3" t="n">
        <v>1.82</v>
      </c>
      <c r="D86" s="1" t="n">
        <f aca="false">272.3/77887*100</f>
        <v>0.349609049</v>
      </c>
      <c r="E86" s="1" t="n">
        <f aca="false">(3260+3008)/77887*100</f>
        <v>8.047556075</v>
      </c>
    </row>
    <row r="87" customFormat="false" ht="15" hidden="false" customHeight="false" outlineLevel="0" collapsed="false">
      <c r="A87" s="2" t="s">
        <v>180</v>
      </c>
      <c r="B87" s="3" t="n">
        <v>15.09</v>
      </c>
      <c r="C87" s="3" t="n">
        <v>2.43</v>
      </c>
      <c r="D87" s="1" t="n">
        <f aca="false">694.4/84217*100</f>
        <v>0.8245366137</v>
      </c>
      <c r="E87" s="1" t="n">
        <f aca="false">(4693+3173.6)/84217*100</f>
        <v>9.340869421</v>
      </c>
    </row>
    <row r="88" customFormat="false" ht="15" hidden="false" customHeight="false" outlineLevel="0" collapsed="false">
      <c r="A88" s="2" t="s">
        <v>182</v>
      </c>
      <c r="B88" s="3" t="n">
        <v>12.44</v>
      </c>
      <c r="C88" s="3" t="n">
        <v>2.63</v>
      </c>
      <c r="D88" s="1" t="n">
        <f aca="false">352.8/96559*100</f>
        <v>0.3653724666</v>
      </c>
      <c r="E88" s="1" t="n">
        <f aca="false">(4071+3167)/96559*100</f>
        <v>7.495935128</v>
      </c>
    </row>
    <row r="89" customFormat="false" ht="15" hidden="false" customHeight="false" outlineLevel="0" collapsed="false">
      <c r="A89" s="2" t="s">
        <v>184</v>
      </c>
      <c r="B89" s="3" t="n">
        <v>10.99</v>
      </c>
      <c r="C89" s="3" t="n">
        <v>2.1</v>
      </c>
      <c r="D89" s="1" t="n">
        <f aca="false">609/170572*100</f>
        <v>0.3570339798</v>
      </c>
      <c r="E89" s="1" t="n">
        <f aca="false">(6636+4858)/170572*100</f>
        <v>6.738503389</v>
      </c>
    </row>
    <row r="90" customFormat="false" ht="15" hidden="false" customHeight="false" outlineLevel="0" collapsed="false">
      <c r="A90" s="2" t="s">
        <v>186</v>
      </c>
      <c r="B90" s="3" t="n">
        <v>16.74</v>
      </c>
      <c r="C90" s="3" t="n">
        <v>2.11</v>
      </c>
      <c r="D90" s="1" t="n">
        <f aca="false">322/62464*100</f>
        <v>0.5154969262</v>
      </c>
      <c r="E90" s="1" t="n">
        <f aca="false">(3778+3224)/62464*100</f>
        <v>11.20965676</v>
      </c>
    </row>
    <row r="91" customFormat="false" ht="15" hidden="false" customHeight="false" outlineLevel="0" collapsed="false">
      <c r="A91" s="2" t="s">
        <v>188</v>
      </c>
      <c r="B91" s="3" t="n">
        <v>16.31</v>
      </c>
      <c r="C91" s="3" t="n">
        <v>2.53</v>
      </c>
      <c r="D91" s="1" t="n">
        <f aca="false">409.5/74361*100</f>
        <v>0.5506918949</v>
      </c>
      <c r="E91" s="1" t="n">
        <f aca="false">(4769+2915.2)/74361*100</f>
        <v>10.33364264</v>
      </c>
    </row>
    <row r="92" customFormat="false" ht="15" hidden="false" customHeight="false" outlineLevel="0" collapsed="false">
      <c r="A92" s="2" t="s">
        <v>190</v>
      </c>
      <c r="B92" s="3" t="n">
        <v>15.35</v>
      </c>
      <c r="C92" s="3" t="n">
        <v>2.01</v>
      </c>
      <c r="D92" s="1" t="n">
        <f aca="false">116.9/27695*100</f>
        <v>0.4220978516</v>
      </c>
      <c r="E92" s="1" t="n">
        <f aca="false">(1613+1176)/27695*100</f>
        <v>10.07040982</v>
      </c>
    </row>
    <row r="93" customFormat="false" ht="15" hidden="false" customHeight="false" outlineLevel="0" collapsed="false">
      <c r="A93" s="2" t="s">
        <v>192</v>
      </c>
      <c r="B93" s="3" t="n">
        <v>14.87</v>
      </c>
      <c r="C93" s="3" t="n">
        <v>1.74</v>
      </c>
      <c r="D93" s="1" t="n">
        <f aca="false">230.3/53428*100</f>
        <v>0.4310473909</v>
      </c>
      <c r="E93" s="1" t="n">
        <f aca="false">(2954+2382.4)/53428*100</f>
        <v>9.988021262</v>
      </c>
    </row>
    <row r="94" customFormat="false" ht="15" hidden="false" customHeight="false" outlineLevel="0" collapsed="false">
      <c r="A94" s="2" t="s">
        <v>194</v>
      </c>
      <c r="B94" s="3" t="n">
        <v>12.23</v>
      </c>
      <c r="C94" s="3" t="n">
        <v>2.36</v>
      </c>
      <c r="D94" s="1" t="n">
        <f aca="false">236.6/63878*100</f>
        <v>0.3703935627</v>
      </c>
      <c r="E94" s="1" t="n">
        <f aca="false">(2842+1860.8)/63878*100</f>
        <v>7.362159116</v>
      </c>
    </row>
    <row r="95" customFormat="false" ht="15" hidden="false" customHeight="false" outlineLevel="0" collapsed="false">
      <c r="A95" s="2" t="s">
        <v>196</v>
      </c>
      <c r="B95" s="3" t="n">
        <v>14.02</v>
      </c>
      <c r="C95" s="3" t="n">
        <v>1.87</v>
      </c>
      <c r="D95" s="1" t="n">
        <f aca="false">400.4/102548*100</f>
        <v>0.3904513009</v>
      </c>
      <c r="E95" s="1" t="n">
        <f aca="false">(5326+4127.2)/102548*100</f>
        <v>9.218317276</v>
      </c>
    </row>
    <row r="96" customFormat="false" ht="15" hidden="false" customHeight="false" outlineLevel="0" collapsed="false">
      <c r="A96" s="2" t="s">
        <v>198</v>
      </c>
      <c r="B96" s="3" t="n">
        <v>10.17</v>
      </c>
      <c r="C96" s="3" t="n">
        <v>2.25</v>
      </c>
      <c r="D96" s="1" t="n">
        <f aca="false">136.5/39845*100</f>
        <v>0.3425774878</v>
      </c>
      <c r="E96" s="1" t="n">
        <f aca="false">(1531+927.2)/39845*100</f>
        <v>6.16940645</v>
      </c>
    </row>
    <row r="97" customFormat="false" ht="15" hidden="false" customHeight="false" outlineLevel="0" collapsed="false">
      <c r="A97" s="2" t="s">
        <v>200</v>
      </c>
      <c r="B97" s="3" t="n">
        <v>10.38</v>
      </c>
      <c r="C97" s="3" t="n">
        <v>1.76</v>
      </c>
      <c r="D97" s="1" t="n">
        <f aca="false">244.3/102213*100</f>
        <v>0.2390106934</v>
      </c>
      <c r="E97" s="1" t="n">
        <f aca="false">(3660+2991.2)/102213*100</f>
        <v>6.507195758</v>
      </c>
    </row>
    <row r="98" customFormat="false" ht="15" hidden="false" customHeight="false" outlineLevel="0" collapsed="false">
      <c r="A98" s="2" t="s">
        <v>202</v>
      </c>
      <c r="B98" s="3" t="n">
        <v>11.83</v>
      </c>
      <c r="C98" s="3" t="n">
        <v>1.52</v>
      </c>
      <c r="D98" s="1" t="n">
        <f aca="false">304.5/82530*100</f>
        <v>0.368956743</v>
      </c>
      <c r="E98" s="1" t="n">
        <f aca="false">(3628+2828)/82530*100</f>
        <v>7.82260996</v>
      </c>
    </row>
    <row r="99" customFormat="false" ht="15" hidden="false" customHeight="false" outlineLevel="0" collapsed="false">
      <c r="A99" s="2" t="s">
        <v>204</v>
      </c>
      <c r="B99" s="3" t="n">
        <v>11.81</v>
      </c>
      <c r="C99" s="3" t="n">
        <v>1.76</v>
      </c>
      <c r="D99" s="1" t="n">
        <f aca="false">289.8/96002*100</f>
        <v>0.3018687111</v>
      </c>
      <c r="E99" s="1" t="n">
        <f aca="false">(3801+3561.6)/96002*100</f>
        <v>7.669215225</v>
      </c>
    </row>
    <row r="100" customFormat="false" ht="15" hidden="false" customHeight="false" outlineLevel="0" collapsed="false">
      <c r="A100" s="2" t="s">
        <v>206</v>
      </c>
      <c r="B100" s="3" t="n">
        <v>11.21</v>
      </c>
      <c r="C100" s="3" t="n">
        <v>1.83</v>
      </c>
      <c r="D100" s="1" t="n">
        <f aca="false">248.5/66782*100</f>
        <v>0.3721062562</v>
      </c>
      <c r="E100" s="1" t="n">
        <f aca="false">(2645+2225.6)/66782*100</f>
        <v>7.293282621</v>
      </c>
    </row>
    <row r="101" customFormat="false" ht="15" hidden="false" customHeight="false" outlineLevel="0" collapsed="false">
      <c r="A101" s="2" t="s">
        <v>208</v>
      </c>
      <c r="B101" s="3" t="n">
        <v>11.73</v>
      </c>
      <c r="C101" s="3" t="n">
        <v>1.87</v>
      </c>
      <c r="D101" s="1" t="n">
        <f aca="false">236.6/57546*100</f>
        <v>0.4111493414</v>
      </c>
      <c r="E101" s="1" t="n">
        <f aca="false">(2522+1808)/57546*100</f>
        <v>7.52441525</v>
      </c>
    </row>
    <row r="102" customFormat="false" ht="15" hidden="false" customHeight="false" outlineLevel="0" collapsed="false">
      <c r="A102" s="3" t="s">
        <v>56</v>
      </c>
      <c r="B102" s="1" t="n">
        <f aca="false">AVERAGE(B2:B101)</f>
        <v>11.7386</v>
      </c>
      <c r="C102" s="1" t="n">
        <f aca="false">AVERAGE(C2:C101)</f>
        <v>1.7653</v>
      </c>
      <c r="D102" s="1" t="n">
        <f aca="false">AVERAGE(D2:D101)</f>
        <v>0.326879840364</v>
      </c>
      <c r="E102" s="1" t="n">
        <f aca="false">AVERAGE(E2:E101)</f>
        <v>7.65887913765</v>
      </c>
    </row>
    <row r="103" customFormat="false" ht="15.75" hidden="false" customHeight="true" outlineLevel="0" collapsed="false">
      <c r="B103" s="1" t="n">
        <f aca="false">STDEV(B2:B101)</f>
        <v>2.44330957035036</v>
      </c>
      <c r="C103" s="1" t="n">
        <f aca="false">STDEV(C2:C101)</f>
        <v>0.482555183425176</v>
      </c>
      <c r="D103" s="1" t="n">
        <f aca="false">STDEV(D2:D101)</f>
        <v>0.111193546546663</v>
      </c>
      <c r="E103" s="1" t="n">
        <f aca="false">STDEV(E2:E101)</f>
        <v>1.57033616926007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1:1048576"/>
    </sheetView>
  </sheetViews>
  <sheetFormatPr defaultRowHeight="15.75" zeroHeight="false" outlineLevelRow="0" outlineLevelCol="0"/>
  <cols>
    <col collapsed="false" customWidth="true" hidden="false" outlineLevel="0" max="3" min="1" style="1" width="14.43"/>
    <col collapsed="false" customWidth="true" hidden="false" outlineLevel="0" max="4" min="4" style="1" width="21.29"/>
    <col collapsed="false" customWidth="true" hidden="false" outlineLevel="0" max="5" min="5" style="1" width="29.29"/>
    <col collapsed="false" customWidth="true" hidden="false" outlineLevel="0" max="6" min="6" style="1" width="20.99"/>
    <col collapsed="false" customWidth="true" hidden="false" outlineLevel="0" max="7" min="7" style="1" width="26.71"/>
    <col collapsed="false" customWidth="true" hidden="false" outlineLevel="0" max="1025" min="8" style="1" width="14.43"/>
  </cols>
  <sheetData>
    <row r="1" customFormat="false" ht="15" hidden="false" customHeight="false" outlineLevel="0" collapsed="false">
      <c r="A1" s="3" t="s">
        <v>0</v>
      </c>
      <c r="B1" s="2" t="s">
        <v>211</v>
      </c>
      <c r="C1" s="2" t="s">
        <v>212</v>
      </c>
      <c r="D1" s="2" t="s">
        <v>213</v>
      </c>
      <c r="E1" s="2" t="s">
        <v>214</v>
      </c>
      <c r="F1" s="2" t="s">
        <v>215</v>
      </c>
      <c r="G1" s="2" t="s">
        <v>216</v>
      </c>
      <c r="H1" s="3" t="s">
        <v>2</v>
      </c>
    </row>
    <row r="2" customFormat="false" ht="15" hidden="false" customHeight="false" outlineLevel="0" collapsed="false">
      <c r="A2" s="3" t="s">
        <v>217</v>
      </c>
      <c r="B2" s="3" t="n">
        <v>181</v>
      </c>
      <c r="C2" s="3" t="n">
        <v>896</v>
      </c>
      <c r="D2" s="3" t="n">
        <v>149.5</v>
      </c>
      <c r="E2" s="3" t="n">
        <v>24</v>
      </c>
      <c r="F2" s="3" t="n">
        <v>55.3</v>
      </c>
      <c r="G2" s="3" t="n">
        <v>408.8</v>
      </c>
      <c r="H2" s="3" t="n">
        <v>17.15</v>
      </c>
    </row>
    <row r="3" customFormat="false" ht="15" hidden="false" customHeight="false" outlineLevel="0" collapsed="false">
      <c r="A3" s="3" t="s">
        <v>218</v>
      </c>
      <c r="B3" s="3" t="n">
        <v>73</v>
      </c>
      <c r="C3" s="3" t="n">
        <v>409</v>
      </c>
      <c r="D3" s="3" t="n">
        <v>64.5</v>
      </c>
      <c r="E3" s="3" t="n">
        <v>13.2</v>
      </c>
      <c r="F3" s="3" t="n">
        <v>42.7</v>
      </c>
      <c r="G3" s="3" t="n">
        <v>183.2</v>
      </c>
      <c r="H3" s="3" t="n">
        <v>7.86</v>
      </c>
    </row>
    <row r="4" customFormat="false" ht="15" hidden="false" customHeight="false" outlineLevel="0" collapsed="false">
      <c r="A4" s="3" t="s">
        <v>219</v>
      </c>
      <c r="B4" s="3" t="n">
        <v>133</v>
      </c>
      <c r="C4" s="3" t="n">
        <v>766</v>
      </c>
      <c r="D4" s="3" t="n">
        <v>166.5</v>
      </c>
      <c r="E4" s="3" t="n">
        <v>44.4</v>
      </c>
      <c r="F4" s="3" t="n">
        <v>39.9</v>
      </c>
      <c r="G4" s="3" t="n">
        <v>324.8</v>
      </c>
      <c r="H4" s="3" t="n">
        <v>14.75</v>
      </c>
    </row>
    <row r="5" customFormat="false" ht="15" hidden="false" customHeight="false" outlineLevel="0" collapsed="false">
      <c r="A5" s="3" t="s">
        <v>220</v>
      </c>
      <c r="B5" s="3" t="n">
        <v>211</v>
      </c>
      <c r="C5" s="3" t="n">
        <v>976</v>
      </c>
      <c r="D5" s="3" t="n">
        <v>185.5</v>
      </c>
      <c r="E5" s="3" t="n">
        <v>46.8</v>
      </c>
      <c r="F5" s="3" t="n">
        <v>45.5</v>
      </c>
      <c r="G5" s="3" t="n">
        <v>400</v>
      </c>
      <c r="H5" s="3" t="n">
        <v>18.65</v>
      </c>
    </row>
    <row r="6" customFormat="false" ht="15" hidden="false" customHeight="false" outlineLevel="0" collapsed="false">
      <c r="A6" s="3" t="s">
        <v>221</v>
      </c>
      <c r="B6" s="3" t="n">
        <v>315</v>
      </c>
      <c r="C6" s="3" t="n">
        <v>745</v>
      </c>
      <c r="D6" s="3" t="n">
        <v>115.5</v>
      </c>
      <c r="E6" s="3" t="n">
        <v>55.8</v>
      </c>
      <c r="F6" s="3" t="n">
        <v>49</v>
      </c>
      <c r="G6" s="3" t="n">
        <v>322.4</v>
      </c>
      <c r="H6" s="3" t="n">
        <v>16.03</v>
      </c>
    </row>
    <row r="7" customFormat="false" ht="15" hidden="false" customHeight="false" outlineLevel="0" collapsed="false">
      <c r="A7" s="3" t="s">
        <v>222</v>
      </c>
      <c r="B7" s="3" t="n">
        <v>103</v>
      </c>
      <c r="C7" s="3" t="n">
        <v>600</v>
      </c>
      <c r="D7" s="3" t="n">
        <v>100</v>
      </c>
      <c r="E7" s="3" t="n">
        <v>15.6</v>
      </c>
      <c r="F7" s="3" t="n">
        <v>22.4</v>
      </c>
      <c r="G7" s="3" t="n">
        <v>280.8</v>
      </c>
      <c r="H7" s="3" t="n">
        <v>10.29</v>
      </c>
    </row>
    <row r="8" customFormat="false" ht="15" hidden="false" customHeight="false" outlineLevel="0" collapsed="false">
      <c r="A8" s="3" t="s">
        <v>223</v>
      </c>
      <c r="B8" s="3" t="n">
        <v>301</v>
      </c>
      <c r="C8" s="3" t="n">
        <v>802</v>
      </c>
      <c r="D8" s="3" t="n">
        <v>162</v>
      </c>
      <c r="E8" s="3" t="n">
        <v>22.2</v>
      </c>
      <c r="F8" s="3" t="n">
        <v>53.2</v>
      </c>
      <c r="G8" s="3" t="n">
        <v>294.4</v>
      </c>
      <c r="H8" s="3" t="n">
        <v>16.35</v>
      </c>
    </row>
    <row r="9" customFormat="false" ht="15" hidden="false" customHeight="false" outlineLevel="0" collapsed="false">
      <c r="A9" s="3" t="s">
        <v>224</v>
      </c>
      <c r="B9" s="3" t="n">
        <v>192</v>
      </c>
      <c r="C9" s="3" t="n">
        <v>758</v>
      </c>
      <c r="D9" s="3" t="n">
        <v>159</v>
      </c>
      <c r="E9" s="3" t="n">
        <v>14.4</v>
      </c>
      <c r="F9" s="3" t="n">
        <v>51.1</v>
      </c>
      <c r="G9" s="3" t="n">
        <v>342.4</v>
      </c>
      <c r="H9" s="3" t="n">
        <v>15.17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de-DE</dc:language>
  <cp:lastModifiedBy/>
  <dcterms:modified xsi:type="dcterms:W3CDTF">2021-06-14T18:03:47Z</dcterms:modified>
  <cp:revision>1</cp:revision>
  <dc:subject/>
  <dc:title/>
</cp:coreProperties>
</file>