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59EAF7F-4B40-4267-A126-C3BA32ABE6A7}" xr6:coauthVersionLast="46" xr6:coauthVersionMax="46" xr10:uidLastSave="{00000000-0000-0000-0000-000000000000}"/>
  <bookViews>
    <workbookView xWindow="-98" yWindow="-98" windowWidth="22695" windowHeight="14595" xr2:uid="{00000000-000D-0000-FFFF-FFFF00000000}"/>
  </bookViews>
  <sheets>
    <sheet name="UFC Condition" sheetId="1" r:id="rId1"/>
    <sheet name="6D" sheetId="2" r:id="rId2"/>
    <sheet name="6W" sheetId="3" r:id="rId3"/>
    <sheet name="10W" sheetId="4" r:id="rId4"/>
    <sheet name="14W" sheetId="5" r:id="rId5"/>
    <sheet name="4M" sheetId="6" r:id="rId6"/>
    <sheet name="5M" sheetId="7" r:id="rId7"/>
    <sheet name="6M" sheetId="8" r:id="rId8"/>
  </sheets>
  <definedNames>
    <definedName name="_10W" localSheetId="3">'10W'!$A$1:$W$108</definedName>
    <definedName name="_14W" localSheetId="4">'14W'!$A$1:$W$151</definedName>
    <definedName name="_4M" localSheetId="5">'4M'!$A$1:$W$112</definedName>
    <definedName name="_5M" localSheetId="6">'5M'!$A$1:$W$55</definedName>
    <definedName name="_6D" localSheetId="1">'6D'!$A$1:$R$134</definedName>
    <definedName name="_6M" localSheetId="7">'6M'!$A$1:$W$84</definedName>
    <definedName name="_6W" localSheetId="2">'6W'!$A$1:$V$110</definedName>
    <definedName name="_xlnm._FilterDatabase" localSheetId="3" hidden="1">'10W'!$A$1:$W$108</definedName>
    <definedName name="_xlnm._FilterDatabase" localSheetId="4" hidden="1">'14W'!$A$1:$W$151</definedName>
    <definedName name="_xlnm._FilterDatabase" localSheetId="5" hidden="1">'4M'!$A$1:$W$112</definedName>
    <definedName name="_xlnm._FilterDatabase" localSheetId="6" hidden="1">'5M'!$A$1:$W$55</definedName>
    <definedName name="_xlnm._FilterDatabase" localSheetId="1" hidden="1">'6D'!$A$1:$R$134</definedName>
    <definedName name="_xlnm._FilterDatabase" localSheetId="7" hidden="1">'6M'!$A$1:$W$84</definedName>
    <definedName name="_xlnm._FilterDatabase" localSheetId="2" hidden="1">'6W'!$A$1:$V$110</definedName>
    <definedName name="d6_data">'6D'!$A:$R</definedName>
    <definedName name="day6_" localSheetId="1">'6D'!$A$1:$R$134</definedName>
    <definedName name="m4_data">'4M'!$A:$W</definedName>
    <definedName name="m5_data">'5M'!$A:$W</definedName>
    <definedName name="m6_data">'6M'!$A:$W</definedName>
    <definedName name="w10_data">'10W'!$A:$W</definedName>
    <definedName name="w14_data">'14W'!$A:$W</definedName>
    <definedName name="w6_data">'6W'!$A:$V</definedName>
  </definedNames>
  <calcPr calcId="191029"/>
  <pivotCaches>
    <pivotCache cacheId="26" r:id="rId9"/>
    <pivotCache cacheId="27" r:id="rId10"/>
    <pivotCache cacheId="28" r:id="rId11"/>
    <pivotCache cacheId="29" r:id="rId12"/>
    <pivotCache cacheId="30" r:id="rId13"/>
    <pivotCache cacheId="31" r:id="rId14"/>
    <pivotCache cacheId="32" r:id="rId1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6" i="8" l="1"/>
  <c r="M16" i="8"/>
  <c r="N16" i="8"/>
  <c r="O16" i="8"/>
  <c r="P16" i="8"/>
  <c r="Q16" i="8"/>
  <c r="L30" i="8"/>
  <c r="M30" i="8"/>
  <c r="N30" i="8"/>
  <c r="O30" i="8"/>
  <c r="P30" i="8"/>
  <c r="Q30" i="8"/>
  <c r="L24" i="8"/>
  <c r="M24" i="8"/>
  <c r="N24" i="8"/>
  <c r="O24" i="8"/>
  <c r="P24" i="8"/>
  <c r="Q24" i="8"/>
  <c r="L43" i="8"/>
  <c r="M43" i="8"/>
  <c r="N43" i="8"/>
  <c r="O43" i="8"/>
  <c r="P43" i="8"/>
  <c r="Q43" i="8"/>
  <c r="L52" i="8"/>
  <c r="M52" i="8"/>
  <c r="N52" i="8"/>
  <c r="O52" i="8"/>
  <c r="P52" i="8"/>
  <c r="Q52" i="8"/>
  <c r="L5" i="8"/>
  <c r="M5" i="8"/>
  <c r="N5" i="8"/>
  <c r="O5" i="8"/>
  <c r="P5" i="8"/>
  <c r="Q5" i="8"/>
  <c r="L39" i="8"/>
  <c r="M39" i="8"/>
  <c r="N39" i="8"/>
  <c r="O39" i="8"/>
  <c r="P39" i="8"/>
  <c r="Q39" i="8"/>
  <c r="L32" i="8"/>
  <c r="M32" i="8"/>
  <c r="N32" i="8"/>
  <c r="O32" i="8"/>
  <c r="P32" i="8"/>
  <c r="Q32" i="8"/>
  <c r="L31" i="8"/>
  <c r="M31" i="8"/>
  <c r="N31" i="8"/>
  <c r="O31" i="8"/>
  <c r="P31" i="8"/>
  <c r="Q31" i="8"/>
  <c r="L62" i="8"/>
  <c r="M62" i="8"/>
  <c r="N62" i="8"/>
  <c r="O62" i="8"/>
  <c r="P62" i="8"/>
  <c r="Q62" i="8"/>
  <c r="L9" i="8"/>
  <c r="M9" i="8"/>
  <c r="N9" i="8"/>
  <c r="O9" i="8"/>
  <c r="P9" i="8"/>
  <c r="Q9" i="8"/>
  <c r="L25" i="8"/>
  <c r="M25" i="8"/>
  <c r="N25" i="8"/>
  <c r="O25" i="8"/>
  <c r="P25" i="8"/>
  <c r="Q25" i="8"/>
  <c r="L40" i="8"/>
  <c r="M40" i="8"/>
  <c r="N40" i="8"/>
  <c r="O40" i="8"/>
  <c r="P40" i="8"/>
  <c r="Q40" i="8"/>
  <c r="L64" i="8"/>
  <c r="M64" i="8"/>
  <c r="N64" i="8"/>
  <c r="O64" i="8"/>
  <c r="P64" i="8"/>
  <c r="Q64" i="8"/>
  <c r="L51" i="8"/>
  <c r="M51" i="8"/>
  <c r="N51" i="8"/>
  <c r="O51" i="8"/>
  <c r="P51" i="8"/>
  <c r="Q51" i="8"/>
  <c r="L80" i="8"/>
  <c r="M80" i="8"/>
  <c r="N80" i="8"/>
  <c r="O80" i="8"/>
  <c r="P80" i="8"/>
  <c r="Q80" i="8"/>
  <c r="L82" i="8"/>
  <c r="M82" i="8"/>
  <c r="N82" i="8"/>
  <c r="O82" i="8"/>
  <c r="P82" i="8"/>
  <c r="Q82" i="8"/>
  <c r="L78" i="8"/>
  <c r="M78" i="8"/>
  <c r="N78" i="8"/>
  <c r="O78" i="8"/>
  <c r="P78" i="8"/>
  <c r="Q78" i="8"/>
  <c r="L76" i="8"/>
  <c r="M76" i="8"/>
  <c r="N76" i="8"/>
  <c r="O76" i="8"/>
  <c r="P76" i="8"/>
  <c r="Q76" i="8"/>
  <c r="L75" i="8"/>
  <c r="M75" i="8"/>
  <c r="N75" i="8"/>
  <c r="O75" i="8"/>
  <c r="P75" i="8"/>
  <c r="Q75" i="8"/>
  <c r="L71" i="8"/>
  <c r="M71" i="8"/>
  <c r="N71" i="8"/>
  <c r="O71" i="8"/>
  <c r="P71" i="8"/>
  <c r="Q71" i="8"/>
  <c r="L70" i="8"/>
  <c r="M70" i="8"/>
  <c r="N70" i="8"/>
  <c r="O70" i="8"/>
  <c r="P70" i="8"/>
  <c r="Q70" i="8"/>
  <c r="L42" i="8"/>
  <c r="M42" i="8"/>
  <c r="N42" i="8"/>
  <c r="O42" i="8"/>
  <c r="P42" i="8"/>
  <c r="Q42" i="8"/>
  <c r="L50" i="8"/>
  <c r="M50" i="8"/>
  <c r="N50" i="8"/>
  <c r="O50" i="8"/>
  <c r="P50" i="8"/>
  <c r="Q50" i="8"/>
  <c r="L44" i="8"/>
  <c r="M44" i="8"/>
  <c r="N44" i="8"/>
  <c r="O44" i="8"/>
  <c r="P44" i="8"/>
  <c r="Q44" i="8"/>
  <c r="L2" i="8"/>
  <c r="M2" i="8"/>
  <c r="N2" i="8"/>
  <c r="O2" i="8"/>
  <c r="P2" i="8"/>
  <c r="Q2" i="8"/>
  <c r="L3" i="8"/>
  <c r="M3" i="8"/>
  <c r="N3" i="8"/>
  <c r="O3" i="8"/>
  <c r="P3" i="8"/>
  <c r="Q3" i="8"/>
  <c r="L45" i="8"/>
  <c r="M45" i="8"/>
  <c r="N45" i="8"/>
  <c r="O45" i="8"/>
  <c r="P45" i="8"/>
  <c r="Q45" i="8"/>
  <c r="L19" i="8"/>
  <c r="M19" i="8"/>
  <c r="N19" i="8"/>
  <c r="O19" i="8"/>
  <c r="P19" i="8"/>
  <c r="Q19" i="8"/>
  <c r="L29" i="8"/>
  <c r="M29" i="8"/>
  <c r="N29" i="8"/>
  <c r="O29" i="8"/>
  <c r="P29" i="8"/>
  <c r="Q29" i="8"/>
  <c r="L28" i="8"/>
  <c r="M28" i="8"/>
  <c r="N28" i="8"/>
  <c r="O28" i="8"/>
  <c r="P28" i="8"/>
  <c r="Q28" i="8"/>
  <c r="L18" i="8"/>
  <c r="M18" i="8"/>
  <c r="N18" i="8"/>
  <c r="O18" i="8"/>
  <c r="P18" i="8"/>
  <c r="Q18" i="8"/>
  <c r="L17" i="8"/>
  <c r="M17" i="8"/>
  <c r="N17" i="8"/>
  <c r="O17" i="8"/>
  <c r="P17" i="8"/>
  <c r="Q17" i="8"/>
  <c r="L7" i="8"/>
  <c r="M7" i="8"/>
  <c r="N7" i="8"/>
  <c r="O7" i="8"/>
  <c r="P7" i="8"/>
  <c r="Q7" i="8"/>
  <c r="L37" i="8"/>
  <c r="M37" i="8"/>
  <c r="N37" i="8"/>
  <c r="O37" i="8"/>
  <c r="P37" i="8"/>
  <c r="Q37" i="8"/>
  <c r="L59" i="8"/>
  <c r="M59" i="8"/>
  <c r="N59" i="8"/>
  <c r="O59" i="8"/>
  <c r="P59" i="8"/>
  <c r="Q59" i="8"/>
  <c r="L55" i="8"/>
  <c r="M55" i="8"/>
  <c r="N55" i="8"/>
  <c r="O55" i="8"/>
  <c r="P55" i="8"/>
  <c r="Q55" i="8"/>
  <c r="L57" i="8"/>
  <c r="M57" i="8"/>
  <c r="N57" i="8"/>
  <c r="O57" i="8"/>
  <c r="P57" i="8"/>
  <c r="Q57" i="8"/>
  <c r="L53" i="8"/>
  <c r="M53" i="8"/>
  <c r="N53" i="8"/>
  <c r="O53" i="8"/>
  <c r="P53" i="8"/>
  <c r="Q53" i="8"/>
  <c r="L63" i="8"/>
  <c r="M63" i="8"/>
  <c r="N63" i="8"/>
  <c r="O63" i="8"/>
  <c r="P63" i="8"/>
  <c r="Q63" i="8"/>
  <c r="L79" i="8"/>
  <c r="M79" i="8"/>
  <c r="N79" i="8"/>
  <c r="O79" i="8"/>
  <c r="P79" i="8"/>
  <c r="Q79" i="8"/>
  <c r="L66" i="8"/>
  <c r="M66" i="8"/>
  <c r="N66" i="8"/>
  <c r="O66" i="8"/>
  <c r="P66" i="8"/>
  <c r="Q66" i="8"/>
  <c r="L84" i="8"/>
  <c r="M84" i="8"/>
  <c r="N84" i="8"/>
  <c r="O84" i="8"/>
  <c r="P84" i="8"/>
  <c r="Q84" i="8"/>
  <c r="L12" i="8"/>
  <c r="M12" i="8"/>
  <c r="N12" i="8"/>
  <c r="O12" i="8"/>
  <c r="P12" i="8"/>
  <c r="Q12" i="8"/>
  <c r="L49" i="8"/>
  <c r="M49" i="8"/>
  <c r="N49" i="8"/>
  <c r="O49" i="8"/>
  <c r="P49" i="8"/>
  <c r="Q49" i="8"/>
  <c r="L54" i="8"/>
  <c r="M54" i="8"/>
  <c r="N54" i="8"/>
  <c r="O54" i="8"/>
  <c r="P54" i="8"/>
  <c r="Q54" i="8"/>
  <c r="L15" i="8"/>
  <c r="M15" i="8"/>
  <c r="N15" i="8"/>
  <c r="O15" i="8"/>
  <c r="P15" i="8"/>
  <c r="Q15" i="8"/>
  <c r="L13" i="8"/>
  <c r="M13" i="8"/>
  <c r="N13" i="8"/>
  <c r="O13" i="8"/>
  <c r="P13" i="8"/>
  <c r="Q13" i="8"/>
  <c r="L22" i="8"/>
  <c r="M22" i="8"/>
  <c r="N22" i="8"/>
  <c r="O22" i="8"/>
  <c r="P22" i="8"/>
  <c r="Q22" i="8"/>
  <c r="L20" i="8"/>
  <c r="M20" i="8"/>
  <c r="N20" i="8"/>
  <c r="O20" i="8"/>
  <c r="P20" i="8"/>
  <c r="Q20" i="8"/>
  <c r="L10" i="8"/>
  <c r="M10" i="8"/>
  <c r="N10" i="8"/>
  <c r="O10" i="8"/>
  <c r="P10" i="8"/>
  <c r="Q10" i="8"/>
  <c r="L46" i="8"/>
  <c r="M46" i="8"/>
  <c r="N46" i="8"/>
  <c r="O46" i="8"/>
  <c r="P46" i="8"/>
  <c r="Q46" i="8"/>
  <c r="L23" i="8"/>
  <c r="M23" i="8"/>
  <c r="N23" i="8"/>
  <c r="O23" i="8"/>
  <c r="P23" i="8"/>
  <c r="Q23" i="8"/>
  <c r="L73" i="8"/>
  <c r="M73" i="8"/>
  <c r="N73" i="8"/>
  <c r="O73" i="8"/>
  <c r="P73" i="8"/>
  <c r="Q73" i="8"/>
  <c r="L65" i="8"/>
  <c r="M65" i="8"/>
  <c r="N65" i="8"/>
  <c r="O65" i="8"/>
  <c r="P65" i="8"/>
  <c r="Q65" i="8"/>
  <c r="L68" i="8"/>
  <c r="M68" i="8"/>
  <c r="N68" i="8"/>
  <c r="O68" i="8"/>
  <c r="P68" i="8"/>
  <c r="Q68" i="8"/>
  <c r="L74" i="8"/>
  <c r="M74" i="8"/>
  <c r="N74" i="8"/>
  <c r="O74" i="8"/>
  <c r="P74" i="8"/>
  <c r="Q74" i="8"/>
  <c r="L47" i="8"/>
  <c r="M47" i="8"/>
  <c r="N47" i="8"/>
  <c r="O47" i="8"/>
  <c r="P47" i="8"/>
  <c r="Q47" i="8"/>
  <c r="L4" i="8"/>
  <c r="M4" i="8"/>
  <c r="N4" i="8"/>
  <c r="O4" i="8"/>
  <c r="P4" i="8"/>
  <c r="Q4" i="8"/>
  <c r="L27" i="8"/>
  <c r="M27" i="8"/>
  <c r="N27" i="8"/>
  <c r="O27" i="8"/>
  <c r="P27" i="8"/>
  <c r="Q27" i="8"/>
  <c r="L6" i="8"/>
  <c r="M6" i="8"/>
  <c r="N6" i="8"/>
  <c r="O6" i="8"/>
  <c r="P6" i="8"/>
  <c r="Q6" i="8"/>
  <c r="L41" i="8"/>
  <c r="M41" i="8"/>
  <c r="N41" i="8"/>
  <c r="O41" i="8"/>
  <c r="P41" i="8"/>
  <c r="Q41" i="8"/>
  <c r="L26" i="8"/>
  <c r="M26" i="8"/>
  <c r="N26" i="8"/>
  <c r="O26" i="8"/>
  <c r="P26" i="8"/>
  <c r="Q26" i="8"/>
  <c r="L21" i="8"/>
  <c r="M21" i="8"/>
  <c r="N21" i="8"/>
  <c r="O21" i="8"/>
  <c r="P21" i="8"/>
  <c r="Q21" i="8"/>
  <c r="L69" i="8"/>
  <c r="M69" i="8"/>
  <c r="N69" i="8"/>
  <c r="O69" i="8"/>
  <c r="P69" i="8"/>
  <c r="Q69" i="8"/>
  <c r="L67" i="8"/>
  <c r="M67" i="8"/>
  <c r="N67" i="8"/>
  <c r="O67" i="8"/>
  <c r="P67" i="8"/>
  <c r="Q67" i="8"/>
  <c r="L35" i="8"/>
  <c r="M35" i="8"/>
  <c r="N35" i="8"/>
  <c r="O35" i="8"/>
  <c r="P35" i="8"/>
  <c r="Q35" i="8"/>
  <c r="L14" i="8"/>
  <c r="M14" i="8"/>
  <c r="N14" i="8"/>
  <c r="O14" i="8"/>
  <c r="P14" i="8"/>
  <c r="Q14" i="8"/>
  <c r="L8" i="8"/>
  <c r="M8" i="8"/>
  <c r="N8" i="8"/>
  <c r="O8" i="8"/>
  <c r="P8" i="8"/>
  <c r="Q8" i="8"/>
  <c r="L38" i="8"/>
  <c r="M38" i="8"/>
  <c r="N38" i="8"/>
  <c r="O38" i="8"/>
  <c r="P38" i="8"/>
  <c r="Q38" i="8"/>
  <c r="L33" i="8"/>
  <c r="M33" i="8"/>
  <c r="N33" i="8"/>
  <c r="O33" i="8"/>
  <c r="P33" i="8"/>
  <c r="Q33" i="8"/>
  <c r="L48" i="8"/>
  <c r="M48" i="8"/>
  <c r="N48" i="8"/>
  <c r="O48" i="8"/>
  <c r="P48" i="8"/>
  <c r="Q48" i="8"/>
  <c r="L34" i="8"/>
  <c r="M34" i="8"/>
  <c r="N34" i="8"/>
  <c r="O34" i="8"/>
  <c r="P34" i="8"/>
  <c r="Q34" i="8"/>
  <c r="L11" i="8"/>
  <c r="M11" i="8"/>
  <c r="N11" i="8"/>
  <c r="O11" i="8"/>
  <c r="P11" i="8"/>
  <c r="Q11" i="8"/>
  <c r="L56" i="8"/>
  <c r="M56" i="8"/>
  <c r="N56" i="8"/>
  <c r="O56" i="8"/>
  <c r="P56" i="8"/>
  <c r="Q56" i="8"/>
  <c r="L58" i="8"/>
  <c r="M58" i="8"/>
  <c r="N58" i="8"/>
  <c r="O58" i="8"/>
  <c r="P58" i="8"/>
  <c r="Q58" i="8"/>
  <c r="L61" i="8"/>
  <c r="M61" i="8"/>
  <c r="N61" i="8"/>
  <c r="O61" i="8"/>
  <c r="P61" i="8"/>
  <c r="Q61" i="8"/>
  <c r="L60" i="8"/>
  <c r="M60" i="8"/>
  <c r="N60" i="8"/>
  <c r="O60" i="8"/>
  <c r="P60" i="8"/>
  <c r="Q60" i="8"/>
  <c r="L36" i="8"/>
  <c r="M36" i="8"/>
  <c r="N36" i="8"/>
  <c r="O36" i="8"/>
  <c r="P36" i="8"/>
  <c r="Q36" i="8"/>
  <c r="L83" i="8"/>
  <c r="M83" i="8"/>
  <c r="N83" i="8"/>
  <c r="O83" i="8"/>
  <c r="P83" i="8"/>
  <c r="Q83" i="8"/>
  <c r="L81" i="8"/>
  <c r="M81" i="8"/>
  <c r="N81" i="8"/>
  <c r="O81" i="8"/>
  <c r="P81" i="8"/>
  <c r="Q81" i="8"/>
  <c r="L72" i="8"/>
  <c r="M72" i="8"/>
  <c r="N72" i="8"/>
  <c r="O72" i="8"/>
  <c r="P72" i="8"/>
  <c r="Q72" i="8"/>
  <c r="L77" i="8"/>
  <c r="M77" i="8"/>
  <c r="N77" i="8"/>
  <c r="O77" i="8"/>
  <c r="P77" i="8"/>
  <c r="Q77" i="8"/>
  <c r="L23" i="7"/>
  <c r="M23" i="7"/>
  <c r="N23" i="7"/>
  <c r="O23" i="7"/>
  <c r="P23" i="7"/>
  <c r="Q23" i="7"/>
  <c r="L24" i="7"/>
  <c r="M24" i="7"/>
  <c r="N24" i="7"/>
  <c r="O24" i="7"/>
  <c r="P24" i="7"/>
  <c r="Q24" i="7"/>
  <c r="L3" i="7"/>
  <c r="M3" i="7"/>
  <c r="N3" i="7"/>
  <c r="O3" i="7"/>
  <c r="P3" i="7"/>
  <c r="Q3" i="7"/>
  <c r="L46" i="7"/>
  <c r="M46" i="7"/>
  <c r="N46" i="7"/>
  <c r="O46" i="7"/>
  <c r="P46" i="7"/>
  <c r="Q46" i="7"/>
  <c r="L20" i="7"/>
  <c r="M20" i="7"/>
  <c r="N20" i="7"/>
  <c r="O20" i="7"/>
  <c r="P20" i="7"/>
  <c r="Q20" i="7"/>
  <c r="L50" i="7"/>
  <c r="M50" i="7"/>
  <c r="N50" i="7"/>
  <c r="O50" i="7"/>
  <c r="P50" i="7"/>
  <c r="Q50" i="7"/>
  <c r="L42" i="7"/>
  <c r="M42" i="7"/>
  <c r="N42" i="7"/>
  <c r="O42" i="7"/>
  <c r="P42" i="7"/>
  <c r="Q42" i="7"/>
  <c r="L7" i="7"/>
  <c r="M7" i="7"/>
  <c r="N7" i="7"/>
  <c r="O7" i="7"/>
  <c r="P7" i="7"/>
  <c r="Q7" i="7"/>
  <c r="L38" i="7"/>
  <c r="M38" i="7"/>
  <c r="N38" i="7"/>
  <c r="O38" i="7"/>
  <c r="P38" i="7"/>
  <c r="Q38" i="7"/>
  <c r="L33" i="7"/>
  <c r="M33" i="7"/>
  <c r="N33" i="7"/>
  <c r="O33" i="7"/>
  <c r="P33" i="7"/>
  <c r="Q33" i="7"/>
  <c r="L12" i="7"/>
  <c r="M12" i="7"/>
  <c r="N12" i="7"/>
  <c r="O12" i="7"/>
  <c r="P12" i="7"/>
  <c r="Q12" i="7"/>
  <c r="L4" i="7"/>
  <c r="M4" i="7"/>
  <c r="N4" i="7"/>
  <c r="O4" i="7"/>
  <c r="P4" i="7"/>
  <c r="Q4" i="7"/>
  <c r="L9" i="7"/>
  <c r="M9" i="7"/>
  <c r="N9" i="7"/>
  <c r="O9" i="7"/>
  <c r="P9" i="7"/>
  <c r="Q9" i="7"/>
  <c r="L55" i="7"/>
  <c r="M55" i="7"/>
  <c r="N55" i="7"/>
  <c r="O55" i="7"/>
  <c r="P55" i="7"/>
  <c r="Q55" i="7"/>
  <c r="L53" i="7"/>
  <c r="M53" i="7"/>
  <c r="N53" i="7"/>
  <c r="O53" i="7"/>
  <c r="P53" i="7"/>
  <c r="Q53" i="7"/>
  <c r="L13" i="7"/>
  <c r="M13" i="7"/>
  <c r="N13" i="7"/>
  <c r="O13" i="7"/>
  <c r="P13" i="7"/>
  <c r="Q13" i="7"/>
  <c r="L10" i="7"/>
  <c r="M10" i="7"/>
  <c r="N10" i="7"/>
  <c r="O10" i="7"/>
  <c r="P10" i="7"/>
  <c r="Q10" i="7"/>
  <c r="L14" i="7"/>
  <c r="M14" i="7"/>
  <c r="N14" i="7"/>
  <c r="O14" i="7"/>
  <c r="P14" i="7"/>
  <c r="Q14" i="7"/>
  <c r="L6" i="7"/>
  <c r="M6" i="7"/>
  <c r="N6" i="7"/>
  <c r="O6" i="7"/>
  <c r="P6" i="7"/>
  <c r="Q6" i="7"/>
  <c r="L21" i="7"/>
  <c r="M21" i="7"/>
  <c r="N21" i="7"/>
  <c r="O21" i="7"/>
  <c r="P21" i="7"/>
  <c r="Q21" i="7"/>
  <c r="L16" i="7"/>
  <c r="M16" i="7"/>
  <c r="N16" i="7"/>
  <c r="O16" i="7"/>
  <c r="P16" i="7"/>
  <c r="Q16" i="7"/>
  <c r="L5" i="7"/>
  <c r="M5" i="7"/>
  <c r="N5" i="7"/>
  <c r="O5" i="7"/>
  <c r="P5" i="7"/>
  <c r="Q5" i="7"/>
  <c r="L25" i="7"/>
  <c r="M25" i="7"/>
  <c r="N25" i="7"/>
  <c r="O25" i="7"/>
  <c r="P25" i="7"/>
  <c r="Q25" i="7"/>
  <c r="L43" i="7"/>
  <c r="M43" i="7"/>
  <c r="N43" i="7"/>
  <c r="O43" i="7"/>
  <c r="P43" i="7"/>
  <c r="Q43" i="7"/>
  <c r="L44" i="7"/>
  <c r="M44" i="7"/>
  <c r="N44" i="7"/>
  <c r="O44" i="7"/>
  <c r="P44" i="7"/>
  <c r="Q44" i="7"/>
  <c r="L19" i="7"/>
  <c r="M19" i="7"/>
  <c r="N19" i="7"/>
  <c r="O19" i="7"/>
  <c r="P19" i="7"/>
  <c r="Q19" i="7"/>
  <c r="L41" i="7"/>
  <c r="M41" i="7"/>
  <c r="N41" i="7"/>
  <c r="O41" i="7"/>
  <c r="P41" i="7"/>
  <c r="Q41" i="7"/>
  <c r="L49" i="7"/>
  <c r="M49" i="7"/>
  <c r="N49" i="7"/>
  <c r="O49" i="7"/>
  <c r="P49" i="7"/>
  <c r="Q49" i="7"/>
  <c r="L2" i="7"/>
  <c r="M2" i="7"/>
  <c r="N2" i="7"/>
  <c r="O2" i="7"/>
  <c r="P2" i="7"/>
  <c r="Q2" i="7"/>
  <c r="L45" i="7"/>
  <c r="M45" i="7"/>
  <c r="N45" i="7"/>
  <c r="O45" i="7"/>
  <c r="P45" i="7"/>
  <c r="Q45" i="7"/>
  <c r="L29" i="7"/>
  <c r="M29" i="7"/>
  <c r="N29" i="7"/>
  <c r="O29" i="7"/>
  <c r="P29" i="7"/>
  <c r="Q29" i="7"/>
  <c r="L15" i="7"/>
  <c r="M15" i="7"/>
  <c r="N15" i="7"/>
  <c r="O15" i="7"/>
  <c r="P15" i="7"/>
  <c r="Q15" i="7"/>
  <c r="L36" i="7"/>
  <c r="M36" i="7"/>
  <c r="N36" i="7"/>
  <c r="O36" i="7"/>
  <c r="P36" i="7"/>
  <c r="Q36" i="7"/>
  <c r="L22" i="7"/>
  <c r="M22" i="7"/>
  <c r="N22" i="7"/>
  <c r="O22" i="7"/>
  <c r="P22" i="7"/>
  <c r="Q22" i="7"/>
  <c r="L18" i="7"/>
  <c r="M18" i="7"/>
  <c r="N18" i="7"/>
  <c r="O18" i="7"/>
  <c r="P18" i="7"/>
  <c r="Q18" i="7"/>
  <c r="L28" i="7"/>
  <c r="M28" i="7"/>
  <c r="N28" i="7"/>
  <c r="O28" i="7"/>
  <c r="P28" i="7"/>
  <c r="Q28" i="7"/>
  <c r="L34" i="7"/>
  <c r="M34" i="7"/>
  <c r="N34" i="7"/>
  <c r="O34" i="7"/>
  <c r="P34" i="7"/>
  <c r="Q34" i="7"/>
  <c r="L27" i="7"/>
  <c r="M27" i="7"/>
  <c r="N27" i="7"/>
  <c r="O27" i="7"/>
  <c r="P27" i="7"/>
  <c r="Q27" i="7"/>
  <c r="L26" i="7"/>
  <c r="M26" i="7"/>
  <c r="N26" i="7"/>
  <c r="O26" i="7"/>
  <c r="P26" i="7"/>
  <c r="Q26" i="7"/>
  <c r="L48" i="7"/>
  <c r="M48" i="7"/>
  <c r="N48" i="7"/>
  <c r="O48" i="7"/>
  <c r="P48" i="7"/>
  <c r="Q48" i="7"/>
  <c r="L52" i="7"/>
  <c r="M52" i="7"/>
  <c r="N52" i="7"/>
  <c r="O52" i="7"/>
  <c r="P52" i="7"/>
  <c r="Q52" i="7"/>
  <c r="L51" i="7"/>
  <c r="M51" i="7"/>
  <c r="N51" i="7"/>
  <c r="O51" i="7"/>
  <c r="P51" i="7"/>
  <c r="Q51" i="7"/>
  <c r="L31" i="7"/>
  <c r="M31" i="7"/>
  <c r="N31" i="7"/>
  <c r="O31" i="7"/>
  <c r="P31" i="7"/>
  <c r="Q31" i="7"/>
  <c r="L30" i="7"/>
  <c r="M30" i="7"/>
  <c r="N30" i="7"/>
  <c r="O30" i="7"/>
  <c r="P30" i="7"/>
  <c r="Q30" i="7"/>
  <c r="L32" i="7"/>
  <c r="M32" i="7"/>
  <c r="N32" i="7"/>
  <c r="O32" i="7"/>
  <c r="P32" i="7"/>
  <c r="Q32" i="7"/>
  <c r="L17" i="7"/>
  <c r="M17" i="7"/>
  <c r="N17" i="7"/>
  <c r="O17" i="7"/>
  <c r="P17" i="7"/>
  <c r="Q17" i="7"/>
  <c r="L8" i="7"/>
  <c r="M8" i="7"/>
  <c r="N8" i="7"/>
  <c r="O8" i="7"/>
  <c r="P8" i="7"/>
  <c r="Q8" i="7"/>
  <c r="L39" i="7"/>
  <c r="M39" i="7"/>
  <c r="N39" i="7"/>
  <c r="O39" i="7"/>
  <c r="P39" i="7"/>
  <c r="Q39" i="7"/>
  <c r="L35" i="7"/>
  <c r="M35" i="7"/>
  <c r="N35" i="7"/>
  <c r="O35" i="7"/>
  <c r="P35" i="7"/>
  <c r="Q35" i="7"/>
  <c r="L37" i="7"/>
  <c r="M37" i="7"/>
  <c r="N37" i="7"/>
  <c r="O37" i="7"/>
  <c r="P37" i="7"/>
  <c r="Q37" i="7"/>
  <c r="L47" i="7"/>
  <c r="M47" i="7"/>
  <c r="N47" i="7"/>
  <c r="O47" i="7"/>
  <c r="P47" i="7"/>
  <c r="Q47" i="7"/>
  <c r="L40" i="7"/>
  <c r="M40" i="7"/>
  <c r="N40" i="7"/>
  <c r="O40" i="7"/>
  <c r="P40" i="7"/>
  <c r="Q40" i="7"/>
  <c r="L11" i="7"/>
  <c r="M11" i="7"/>
  <c r="N11" i="7"/>
  <c r="O11" i="7"/>
  <c r="P11" i="7"/>
  <c r="Q11" i="7"/>
  <c r="L54" i="7"/>
  <c r="M54" i="7"/>
  <c r="N54" i="7"/>
  <c r="O54" i="7"/>
  <c r="P54" i="7"/>
  <c r="Q54" i="7"/>
  <c r="L17" i="6"/>
  <c r="M17" i="6"/>
  <c r="N17" i="6"/>
  <c r="O17" i="6"/>
  <c r="P17" i="6"/>
  <c r="Q17" i="6"/>
  <c r="L42" i="6"/>
  <c r="M42" i="6"/>
  <c r="N42" i="6"/>
  <c r="O42" i="6"/>
  <c r="P42" i="6"/>
  <c r="Q42" i="6"/>
  <c r="L8" i="6"/>
  <c r="M8" i="6"/>
  <c r="N8" i="6"/>
  <c r="O8" i="6"/>
  <c r="P8" i="6"/>
  <c r="Q8" i="6"/>
  <c r="L37" i="6"/>
  <c r="M37" i="6"/>
  <c r="N37" i="6"/>
  <c r="O37" i="6"/>
  <c r="P37" i="6"/>
  <c r="Q37" i="6"/>
  <c r="L30" i="6"/>
  <c r="M30" i="6"/>
  <c r="N30" i="6"/>
  <c r="O30" i="6"/>
  <c r="P30" i="6"/>
  <c r="Q30" i="6"/>
  <c r="L3" i="6"/>
  <c r="M3" i="6"/>
  <c r="N3" i="6"/>
  <c r="O3" i="6"/>
  <c r="P3" i="6"/>
  <c r="Q3" i="6"/>
  <c r="L51" i="6"/>
  <c r="M51" i="6"/>
  <c r="N51" i="6"/>
  <c r="O51" i="6"/>
  <c r="P51" i="6"/>
  <c r="Q51" i="6"/>
  <c r="L84" i="6"/>
  <c r="M84" i="6"/>
  <c r="N84" i="6"/>
  <c r="O84" i="6"/>
  <c r="P84" i="6"/>
  <c r="Q84" i="6"/>
  <c r="L58" i="6"/>
  <c r="M58" i="6"/>
  <c r="N58" i="6"/>
  <c r="O58" i="6"/>
  <c r="P58" i="6"/>
  <c r="Q58" i="6"/>
  <c r="L65" i="6"/>
  <c r="M65" i="6"/>
  <c r="N65" i="6"/>
  <c r="O65" i="6"/>
  <c r="P65" i="6"/>
  <c r="Q65" i="6"/>
  <c r="L87" i="6"/>
  <c r="M87" i="6"/>
  <c r="N87" i="6"/>
  <c r="O87" i="6"/>
  <c r="P87" i="6"/>
  <c r="Q87" i="6"/>
  <c r="L98" i="6"/>
  <c r="M98" i="6"/>
  <c r="N98" i="6"/>
  <c r="O98" i="6"/>
  <c r="P98" i="6"/>
  <c r="Q98" i="6"/>
  <c r="L89" i="6"/>
  <c r="M89" i="6"/>
  <c r="N89" i="6"/>
  <c r="O89" i="6"/>
  <c r="P89" i="6"/>
  <c r="Q89" i="6"/>
  <c r="L104" i="6"/>
  <c r="M104" i="6"/>
  <c r="N104" i="6"/>
  <c r="O104" i="6"/>
  <c r="P104" i="6"/>
  <c r="Q104" i="6"/>
  <c r="L62" i="6"/>
  <c r="M62" i="6"/>
  <c r="N62" i="6"/>
  <c r="O62" i="6"/>
  <c r="P62" i="6"/>
  <c r="Q62" i="6"/>
  <c r="L74" i="6"/>
  <c r="M74" i="6"/>
  <c r="N74" i="6"/>
  <c r="O74" i="6"/>
  <c r="P74" i="6"/>
  <c r="Q74" i="6"/>
  <c r="L61" i="6"/>
  <c r="M61" i="6"/>
  <c r="N61" i="6"/>
  <c r="O61" i="6"/>
  <c r="P61" i="6"/>
  <c r="Q61" i="6"/>
  <c r="L56" i="6"/>
  <c r="M56" i="6"/>
  <c r="N56" i="6"/>
  <c r="O56" i="6"/>
  <c r="P56" i="6"/>
  <c r="Q56" i="6"/>
  <c r="L85" i="6"/>
  <c r="M85" i="6"/>
  <c r="N85" i="6"/>
  <c r="O85" i="6"/>
  <c r="P85" i="6"/>
  <c r="Q85" i="6"/>
  <c r="L107" i="6"/>
  <c r="M107" i="6"/>
  <c r="N107" i="6"/>
  <c r="O107" i="6"/>
  <c r="P107" i="6"/>
  <c r="Q107" i="6"/>
  <c r="L4" i="6"/>
  <c r="M4" i="6"/>
  <c r="N4" i="6"/>
  <c r="O4" i="6"/>
  <c r="P4" i="6"/>
  <c r="Q4" i="6"/>
  <c r="L6" i="6"/>
  <c r="M6" i="6"/>
  <c r="N6" i="6"/>
  <c r="O6" i="6"/>
  <c r="P6" i="6"/>
  <c r="Q6" i="6"/>
  <c r="L35" i="6"/>
  <c r="M35" i="6"/>
  <c r="N35" i="6"/>
  <c r="O35" i="6"/>
  <c r="P35" i="6"/>
  <c r="Q35" i="6"/>
  <c r="L38" i="6"/>
  <c r="M38" i="6"/>
  <c r="N38" i="6"/>
  <c r="O38" i="6"/>
  <c r="P38" i="6"/>
  <c r="Q38" i="6"/>
  <c r="L39" i="6"/>
  <c r="M39" i="6"/>
  <c r="N39" i="6"/>
  <c r="O39" i="6"/>
  <c r="P39" i="6"/>
  <c r="Q39" i="6"/>
  <c r="L7" i="6"/>
  <c r="M7" i="6"/>
  <c r="N7" i="6"/>
  <c r="O7" i="6"/>
  <c r="P7" i="6"/>
  <c r="Q7" i="6"/>
  <c r="L5" i="6"/>
  <c r="M5" i="6"/>
  <c r="N5" i="6"/>
  <c r="O5" i="6"/>
  <c r="P5" i="6"/>
  <c r="Q5" i="6"/>
  <c r="L29" i="6"/>
  <c r="M29" i="6"/>
  <c r="N29" i="6"/>
  <c r="O29" i="6"/>
  <c r="P29" i="6"/>
  <c r="Q29" i="6"/>
  <c r="L27" i="6"/>
  <c r="M27" i="6"/>
  <c r="N27" i="6"/>
  <c r="O27" i="6"/>
  <c r="P27" i="6"/>
  <c r="Q27" i="6"/>
  <c r="L43" i="6"/>
  <c r="M43" i="6"/>
  <c r="N43" i="6"/>
  <c r="O43" i="6"/>
  <c r="P43" i="6"/>
  <c r="Q43" i="6"/>
  <c r="L21" i="6"/>
  <c r="M21" i="6"/>
  <c r="N21" i="6"/>
  <c r="O21" i="6"/>
  <c r="P21" i="6"/>
  <c r="Q21" i="6"/>
  <c r="L68" i="6"/>
  <c r="M68" i="6"/>
  <c r="N68" i="6"/>
  <c r="O68" i="6"/>
  <c r="P68" i="6"/>
  <c r="Q68" i="6"/>
  <c r="L72" i="6"/>
  <c r="M72" i="6"/>
  <c r="N72" i="6"/>
  <c r="O72" i="6"/>
  <c r="P72" i="6"/>
  <c r="Q72" i="6"/>
  <c r="L101" i="6"/>
  <c r="M101" i="6"/>
  <c r="N101" i="6"/>
  <c r="O101" i="6"/>
  <c r="P101" i="6"/>
  <c r="Q101" i="6"/>
  <c r="L60" i="6"/>
  <c r="M60" i="6"/>
  <c r="N60" i="6"/>
  <c r="O60" i="6"/>
  <c r="P60" i="6"/>
  <c r="Q60" i="6"/>
  <c r="L93" i="6"/>
  <c r="M93" i="6"/>
  <c r="N93" i="6"/>
  <c r="O93" i="6"/>
  <c r="P93" i="6"/>
  <c r="Q93" i="6"/>
  <c r="L69" i="6"/>
  <c r="M69" i="6"/>
  <c r="N69" i="6"/>
  <c r="O69" i="6"/>
  <c r="P69" i="6"/>
  <c r="Q69" i="6"/>
  <c r="L81" i="6"/>
  <c r="M81" i="6"/>
  <c r="N81" i="6"/>
  <c r="O81" i="6"/>
  <c r="P81" i="6"/>
  <c r="Q81" i="6"/>
  <c r="L82" i="6"/>
  <c r="M82" i="6"/>
  <c r="N82" i="6"/>
  <c r="O82" i="6"/>
  <c r="P82" i="6"/>
  <c r="Q82" i="6"/>
  <c r="L80" i="6"/>
  <c r="M80" i="6"/>
  <c r="N80" i="6"/>
  <c r="O80" i="6"/>
  <c r="P80" i="6"/>
  <c r="Q80" i="6"/>
  <c r="L50" i="6"/>
  <c r="M50" i="6"/>
  <c r="N50" i="6"/>
  <c r="O50" i="6"/>
  <c r="P50" i="6"/>
  <c r="Q50" i="6"/>
  <c r="L96" i="6"/>
  <c r="M96" i="6"/>
  <c r="N96" i="6"/>
  <c r="O96" i="6"/>
  <c r="P96" i="6"/>
  <c r="Q96" i="6"/>
  <c r="L95" i="6"/>
  <c r="M95" i="6"/>
  <c r="N95" i="6"/>
  <c r="O95" i="6"/>
  <c r="P95" i="6"/>
  <c r="Q95" i="6"/>
  <c r="L67" i="6"/>
  <c r="M67" i="6"/>
  <c r="N67" i="6"/>
  <c r="O67" i="6"/>
  <c r="P67" i="6"/>
  <c r="Q67" i="6"/>
  <c r="L90" i="6"/>
  <c r="M90" i="6"/>
  <c r="N90" i="6"/>
  <c r="O90" i="6"/>
  <c r="P90" i="6"/>
  <c r="Q90" i="6"/>
  <c r="L75" i="6"/>
  <c r="M75" i="6"/>
  <c r="N75" i="6"/>
  <c r="O75" i="6"/>
  <c r="P75" i="6"/>
  <c r="Q75" i="6"/>
  <c r="L76" i="6"/>
  <c r="M76" i="6"/>
  <c r="N76" i="6"/>
  <c r="O76" i="6"/>
  <c r="P76" i="6"/>
  <c r="Q76" i="6"/>
  <c r="L86" i="6"/>
  <c r="M86" i="6"/>
  <c r="N86" i="6"/>
  <c r="O86" i="6"/>
  <c r="P86" i="6"/>
  <c r="Q86" i="6"/>
  <c r="L64" i="6"/>
  <c r="M64" i="6"/>
  <c r="N64" i="6"/>
  <c r="O64" i="6"/>
  <c r="P64" i="6"/>
  <c r="Q64" i="6"/>
  <c r="L92" i="6"/>
  <c r="M92" i="6"/>
  <c r="N92" i="6"/>
  <c r="O92" i="6"/>
  <c r="P92" i="6"/>
  <c r="Q92" i="6"/>
  <c r="L24" i="6"/>
  <c r="M24" i="6"/>
  <c r="N24" i="6"/>
  <c r="O24" i="6"/>
  <c r="P24" i="6"/>
  <c r="Q24" i="6"/>
  <c r="L18" i="6"/>
  <c r="M18" i="6"/>
  <c r="N18" i="6"/>
  <c r="O18" i="6"/>
  <c r="P18" i="6"/>
  <c r="Q18" i="6"/>
  <c r="L12" i="6"/>
  <c r="M12" i="6"/>
  <c r="N12" i="6"/>
  <c r="O12" i="6"/>
  <c r="P12" i="6"/>
  <c r="Q12" i="6"/>
  <c r="L13" i="6"/>
  <c r="M13" i="6"/>
  <c r="N13" i="6"/>
  <c r="O13" i="6"/>
  <c r="P13" i="6"/>
  <c r="Q13" i="6"/>
  <c r="L22" i="6"/>
  <c r="M22" i="6"/>
  <c r="N22" i="6"/>
  <c r="O22" i="6"/>
  <c r="P22" i="6"/>
  <c r="Q22" i="6"/>
  <c r="L34" i="6"/>
  <c r="M34" i="6"/>
  <c r="N34" i="6"/>
  <c r="O34" i="6"/>
  <c r="P34" i="6"/>
  <c r="Q34" i="6"/>
  <c r="L36" i="6"/>
  <c r="M36" i="6"/>
  <c r="N36" i="6"/>
  <c r="O36" i="6"/>
  <c r="P36" i="6"/>
  <c r="Q36" i="6"/>
  <c r="L53" i="6"/>
  <c r="M53" i="6"/>
  <c r="N53" i="6"/>
  <c r="O53" i="6"/>
  <c r="P53" i="6"/>
  <c r="Q53" i="6"/>
  <c r="L57" i="6"/>
  <c r="M57" i="6"/>
  <c r="N57" i="6"/>
  <c r="O57" i="6"/>
  <c r="P57" i="6"/>
  <c r="Q57" i="6"/>
  <c r="L79" i="6"/>
  <c r="M79" i="6"/>
  <c r="N79" i="6"/>
  <c r="O79" i="6"/>
  <c r="P79" i="6"/>
  <c r="Q79" i="6"/>
  <c r="L106" i="6"/>
  <c r="M106" i="6"/>
  <c r="N106" i="6"/>
  <c r="O106" i="6"/>
  <c r="P106" i="6"/>
  <c r="Q106" i="6"/>
  <c r="L105" i="6"/>
  <c r="M105" i="6"/>
  <c r="N105" i="6"/>
  <c r="O105" i="6"/>
  <c r="P105" i="6"/>
  <c r="Q105" i="6"/>
  <c r="L78" i="6"/>
  <c r="M78" i="6"/>
  <c r="N78" i="6"/>
  <c r="O78" i="6"/>
  <c r="P78" i="6"/>
  <c r="Q78" i="6"/>
  <c r="L88" i="6"/>
  <c r="M88" i="6"/>
  <c r="N88" i="6"/>
  <c r="O88" i="6"/>
  <c r="P88" i="6"/>
  <c r="Q88" i="6"/>
  <c r="L70" i="6"/>
  <c r="M70" i="6"/>
  <c r="N70" i="6"/>
  <c r="O70" i="6"/>
  <c r="P70" i="6"/>
  <c r="Q70" i="6"/>
  <c r="L94" i="6"/>
  <c r="M94" i="6"/>
  <c r="N94" i="6"/>
  <c r="O94" i="6"/>
  <c r="P94" i="6"/>
  <c r="Q94" i="6"/>
  <c r="L47" i="6"/>
  <c r="M47" i="6"/>
  <c r="N47" i="6"/>
  <c r="O47" i="6"/>
  <c r="P47" i="6"/>
  <c r="Q47" i="6"/>
  <c r="L46" i="6"/>
  <c r="M46" i="6"/>
  <c r="N46" i="6"/>
  <c r="O46" i="6"/>
  <c r="P46" i="6"/>
  <c r="Q46" i="6"/>
  <c r="L55" i="6"/>
  <c r="M55" i="6"/>
  <c r="N55" i="6"/>
  <c r="O55" i="6"/>
  <c r="P55" i="6"/>
  <c r="Q55" i="6"/>
  <c r="L54" i="6"/>
  <c r="M54" i="6"/>
  <c r="N54" i="6"/>
  <c r="O54" i="6"/>
  <c r="P54" i="6"/>
  <c r="Q54" i="6"/>
  <c r="L49" i="6"/>
  <c r="M49" i="6"/>
  <c r="N49" i="6"/>
  <c r="O49" i="6"/>
  <c r="P49" i="6"/>
  <c r="Q49" i="6"/>
  <c r="L111" i="6"/>
  <c r="M111" i="6"/>
  <c r="N111" i="6"/>
  <c r="O111" i="6"/>
  <c r="P111" i="6"/>
  <c r="Q111" i="6"/>
  <c r="L11" i="6"/>
  <c r="M11" i="6"/>
  <c r="N11" i="6"/>
  <c r="O11" i="6"/>
  <c r="P11" i="6"/>
  <c r="Q11" i="6"/>
  <c r="L40" i="6"/>
  <c r="M40" i="6"/>
  <c r="N40" i="6"/>
  <c r="O40" i="6"/>
  <c r="P40" i="6"/>
  <c r="Q40" i="6"/>
  <c r="L10" i="6"/>
  <c r="M10" i="6"/>
  <c r="N10" i="6"/>
  <c r="O10" i="6"/>
  <c r="P10" i="6"/>
  <c r="Q10" i="6"/>
  <c r="L9" i="6"/>
  <c r="M9" i="6"/>
  <c r="N9" i="6"/>
  <c r="O9" i="6"/>
  <c r="P9" i="6"/>
  <c r="Q9" i="6"/>
  <c r="L19" i="6"/>
  <c r="M19" i="6"/>
  <c r="N19" i="6"/>
  <c r="O19" i="6"/>
  <c r="P19" i="6"/>
  <c r="Q19" i="6"/>
  <c r="L16" i="6"/>
  <c r="M16" i="6"/>
  <c r="N16" i="6"/>
  <c r="O16" i="6"/>
  <c r="P16" i="6"/>
  <c r="Q16" i="6"/>
  <c r="L15" i="6"/>
  <c r="M15" i="6"/>
  <c r="N15" i="6"/>
  <c r="O15" i="6"/>
  <c r="P15" i="6"/>
  <c r="Q15" i="6"/>
  <c r="L25" i="6"/>
  <c r="M25" i="6"/>
  <c r="N25" i="6"/>
  <c r="O25" i="6"/>
  <c r="P25" i="6"/>
  <c r="Q25" i="6"/>
  <c r="L28" i="6"/>
  <c r="M28" i="6"/>
  <c r="N28" i="6"/>
  <c r="O28" i="6"/>
  <c r="P28" i="6"/>
  <c r="Q28" i="6"/>
  <c r="L112" i="6"/>
  <c r="M112" i="6"/>
  <c r="N112" i="6"/>
  <c r="O112" i="6"/>
  <c r="P112" i="6"/>
  <c r="Q112" i="6"/>
  <c r="L99" i="6"/>
  <c r="M99" i="6"/>
  <c r="N99" i="6"/>
  <c r="O99" i="6"/>
  <c r="P99" i="6"/>
  <c r="Q99" i="6"/>
  <c r="L52" i="6"/>
  <c r="M52" i="6"/>
  <c r="N52" i="6"/>
  <c r="O52" i="6"/>
  <c r="P52" i="6"/>
  <c r="Q52" i="6"/>
  <c r="L102" i="6"/>
  <c r="M102" i="6"/>
  <c r="N102" i="6"/>
  <c r="O102" i="6"/>
  <c r="P102" i="6"/>
  <c r="Q102" i="6"/>
  <c r="L91" i="6"/>
  <c r="M91" i="6"/>
  <c r="N91" i="6"/>
  <c r="O91" i="6"/>
  <c r="P91" i="6"/>
  <c r="Q91" i="6"/>
  <c r="L73" i="6"/>
  <c r="M73" i="6"/>
  <c r="N73" i="6"/>
  <c r="O73" i="6"/>
  <c r="P73" i="6"/>
  <c r="Q73" i="6"/>
  <c r="L59" i="6"/>
  <c r="M59" i="6"/>
  <c r="N59" i="6"/>
  <c r="O59" i="6"/>
  <c r="P59" i="6"/>
  <c r="Q59" i="6"/>
  <c r="L2" i="6"/>
  <c r="M2" i="6"/>
  <c r="N2" i="6"/>
  <c r="O2" i="6"/>
  <c r="P2" i="6"/>
  <c r="Q2" i="6"/>
  <c r="L32" i="6"/>
  <c r="M32" i="6"/>
  <c r="N32" i="6"/>
  <c r="O32" i="6"/>
  <c r="P32" i="6"/>
  <c r="Q32" i="6"/>
  <c r="L33" i="6"/>
  <c r="M33" i="6"/>
  <c r="N33" i="6"/>
  <c r="O33" i="6"/>
  <c r="P33" i="6"/>
  <c r="Q33" i="6"/>
  <c r="L31" i="6"/>
  <c r="M31" i="6"/>
  <c r="N31" i="6"/>
  <c r="O31" i="6"/>
  <c r="P31" i="6"/>
  <c r="Q31" i="6"/>
  <c r="L14" i="6"/>
  <c r="M14" i="6"/>
  <c r="N14" i="6"/>
  <c r="O14" i="6"/>
  <c r="P14" i="6"/>
  <c r="Q14" i="6"/>
  <c r="L41" i="6"/>
  <c r="M41" i="6"/>
  <c r="N41" i="6"/>
  <c r="O41" i="6"/>
  <c r="P41" i="6"/>
  <c r="Q41" i="6"/>
  <c r="L20" i="6"/>
  <c r="M20" i="6"/>
  <c r="N20" i="6"/>
  <c r="O20" i="6"/>
  <c r="P20" i="6"/>
  <c r="Q20" i="6"/>
  <c r="L26" i="6"/>
  <c r="M26" i="6"/>
  <c r="N26" i="6"/>
  <c r="O26" i="6"/>
  <c r="P26" i="6"/>
  <c r="Q26" i="6"/>
  <c r="L23" i="6"/>
  <c r="M23" i="6"/>
  <c r="N23" i="6"/>
  <c r="O23" i="6"/>
  <c r="P23" i="6"/>
  <c r="Q23" i="6"/>
  <c r="L44" i="6"/>
  <c r="N44" i="6"/>
  <c r="O44" i="6"/>
  <c r="P44" i="6"/>
  <c r="Q44" i="6"/>
  <c r="L71" i="6"/>
  <c r="M71" i="6"/>
  <c r="N71" i="6"/>
  <c r="O71" i="6"/>
  <c r="P71" i="6"/>
  <c r="Q71" i="6"/>
  <c r="L100" i="6"/>
  <c r="M100" i="6"/>
  <c r="N100" i="6"/>
  <c r="O100" i="6"/>
  <c r="P100" i="6"/>
  <c r="Q100" i="6"/>
  <c r="L83" i="6"/>
  <c r="M83" i="6"/>
  <c r="N83" i="6"/>
  <c r="O83" i="6"/>
  <c r="P83" i="6"/>
  <c r="Q83" i="6"/>
  <c r="L66" i="6"/>
  <c r="M66" i="6"/>
  <c r="N66" i="6"/>
  <c r="O66" i="6"/>
  <c r="P66" i="6"/>
  <c r="Q66" i="6"/>
  <c r="L63" i="6"/>
  <c r="M63" i="6"/>
  <c r="N63" i="6"/>
  <c r="O63" i="6"/>
  <c r="P63" i="6"/>
  <c r="Q63" i="6"/>
  <c r="L110" i="6"/>
  <c r="M110" i="6"/>
  <c r="N110" i="6"/>
  <c r="O110" i="6"/>
  <c r="P110" i="6"/>
  <c r="Q110" i="6"/>
  <c r="L77" i="6"/>
  <c r="M77" i="6"/>
  <c r="N77" i="6"/>
  <c r="O77" i="6"/>
  <c r="P77" i="6"/>
  <c r="Q77" i="6"/>
  <c r="L103" i="6"/>
  <c r="M103" i="6"/>
  <c r="N103" i="6"/>
  <c r="O103" i="6"/>
  <c r="P103" i="6"/>
  <c r="Q103" i="6"/>
  <c r="L97" i="6"/>
  <c r="M97" i="6"/>
  <c r="N97" i="6"/>
  <c r="O97" i="6"/>
  <c r="P97" i="6"/>
  <c r="Q97" i="6"/>
  <c r="L45" i="6"/>
  <c r="M45" i="6"/>
  <c r="N45" i="6"/>
  <c r="O45" i="6"/>
  <c r="P45" i="6"/>
  <c r="Q45" i="6"/>
  <c r="L48" i="6"/>
  <c r="M48" i="6"/>
  <c r="N48" i="6"/>
  <c r="O48" i="6"/>
  <c r="P48" i="6"/>
  <c r="Q48" i="6"/>
  <c r="L108" i="6"/>
  <c r="M108" i="6"/>
  <c r="N108" i="6"/>
  <c r="O108" i="6"/>
  <c r="P108" i="6"/>
  <c r="Q108" i="6"/>
  <c r="L109" i="6"/>
  <c r="M109" i="6"/>
  <c r="N109" i="6"/>
  <c r="O109" i="6"/>
  <c r="P109" i="6"/>
  <c r="Q109" i="6"/>
  <c r="L6" i="5"/>
  <c r="M6" i="5"/>
  <c r="N6" i="5"/>
  <c r="O6" i="5"/>
  <c r="P6" i="5"/>
  <c r="Q6" i="5"/>
  <c r="L3" i="5"/>
  <c r="M3" i="5"/>
  <c r="N3" i="5"/>
  <c r="O3" i="5"/>
  <c r="P3" i="5"/>
  <c r="Q3" i="5"/>
  <c r="L12" i="5"/>
  <c r="M12" i="5"/>
  <c r="N12" i="5"/>
  <c r="O12" i="5"/>
  <c r="P12" i="5"/>
  <c r="Q12" i="5"/>
  <c r="L15" i="5"/>
  <c r="M15" i="5"/>
  <c r="N15" i="5"/>
  <c r="O15" i="5"/>
  <c r="P15" i="5"/>
  <c r="Q15" i="5"/>
  <c r="L20" i="5"/>
  <c r="M20" i="5"/>
  <c r="N20" i="5"/>
  <c r="O20" i="5"/>
  <c r="P20" i="5"/>
  <c r="Q20" i="5"/>
  <c r="L53" i="5"/>
  <c r="M53" i="5"/>
  <c r="N53" i="5"/>
  <c r="O53" i="5"/>
  <c r="P53" i="5"/>
  <c r="Q53" i="5"/>
  <c r="L47" i="5"/>
  <c r="M47" i="5"/>
  <c r="N47" i="5"/>
  <c r="O47" i="5"/>
  <c r="P47" i="5"/>
  <c r="Q47" i="5"/>
  <c r="L43" i="5"/>
  <c r="M43" i="5"/>
  <c r="N43" i="5"/>
  <c r="O43" i="5"/>
  <c r="P43" i="5"/>
  <c r="Q43" i="5"/>
  <c r="L37" i="5"/>
  <c r="M37" i="5"/>
  <c r="N37" i="5"/>
  <c r="O37" i="5"/>
  <c r="P37" i="5"/>
  <c r="Q37" i="5"/>
  <c r="L73" i="5"/>
  <c r="M73" i="5"/>
  <c r="N73" i="5"/>
  <c r="O73" i="5"/>
  <c r="P73" i="5"/>
  <c r="Q73" i="5"/>
  <c r="L118" i="5"/>
  <c r="M118" i="5"/>
  <c r="N118" i="5"/>
  <c r="O118" i="5"/>
  <c r="P118" i="5"/>
  <c r="Q118" i="5"/>
  <c r="L124" i="5"/>
  <c r="M124" i="5"/>
  <c r="N124" i="5"/>
  <c r="O124" i="5"/>
  <c r="P124" i="5"/>
  <c r="Q124" i="5"/>
  <c r="L105" i="5"/>
  <c r="M105" i="5"/>
  <c r="N105" i="5"/>
  <c r="O105" i="5"/>
  <c r="P105" i="5"/>
  <c r="Q105" i="5"/>
  <c r="L107" i="5"/>
  <c r="M107" i="5"/>
  <c r="N107" i="5"/>
  <c r="O107" i="5"/>
  <c r="P107" i="5"/>
  <c r="Q107" i="5"/>
  <c r="L108" i="5"/>
  <c r="M108" i="5"/>
  <c r="N108" i="5"/>
  <c r="O108" i="5"/>
  <c r="P108" i="5"/>
  <c r="Q108" i="5"/>
  <c r="L68" i="5"/>
  <c r="M68" i="5"/>
  <c r="N68" i="5"/>
  <c r="O68" i="5"/>
  <c r="P68" i="5"/>
  <c r="Q68" i="5"/>
  <c r="L71" i="5"/>
  <c r="M71" i="5"/>
  <c r="N71" i="5"/>
  <c r="O71" i="5"/>
  <c r="P71" i="5"/>
  <c r="Q71" i="5"/>
  <c r="L70" i="5"/>
  <c r="M70" i="5"/>
  <c r="N70" i="5"/>
  <c r="O70" i="5"/>
  <c r="P70" i="5"/>
  <c r="Q70" i="5"/>
  <c r="L79" i="5"/>
  <c r="M79" i="5"/>
  <c r="N79" i="5"/>
  <c r="O79" i="5"/>
  <c r="P79" i="5"/>
  <c r="Q79" i="5"/>
  <c r="L64" i="5"/>
  <c r="M64" i="5"/>
  <c r="N64" i="5"/>
  <c r="O64" i="5"/>
  <c r="P64" i="5"/>
  <c r="Q64" i="5"/>
  <c r="L102" i="5"/>
  <c r="M102" i="5"/>
  <c r="N102" i="5"/>
  <c r="O102" i="5"/>
  <c r="P102" i="5"/>
  <c r="Q102" i="5"/>
  <c r="L32" i="5"/>
  <c r="M32" i="5"/>
  <c r="N32" i="5"/>
  <c r="O32" i="5"/>
  <c r="P32" i="5"/>
  <c r="Q32" i="5"/>
  <c r="L94" i="5"/>
  <c r="M94" i="5"/>
  <c r="N94" i="5"/>
  <c r="O94" i="5"/>
  <c r="P94" i="5"/>
  <c r="Q94" i="5"/>
  <c r="L103" i="5"/>
  <c r="M103" i="5"/>
  <c r="N103" i="5"/>
  <c r="O103" i="5"/>
  <c r="P103" i="5"/>
  <c r="Q103" i="5"/>
  <c r="L95" i="5"/>
  <c r="M95" i="5"/>
  <c r="N95" i="5"/>
  <c r="O95" i="5"/>
  <c r="P95" i="5"/>
  <c r="Q95" i="5"/>
  <c r="L11" i="5"/>
  <c r="M11" i="5"/>
  <c r="N11" i="5"/>
  <c r="O11" i="5"/>
  <c r="P11" i="5"/>
  <c r="Q11" i="5"/>
  <c r="L36" i="5"/>
  <c r="M36" i="5"/>
  <c r="N36" i="5"/>
  <c r="O36" i="5"/>
  <c r="P36" i="5"/>
  <c r="Q36" i="5"/>
  <c r="L25" i="5"/>
  <c r="M25" i="5"/>
  <c r="N25" i="5"/>
  <c r="O25" i="5"/>
  <c r="P25" i="5"/>
  <c r="Q25" i="5"/>
  <c r="L28" i="5"/>
  <c r="M28" i="5"/>
  <c r="N28" i="5"/>
  <c r="O28" i="5"/>
  <c r="P28" i="5"/>
  <c r="Q28" i="5"/>
  <c r="L30" i="5"/>
  <c r="M30" i="5"/>
  <c r="N30" i="5"/>
  <c r="O30" i="5"/>
  <c r="P30" i="5"/>
  <c r="Q30" i="5"/>
  <c r="L55" i="5"/>
  <c r="M55" i="5"/>
  <c r="N55" i="5"/>
  <c r="O55" i="5"/>
  <c r="P55" i="5"/>
  <c r="Q55" i="5"/>
  <c r="L14" i="5"/>
  <c r="M14" i="5"/>
  <c r="N14" i="5"/>
  <c r="O14" i="5"/>
  <c r="P14" i="5"/>
  <c r="Q14" i="5"/>
  <c r="L18" i="5"/>
  <c r="M18" i="5"/>
  <c r="N18" i="5"/>
  <c r="O18" i="5"/>
  <c r="P18" i="5"/>
  <c r="Q18" i="5"/>
  <c r="L21" i="5"/>
  <c r="M21" i="5"/>
  <c r="N21" i="5"/>
  <c r="O21" i="5"/>
  <c r="P21" i="5"/>
  <c r="Q21" i="5"/>
  <c r="L125" i="5"/>
  <c r="M125" i="5"/>
  <c r="N125" i="5"/>
  <c r="O125" i="5"/>
  <c r="P125" i="5"/>
  <c r="Q125" i="5"/>
  <c r="L137" i="5"/>
  <c r="M137" i="5"/>
  <c r="N137" i="5"/>
  <c r="O137" i="5"/>
  <c r="P137" i="5"/>
  <c r="Q137" i="5"/>
  <c r="L138" i="5"/>
  <c r="M138" i="5"/>
  <c r="N138" i="5"/>
  <c r="O138" i="5"/>
  <c r="P138" i="5"/>
  <c r="Q138" i="5"/>
  <c r="L146" i="5"/>
  <c r="M146" i="5"/>
  <c r="N146" i="5"/>
  <c r="O146" i="5"/>
  <c r="P146" i="5"/>
  <c r="Q146" i="5"/>
  <c r="L110" i="5"/>
  <c r="M110" i="5"/>
  <c r="N110" i="5"/>
  <c r="O110" i="5"/>
  <c r="P110" i="5"/>
  <c r="Q110" i="5"/>
  <c r="L121" i="5"/>
  <c r="M121" i="5"/>
  <c r="N121" i="5"/>
  <c r="O121" i="5"/>
  <c r="P121" i="5"/>
  <c r="Q121" i="5"/>
  <c r="L122" i="5"/>
  <c r="M122" i="5"/>
  <c r="N122" i="5"/>
  <c r="O122" i="5"/>
  <c r="P122" i="5"/>
  <c r="Q122" i="5"/>
  <c r="L134" i="5"/>
  <c r="M134" i="5"/>
  <c r="N134" i="5"/>
  <c r="O134" i="5"/>
  <c r="P134" i="5"/>
  <c r="Q134" i="5"/>
  <c r="L119" i="5"/>
  <c r="M119" i="5"/>
  <c r="N119" i="5"/>
  <c r="O119" i="5"/>
  <c r="P119" i="5"/>
  <c r="Q119" i="5"/>
  <c r="L128" i="5"/>
  <c r="M128" i="5"/>
  <c r="N128" i="5"/>
  <c r="O128" i="5"/>
  <c r="P128" i="5"/>
  <c r="Q128" i="5"/>
  <c r="L140" i="5"/>
  <c r="M140" i="5"/>
  <c r="N140" i="5"/>
  <c r="O140" i="5"/>
  <c r="P140" i="5"/>
  <c r="Q140" i="5"/>
  <c r="L133" i="5"/>
  <c r="M133" i="5"/>
  <c r="N133" i="5"/>
  <c r="O133" i="5"/>
  <c r="P133" i="5"/>
  <c r="Q133" i="5"/>
  <c r="L60" i="5"/>
  <c r="M60" i="5"/>
  <c r="N60" i="5"/>
  <c r="O60" i="5"/>
  <c r="P60" i="5"/>
  <c r="Q60" i="5"/>
  <c r="L66" i="5"/>
  <c r="M66" i="5"/>
  <c r="N66" i="5"/>
  <c r="O66" i="5"/>
  <c r="P66" i="5"/>
  <c r="Q66" i="5"/>
  <c r="L82" i="5"/>
  <c r="M82" i="5"/>
  <c r="N82" i="5"/>
  <c r="O82" i="5"/>
  <c r="P82" i="5"/>
  <c r="Q82" i="5"/>
  <c r="L77" i="5"/>
  <c r="M77" i="5"/>
  <c r="N77" i="5"/>
  <c r="O77" i="5"/>
  <c r="P77" i="5"/>
  <c r="Q77" i="5"/>
  <c r="L65" i="5"/>
  <c r="M65" i="5"/>
  <c r="N65" i="5"/>
  <c r="O65" i="5"/>
  <c r="P65" i="5"/>
  <c r="Q65" i="5"/>
  <c r="L45" i="5"/>
  <c r="M45" i="5"/>
  <c r="N45" i="5"/>
  <c r="O45" i="5"/>
  <c r="P45" i="5"/>
  <c r="Q45" i="5"/>
  <c r="L49" i="5"/>
  <c r="M49" i="5"/>
  <c r="N49" i="5"/>
  <c r="O49" i="5"/>
  <c r="P49" i="5"/>
  <c r="Q49" i="5"/>
  <c r="L51" i="5"/>
  <c r="M51" i="5"/>
  <c r="N51" i="5"/>
  <c r="O51" i="5"/>
  <c r="P51" i="5"/>
  <c r="Q51" i="5"/>
  <c r="L44" i="5"/>
  <c r="M44" i="5"/>
  <c r="N44" i="5"/>
  <c r="O44" i="5"/>
  <c r="P44" i="5"/>
  <c r="Q44" i="5"/>
  <c r="L52" i="5"/>
  <c r="M52" i="5"/>
  <c r="N52" i="5"/>
  <c r="O52" i="5"/>
  <c r="P52" i="5"/>
  <c r="Q52" i="5"/>
  <c r="L35" i="5"/>
  <c r="M35" i="5"/>
  <c r="N35" i="5"/>
  <c r="O35" i="5"/>
  <c r="P35" i="5"/>
  <c r="Q35" i="5"/>
  <c r="L5" i="5"/>
  <c r="M5" i="5"/>
  <c r="N5" i="5"/>
  <c r="O5" i="5"/>
  <c r="P5" i="5"/>
  <c r="Q5" i="5"/>
  <c r="L2" i="5"/>
  <c r="M2" i="5"/>
  <c r="N2" i="5"/>
  <c r="O2" i="5"/>
  <c r="P2" i="5"/>
  <c r="Q2" i="5"/>
  <c r="L7" i="5"/>
  <c r="M7" i="5"/>
  <c r="N7" i="5"/>
  <c r="O7" i="5"/>
  <c r="P7" i="5"/>
  <c r="Q7" i="5"/>
  <c r="L90" i="5"/>
  <c r="M90" i="5"/>
  <c r="N90" i="5"/>
  <c r="O90" i="5"/>
  <c r="P90" i="5"/>
  <c r="Q90" i="5"/>
  <c r="L135" i="5"/>
  <c r="M135" i="5"/>
  <c r="N135" i="5"/>
  <c r="O135" i="5"/>
  <c r="P135" i="5"/>
  <c r="Q135" i="5"/>
  <c r="L99" i="5"/>
  <c r="M99" i="5"/>
  <c r="N99" i="5"/>
  <c r="O99" i="5"/>
  <c r="P99" i="5"/>
  <c r="Q99" i="5"/>
  <c r="L93" i="5"/>
  <c r="M93" i="5"/>
  <c r="N93" i="5"/>
  <c r="O93" i="5"/>
  <c r="P93" i="5"/>
  <c r="Q93" i="5"/>
  <c r="L101" i="5"/>
  <c r="M101" i="5"/>
  <c r="N101" i="5"/>
  <c r="O101" i="5"/>
  <c r="P101" i="5"/>
  <c r="Q101" i="5"/>
  <c r="L123" i="5"/>
  <c r="M123" i="5"/>
  <c r="N123" i="5"/>
  <c r="O123" i="5"/>
  <c r="P123" i="5"/>
  <c r="Q123" i="5"/>
  <c r="L113" i="5"/>
  <c r="M113" i="5"/>
  <c r="N113" i="5"/>
  <c r="O113" i="5"/>
  <c r="P113" i="5"/>
  <c r="Q113" i="5"/>
  <c r="L115" i="5"/>
  <c r="M115" i="5"/>
  <c r="N115" i="5"/>
  <c r="O115" i="5"/>
  <c r="P115" i="5"/>
  <c r="Q115" i="5"/>
  <c r="L114" i="5"/>
  <c r="M114" i="5"/>
  <c r="N114" i="5"/>
  <c r="O114" i="5"/>
  <c r="P114" i="5"/>
  <c r="Q114" i="5"/>
  <c r="L109" i="5"/>
  <c r="M109" i="5"/>
  <c r="N109" i="5"/>
  <c r="O109" i="5"/>
  <c r="P109" i="5"/>
  <c r="Q109" i="5"/>
  <c r="L116" i="5"/>
  <c r="M116" i="5"/>
  <c r="N116" i="5"/>
  <c r="O116" i="5"/>
  <c r="P116" i="5"/>
  <c r="Q116" i="5"/>
  <c r="L144" i="5"/>
  <c r="M144" i="5"/>
  <c r="N144" i="5"/>
  <c r="O144" i="5"/>
  <c r="P144" i="5"/>
  <c r="Q144" i="5"/>
  <c r="L151" i="5"/>
  <c r="M151" i="5"/>
  <c r="N151" i="5"/>
  <c r="O151" i="5"/>
  <c r="P151" i="5"/>
  <c r="Q151" i="5"/>
  <c r="L87" i="5"/>
  <c r="M87" i="5"/>
  <c r="N87" i="5"/>
  <c r="O87" i="5"/>
  <c r="P87" i="5"/>
  <c r="Q87" i="5"/>
  <c r="L81" i="5"/>
  <c r="M81" i="5"/>
  <c r="N81" i="5"/>
  <c r="O81" i="5"/>
  <c r="P81" i="5"/>
  <c r="Q81" i="5"/>
  <c r="L83" i="5"/>
  <c r="M83" i="5"/>
  <c r="N83" i="5"/>
  <c r="O83" i="5"/>
  <c r="P83" i="5"/>
  <c r="Q83" i="5"/>
  <c r="L8" i="5"/>
  <c r="M8" i="5"/>
  <c r="N8" i="5"/>
  <c r="O8" i="5"/>
  <c r="P8" i="5"/>
  <c r="Q8" i="5"/>
  <c r="L9" i="5"/>
  <c r="M9" i="5"/>
  <c r="N9" i="5"/>
  <c r="O9" i="5"/>
  <c r="P9" i="5"/>
  <c r="Q9" i="5"/>
  <c r="L38" i="5"/>
  <c r="M38" i="5"/>
  <c r="N38" i="5"/>
  <c r="O38" i="5"/>
  <c r="P38" i="5"/>
  <c r="Q38" i="5"/>
  <c r="L31" i="5"/>
  <c r="M31" i="5"/>
  <c r="N31" i="5"/>
  <c r="O31" i="5"/>
  <c r="P31" i="5"/>
  <c r="Q31" i="5"/>
  <c r="L29" i="5"/>
  <c r="M29" i="5"/>
  <c r="N29" i="5"/>
  <c r="O29" i="5"/>
  <c r="P29" i="5"/>
  <c r="Q29" i="5"/>
  <c r="L22" i="5"/>
  <c r="M22" i="5"/>
  <c r="N22" i="5"/>
  <c r="O22" i="5"/>
  <c r="P22" i="5"/>
  <c r="Q22" i="5"/>
  <c r="L46" i="5"/>
  <c r="M46" i="5"/>
  <c r="N46" i="5"/>
  <c r="O46" i="5"/>
  <c r="P46" i="5"/>
  <c r="Q46" i="5"/>
  <c r="L50" i="5"/>
  <c r="M50" i="5"/>
  <c r="N50" i="5"/>
  <c r="O50" i="5"/>
  <c r="P50" i="5"/>
  <c r="Q50" i="5"/>
  <c r="L42" i="5"/>
  <c r="M42" i="5"/>
  <c r="N42" i="5"/>
  <c r="O42" i="5"/>
  <c r="P42" i="5"/>
  <c r="Q42" i="5"/>
  <c r="L54" i="5"/>
  <c r="M54" i="5"/>
  <c r="N54" i="5"/>
  <c r="O54" i="5"/>
  <c r="P54" i="5"/>
  <c r="Q54" i="5"/>
  <c r="L27" i="5"/>
  <c r="M27" i="5"/>
  <c r="N27" i="5"/>
  <c r="O27" i="5"/>
  <c r="P27" i="5"/>
  <c r="Q27" i="5"/>
  <c r="L56" i="5"/>
  <c r="M56" i="5"/>
  <c r="N56" i="5"/>
  <c r="O56" i="5"/>
  <c r="P56" i="5"/>
  <c r="Q56" i="5"/>
  <c r="L13" i="5"/>
  <c r="M13" i="5"/>
  <c r="N13" i="5"/>
  <c r="O13" i="5"/>
  <c r="P13" i="5"/>
  <c r="Q13" i="5"/>
  <c r="L19" i="5"/>
  <c r="M19" i="5"/>
  <c r="N19" i="5"/>
  <c r="O19" i="5"/>
  <c r="P19" i="5"/>
  <c r="Q19" i="5"/>
  <c r="L148" i="5"/>
  <c r="M148" i="5"/>
  <c r="N148" i="5"/>
  <c r="O148" i="5"/>
  <c r="P148" i="5"/>
  <c r="Q148" i="5"/>
  <c r="L57" i="5"/>
  <c r="M57" i="5"/>
  <c r="N57" i="5"/>
  <c r="O57" i="5"/>
  <c r="P57" i="5"/>
  <c r="Q57" i="5"/>
  <c r="L59" i="5"/>
  <c r="M59" i="5"/>
  <c r="N59" i="5"/>
  <c r="O59" i="5"/>
  <c r="P59" i="5"/>
  <c r="Q59" i="5"/>
  <c r="L69" i="5"/>
  <c r="M69" i="5"/>
  <c r="N69" i="5"/>
  <c r="O69" i="5"/>
  <c r="P69" i="5"/>
  <c r="Q69" i="5"/>
  <c r="L61" i="5"/>
  <c r="M61" i="5"/>
  <c r="N61" i="5"/>
  <c r="O61" i="5"/>
  <c r="P61" i="5"/>
  <c r="Q61" i="5"/>
  <c r="L120" i="5"/>
  <c r="M120" i="5"/>
  <c r="N120" i="5"/>
  <c r="O120" i="5"/>
  <c r="P120" i="5"/>
  <c r="Q120" i="5"/>
  <c r="L136" i="5"/>
  <c r="M136" i="5"/>
  <c r="N136" i="5"/>
  <c r="O136" i="5"/>
  <c r="P136" i="5"/>
  <c r="Q136" i="5"/>
  <c r="L104" i="5"/>
  <c r="M104" i="5"/>
  <c r="N104" i="5"/>
  <c r="O104" i="5"/>
  <c r="P104" i="5"/>
  <c r="Q104" i="5"/>
  <c r="L98" i="5"/>
  <c r="M98" i="5"/>
  <c r="N98" i="5"/>
  <c r="O98" i="5"/>
  <c r="P98" i="5"/>
  <c r="Q98" i="5"/>
  <c r="L97" i="5"/>
  <c r="M97" i="5"/>
  <c r="N97" i="5"/>
  <c r="O97" i="5"/>
  <c r="P97" i="5"/>
  <c r="Q97" i="5"/>
  <c r="L96" i="5"/>
  <c r="M96" i="5"/>
  <c r="N96" i="5"/>
  <c r="O96" i="5"/>
  <c r="P96" i="5"/>
  <c r="Q96" i="5"/>
  <c r="L100" i="5"/>
  <c r="M100" i="5"/>
  <c r="N100" i="5"/>
  <c r="O100" i="5"/>
  <c r="P100" i="5"/>
  <c r="Q100" i="5"/>
  <c r="L117" i="5"/>
  <c r="M117" i="5"/>
  <c r="N117" i="5"/>
  <c r="O117" i="5"/>
  <c r="P117" i="5"/>
  <c r="Q117" i="5"/>
  <c r="L86" i="5"/>
  <c r="M86" i="5"/>
  <c r="N86" i="5"/>
  <c r="O86" i="5"/>
  <c r="P86" i="5"/>
  <c r="Q86" i="5"/>
  <c r="L132" i="5"/>
  <c r="M132" i="5"/>
  <c r="N132" i="5"/>
  <c r="O132" i="5"/>
  <c r="P132" i="5"/>
  <c r="Q132" i="5"/>
  <c r="L76" i="5"/>
  <c r="M76" i="5"/>
  <c r="N76" i="5"/>
  <c r="O76" i="5"/>
  <c r="P76" i="5"/>
  <c r="Q76" i="5"/>
  <c r="L145" i="5"/>
  <c r="M145" i="5"/>
  <c r="N145" i="5"/>
  <c r="O145" i="5"/>
  <c r="P145" i="5"/>
  <c r="Q145" i="5"/>
  <c r="L126" i="5"/>
  <c r="M126" i="5"/>
  <c r="N126" i="5"/>
  <c r="O126" i="5"/>
  <c r="P126" i="5"/>
  <c r="Q126" i="5"/>
  <c r="L147" i="5"/>
  <c r="M147" i="5"/>
  <c r="N147" i="5"/>
  <c r="O147" i="5"/>
  <c r="P147" i="5"/>
  <c r="Q147" i="5"/>
  <c r="L111" i="5"/>
  <c r="M111" i="5"/>
  <c r="N111" i="5"/>
  <c r="O111" i="5"/>
  <c r="P111" i="5"/>
  <c r="Q111" i="5"/>
  <c r="L72" i="5"/>
  <c r="M72" i="5"/>
  <c r="N72" i="5"/>
  <c r="O72" i="5"/>
  <c r="P72" i="5"/>
  <c r="Q72" i="5"/>
  <c r="L75" i="5"/>
  <c r="M75" i="5"/>
  <c r="N75" i="5"/>
  <c r="O75" i="5"/>
  <c r="P75" i="5"/>
  <c r="Q75" i="5"/>
  <c r="L33" i="5"/>
  <c r="M33" i="5"/>
  <c r="N33" i="5"/>
  <c r="O33" i="5"/>
  <c r="P33" i="5"/>
  <c r="Q33" i="5"/>
  <c r="L34" i="5"/>
  <c r="M34" i="5"/>
  <c r="N34" i="5"/>
  <c r="O34" i="5"/>
  <c r="P34" i="5"/>
  <c r="Q34" i="5"/>
  <c r="L24" i="5"/>
  <c r="M24" i="5"/>
  <c r="N24" i="5"/>
  <c r="O24" i="5"/>
  <c r="P24" i="5"/>
  <c r="Q24" i="5"/>
  <c r="L26" i="5"/>
  <c r="M26" i="5"/>
  <c r="N26" i="5"/>
  <c r="O26" i="5"/>
  <c r="P26" i="5"/>
  <c r="Q26" i="5"/>
  <c r="L41" i="5"/>
  <c r="M41" i="5"/>
  <c r="N41" i="5"/>
  <c r="O41" i="5"/>
  <c r="P41" i="5"/>
  <c r="Q41" i="5"/>
  <c r="L40" i="5"/>
  <c r="M40" i="5"/>
  <c r="N40" i="5"/>
  <c r="O40" i="5"/>
  <c r="P40" i="5"/>
  <c r="Q40" i="5"/>
  <c r="L48" i="5"/>
  <c r="M48" i="5"/>
  <c r="N48" i="5"/>
  <c r="O48" i="5"/>
  <c r="P48" i="5"/>
  <c r="Q48" i="5"/>
  <c r="L17" i="5"/>
  <c r="M17" i="5"/>
  <c r="N17" i="5"/>
  <c r="O17" i="5"/>
  <c r="P17" i="5"/>
  <c r="Q17" i="5"/>
  <c r="L16" i="5"/>
  <c r="M16" i="5"/>
  <c r="N16" i="5"/>
  <c r="O16" i="5"/>
  <c r="P16" i="5"/>
  <c r="Q16" i="5"/>
  <c r="L23" i="5"/>
  <c r="M23" i="5"/>
  <c r="N23" i="5"/>
  <c r="O23" i="5"/>
  <c r="P23" i="5"/>
  <c r="Q23" i="5"/>
  <c r="L39" i="5"/>
  <c r="M39" i="5"/>
  <c r="N39" i="5"/>
  <c r="O39" i="5"/>
  <c r="P39" i="5"/>
  <c r="Q39" i="5"/>
  <c r="L10" i="5"/>
  <c r="M10" i="5"/>
  <c r="N10" i="5"/>
  <c r="O10" i="5"/>
  <c r="P10" i="5"/>
  <c r="Q10" i="5"/>
  <c r="L4" i="5"/>
  <c r="M4" i="5"/>
  <c r="N4" i="5"/>
  <c r="O4" i="5"/>
  <c r="P4" i="5"/>
  <c r="Q4" i="5"/>
  <c r="L106" i="5"/>
  <c r="M106" i="5"/>
  <c r="N106" i="5"/>
  <c r="O106" i="5"/>
  <c r="P106" i="5"/>
  <c r="Q106" i="5"/>
  <c r="L131" i="5"/>
  <c r="M131" i="5"/>
  <c r="N131" i="5"/>
  <c r="O131" i="5"/>
  <c r="P131" i="5"/>
  <c r="Q131" i="5"/>
  <c r="L143" i="5"/>
  <c r="M143" i="5"/>
  <c r="N143" i="5"/>
  <c r="O143" i="5"/>
  <c r="P143" i="5"/>
  <c r="Q143" i="5"/>
  <c r="L78" i="5"/>
  <c r="M78" i="5"/>
  <c r="N78" i="5"/>
  <c r="O78" i="5"/>
  <c r="P78" i="5"/>
  <c r="Q78" i="5"/>
  <c r="L80" i="5"/>
  <c r="M80" i="5"/>
  <c r="N80" i="5"/>
  <c r="O80" i="5"/>
  <c r="P80" i="5"/>
  <c r="Q80" i="5"/>
  <c r="L85" i="5"/>
  <c r="M85" i="5"/>
  <c r="N85" i="5"/>
  <c r="O85" i="5"/>
  <c r="P85" i="5"/>
  <c r="Q85" i="5"/>
  <c r="L74" i="5"/>
  <c r="M74" i="5"/>
  <c r="N74" i="5"/>
  <c r="O74" i="5"/>
  <c r="P74" i="5"/>
  <c r="Q74" i="5"/>
  <c r="L92" i="5"/>
  <c r="M92" i="5"/>
  <c r="N92" i="5"/>
  <c r="O92" i="5"/>
  <c r="P92" i="5"/>
  <c r="Q92" i="5"/>
  <c r="L84" i="5"/>
  <c r="M84" i="5"/>
  <c r="N84" i="5"/>
  <c r="O84" i="5"/>
  <c r="P84" i="5"/>
  <c r="Q84" i="5"/>
  <c r="L127" i="5"/>
  <c r="M127" i="5"/>
  <c r="N127" i="5"/>
  <c r="O127" i="5"/>
  <c r="P127" i="5"/>
  <c r="Q127" i="5"/>
  <c r="L91" i="5"/>
  <c r="M91" i="5"/>
  <c r="N91" i="5"/>
  <c r="O91" i="5"/>
  <c r="P91" i="5"/>
  <c r="Q91" i="5"/>
  <c r="L141" i="5"/>
  <c r="M141" i="5"/>
  <c r="N141" i="5"/>
  <c r="O141" i="5"/>
  <c r="P141" i="5"/>
  <c r="Q141" i="5"/>
  <c r="L112" i="5"/>
  <c r="M112" i="5"/>
  <c r="N112" i="5"/>
  <c r="O112" i="5"/>
  <c r="P112" i="5"/>
  <c r="Q112" i="5"/>
  <c r="L63" i="5"/>
  <c r="M63" i="5"/>
  <c r="N63" i="5"/>
  <c r="O63" i="5"/>
  <c r="P63" i="5"/>
  <c r="Q63" i="5"/>
  <c r="L67" i="5"/>
  <c r="M67" i="5"/>
  <c r="N67" i="5"/>
  <c r="O67" i="5"/>
  <c r="P67" i="5"/>
  <c r="Q67" i="5"/>
  <c r="L149" i="5"/>
  <c r="M149" i="5"/>
  <c r="N149" i="5"/>
  <c r="O149" i="5"/>
  <c r="P149" i="5"/>
  <c r="Q149" i="5"/>
  <c r="L150" i="5"/>
  <c r="M150" i="5"/>
  <c r="N150" i="5"/>
  <c r="O150" i="5"/>
  <c r="P150" i="5"/>
  <c r="Q150" i="5"/>
  <c r="L88" i="5"/>
  <c r="M88" i="5"/>
  <c r="N88" i="5"/>
  <c r="O88" i="5"/>
  <c r="P88" i="5"/>
  <c r="Q88" i="5"/>
  <c r="L142" i="5"/>
  <c r="M142" i="5"/>
  <c r="N142" i="5"/>
  <c r="O142" i="5"/>
  <c r="P142" i="5"/>
  <c r="Q142" i="5"/>
  <c r="L129" i="5"/>
  <c r="M129" i="5"/>
  <c r="N129" i="5"/>
  <c r="O129" i="5"/>
  <c r="P129" i="5"/>
  <c r="Q129" i="5"/>
  <c r="L139" i="5"/>
  <c r="M139" i="5"/>
  <c r="N139" i="5"/>
  <c r="O139" i="5"/>
  <c r="P139" i="5"/>
  <c r="Q139" i="5"/>
  <c r="L130" i="5"/>
  <c r="M130" i="5"/>
  <c r="N130" i="5"/>
  <c r="O130" i="5"/>
  <c r="P130" i="5"/>
  <c r="Q130" i="5"/>
  <c r="L89" i="5"/>
  <c r="M89" i="5"/>
  <c r="N89" i="5"/>
  <c r="O89" i="5"/>
  <c r="P89" i="5"/>
  <c r="Q89" i="5"/>
  <c r="L58" i="5"/>
  <c r="M58" i="5"/>
  <c r="N58" i="5"/>
  <c r="O58" i="5"/>
  <c r="P58" i="5"/>
  <c r="Q58" i="5"/>
  <c r="L62" i="5"/>
  <c r="M62" i="5"/>
  <c r="N62" i="5"/>
  <c r="O62" i="5"/>
  <c r="P62" i="5"/>
  <c r="Q62" i="5"/>
  <c r="L2" i="4"/>
  <c r="M2" i="4"/>
  <c r="N2" i="4"/>
  <c r="O2" i="4"/>
  <c r="P2" i="4"/>
  <c r="Q2" i="4"/>
  <c r="L3" i="4"/>
  <c r="M3" i="4"/>
  <c r="N3" i="4"/>
  <c r="O3" i="4"/>
  <c r="P3" i="4"/>
  <c r="Q3" i="4"/>
  <c r="L4" i="4"/>
  <c r="M4" i="4"/>
  <c r="N4" i="4"/>
  <c r="O4" i="4"/>
  <c r="P4" i="4"/>
  <c r="Q4" i="4"/>
  <c r="L5" i="4"/>
  <c r="M5" i="4"/>
  <c r="N5" i="4"/>
  <c r="O5" i="4"/>
  <c r="P5" i="4"/>
  <c r="Q5" i="4"/>
  <c r="L6" i="4"/>
  <c r="M6" i="4"/>
  <c r="N6" i="4"/>
  <c r="O6" i="4"/>
  <c r="P6" i="4"/>
  <c r="Q6" i="4"/>
  <c r="L7" i="4"/>
  <c r="M7" i="4"/>
  <c r="N7" i="4"/>
  <c r="O7" i="4"/>
  <c r="P7" i="4"/>
  <c r="Q7" i="4"/>
  <c r="L8" i="4"/>
  <c r="M8" i="4"/>
  <c r="N8" i="4"/>
  <c r="O8" i="4"/>
  <c r="P8" i="4"/>
  <c r="Q8" i="4"/>
  <c r="L9" i="4"/>
  <c r="M9" i="4"/>
  <c r="N9" i="4"/>
  <c r="O9" i="4"/>
  <c r="P9" i="4"/>
  <c r="Q9" i="4"/>
  <c r="L10" i="4"/>
  <c r="M10" i="4"/>
  <c r="N10" i="4"/>
  <c r="O10" i="4"/>
  <c r="P10" i="4"/>
  <c r="Q10" i="4"/>
  <c r="L11" i="4"/>
  <c r="M11" i="4"/>
  <c r="N11" i="4"/>
  <c r="O11" i="4"/>
  <c r="P11" i="4"/>
  <c r="Q11" i="4"/>
  <c r="L12" i="4"/>
  <c r="M12" i="4"/>
  <c r="N12" i="4"/>
  <c r="O12" i="4"/>
  <c r="P12" i="4"/>
  <c r="Q12" i="4"/>
  <c r="L13" i="4"/>
  <c r="M13" i="4"/>
  <c r="N13" i="4"/>
  <c r="O13" i="4"/>
  <c r="P13" i="4"/>
  <c r="Q13" i="4"/>
  <c r="L14" i="4"/>
  <c r="M14" i="4"/>
  <c r="N14" i="4"/>
  <c r="O14" i="4"/>
  <c r="P14" i="4"/>
  <c r="Q14" i="4"/>
  <c r="L15" i="4"/>
  <c r="M15" i="4"/>
  <c r="N15" i="4"/>
  <c r="O15" i="4"/>
  <c r="P15" i="4"/>
  <c r="Q15" i="4"/>
  <c r="L16" i="4"/>
  <c r="M16" i="4"/>
  <c r="N16" i="4"/>
  <c r="O16" i="4"/>
  <c r="P16" i="4"/>
  <c r="Q16" i="4"/>
  <c r="L17" i="4"/>
  <c r="M17" i="4"/>
  <c r="N17" i="4"/>
  <c r="O17" i="4"/>
  <c r="P17" i="4"/>
  <c r="Q17" i="4"/>
  <c r="L18" i="4"/>
  <c r="M18" i="4"/>
  <c r="N18" i="4"/>
  <c r="O18" i="4"/>
  <c r="P18" i="4"/>
  <c r="Q18" i="4"/>
  <c r="L19" i="4"/>
  <c r="M19" i="4"/>
  <c r="N19" i="4"/>
  <c r="O19" i="4"/>
  <c r="P19" i="4"/>
  <c r="Q19" i="4"/>
  <c r="L20" i="4"/>
  <c r="M20" i="4"/>
  <c r="N20" i="4"/>
  <c r="O20" i="4"/>
  <c r="P20" i="4"/>
  <c r="Q20" i="4"/>
  <c r="L21" i="4"/>
  <c r="M21" i="4"/>
  <c r="N21" i="4"/>
  <c r="O21" i="4"/>
  <c r="P21" i="4"/>
  <c r="Q21" i="4"/>
  <c r="M22" i="4"/>
  <c r="N22" i="4"/>
  <c r="O22" i="4"/>
  <c r="P22" i="4"/>
  <c r="Q22" i="4"/>
  <c r="L23" i="4"/>
  <c r="M23" i="4"/>
  <c r="N23" i="4"/>
  <c r="O23" i="4"/>
  <c r="P23" i="4"/>
  <c r="Q23" i="4"/>
  <c r="L24" i="4"/>
  <c r="M24" i="4"/>
  <c r="N24" i="4"/>
  <c r="O24" i="4"/>
  <c r="P24" i="4"/>
  <c r="Q24" i="4"/>
  <c r="L25" i="4"/>
  <c r="M25" i="4"/>
  <c r="N25" i="4"/>
  <c r="O25" i="4"/>
  <c r="P25" i="4"/>
  <c r="Q25" i="4"/>
  <c r="L26" i="4"/>
  <c r="M26" i="4"/>
  <c r="N26" i="4"/>
  <c r="O26" i="4"/>
  <c r="P26" i="4"/>
  <c r="Q26" i="4"/>
  <c r="L27" i="4"/>
  <c r="M27" i="4"/>
  <c r="N27" i="4"/>
  <c r="O27" i="4"/>
  <c r="P27" i="4"/>
  <c r="Q27" i="4"/>
  <c r="L28" i="4"/>
  <c r="M28" i="4"/>
  <c r="N28" i="4"/>
  <c r="O28" i="4"/>
  <c r="P28" i="4"/>
  <c r="Q28" i="4"/>
  <c r="L29" i="4"/>
  <c r="M29" i="4"/>
  <c r="N29" i="4"/>
  <c r="O29" i="4"/>
  <c r="P29" i="4"/>
  <c r="Q29" i="4"/>
  <c r="L30" i="4"/>
  <c r="M30" i="4"/>
  <c r="N30" i="4"/>
  <c r="O30" i="4"/>
  <c r="P30" i="4"/>
  <c r="Q30" i="4"/>
  <c r="L31" i="4"/>
  <c r="M31" i="4"/>
  <c r="N31" i="4"/>
  <c r="O31" i="4"/>
  <c r="P31" i="4"/>
  <c r="Q31" i="4"/>
  <c r="L32" i="4"/>
  <c r="M32" i="4"/>
  <c r="N32" i="4"/>
  <c r="O32" i="4"/>
  <c r="P32" i="4"/>
  <c r="Q32" i="4"/>
  <c r="L33" i="4"/>
  <c r="M33" i="4"/>
  <c r="N33" i="4"/>
  <c r="O33" i="4"/>
  <c r="P33" i="4"/>
  <c r="Q33" i="4"/>
  <c r="L34" i="4"/>
  <c r="M34" i="4"/>
  <c r="N34" i="4"/>
  <c r="O34" i="4"/>
  <c r="P34" i="4"/>
  <c r="Q34" i="4"/>
  <c r="L35" i="4"/>
  <c r="M35" i="4"/>
  <c r="N35" i="4"/>
  <c r="O35" i="4"/>
  <c r="P35" i="4"/>
  <c r="Q35" i="4"/>
  <c r="L36" i="4"/>
  <c r="M36" i="4"/>
  <c r="N36" i="4"/>
  <c r="O36" i="4"/>
  <c r="P36" i="4"/>
  <c r="Q36" i="4"/>
  <c r="L37" i="4"/>
  <c r="M37" i="4"/>
  <c r="N37" i="4"/>
  <c r="O37" i="4"/>
  <c r="P37" i="4"/>
  <c r="Q37" i="4"/>
  <c r="L38" i="4"/>
  <c r="M38" i="4"/>
  <c r="N38" i="4"/>
  <c r="O38" i="4"/>
  <c r="P38" i="4"/>
  <c r="Q38" i="4"/>
  <c r="L39" i="4"/>
  <c r="M39" i="4"/>
  <c r="N39" i="4"/>
  <c r="O39" i="4"/>
  <c r="P39" i="4"/>
  <c r="Q39" i="4"/>
  <c r="L40" i="4"/>
  <c r="M40" i="4"/>
  <c r="N40" i="4"/>
  <c r="O40" i="4"/>
  <c r="P40" i="4"/>
  <c r="Q40" i="4"/>
  <c r="L41" i="4"/>
  <c r="M41" i="4"/>
  <c r="N41" i="4"/>
  <c r="O41" i="4"/>
  <c r="P41" i="4"/>
  <c r="Q41" i="4"/>
  <c r="L42" i="4"/>
  <c r="M42" i="4"/>
  <c r="N42" i="4"/>
  <c r="O42" i="4"/>
  <c r="P42" i="4"/>
  <c r="Q42" i="4"/>
  <c r="L43" i="4"/>
  <c r="M43" i="4"/>
  <c r="N43" i="4"/>
  <c r="O43" i="4"/>
  <c r="P43" i="4"/>
  <c r="Q43" i="4"/>
  <c r="L44" i="4"/>
  <c r="M44" i="4"/>
  <c r="N44" i="4"/>
  <c r="O44" i="4"/>
  <c r="P44" i="4"/>
  <c r="Q44" i="4"/>
  <c r="L45" i="4"/>
  <c r="M45" i="4"/>
  <c r="N45" i="4"/>
  <c r="O45" i="4"/>
  <c r="P45" i="4"/>
  <c r="Q45" i="4"/>
  <c r="L46" i="4"/>
  <c r="M46" i="4"/>
  <c r="N46" i="4"/>
  <c r="O46" i="4"/>
  <c r="P46" i="4"/>
  <c r="Q46" i="4"/>
  <c r="L47" i="4"/>
  <c r="M47" i="4"/>
  <c r="N47" i="4"/>
  <c r="O47" i="4"/>
  <c r="P47" i="4"/>
  <c r="Q47" i="4"/>
  <c r="L48" i="4"/>
  <c r="M48" i="4"/>
  <c r="N48" i="4"/>
  <c r="O48" i="4"/>
  <c r="P48" i="4"/>
  <c r="Q48" i="4"/>
  <c r="L49" i="4"/>
  <c r="M49" i="4"/>
  <c r="N49" i="4"/>
  <c r="O49" i="4"/>
  <c r="P49" i="4"/>
  <c r="Q49" i="4"/>
  <c r="L50" i="4"/>
  <c r="M50" i="4"/>
  <c r="N50" i="4"/>
  <c r="O50" i="4"/>
  <c r="P50" i="4"/>
  <c r="Q50" i="4"/>
  <c r="L51" i="4"/>
  <c r="M51" i="4"/>
  <c r="N51" i="4"/>
  <c r="O51" i="4"/>
  <c r="P51" i="4"/>
  <c r="Q51" i="4"/>
  <c r="L52" i="4"/>
  <c r="M52" i="4"/>
  <c r="N52" i="4"/>
  <c r="O52" i="4"/>
  <c r="P52" i="4"/>
  <c r="Q52" i="4"/>
  <c r="L53" i="4"/>
  <c r="M53" i="4"/>
  <c r="N53" i="4"/>
  <c r="O53" i="4"/>
  <c r="P53" i="4"/>
  <c r="Q53" i="4"/>
  <c r="L54" i="4"/>
  <c r="M54" i="4"/>
  <c r="N54" i="4"/>
  <c r="O54" i="4"/>
  <c r="P54" i="4"/>
  <c r="Q54" i="4"/>
  <c r="L55" i="4"/>
  <c r="M55" i="4"/>
  <c r="N55" i="4"/>
  <c r="O55" i="4"/>
  <c r="P55" i="4"/>
  <c r="Q55" i="4"/>
  <c r="L56" i="4"/>
  <c r="M56" i="4"/>
  <c r="N56" i="4"/>
  <c r="O56" i="4"/>
  <c r="P56" i="4"/>
  <c r="Q56" i="4"/>
  <c r="L57" i="4"/>
  <c r="M57" i="4"/>
  <c r="N57" i="4"/>
  <c r="O57" i="4"/>
  <c r="P57" i="4"/>
  <c r="Q57" i="4"/>
  <c r="L58" i="4"/>
  <c r="M58" i="4"/>
  <c r="N58" i="4"/>
  <c r="O58" i="4"/>
  <c r="P58" i="4"/>
  <c r="Q58" i="4"/>
  <c r="L59" i="4"/>
  <c r="M59" i="4"/>
  <c r="N59" i="4"/>
  <c r="O59" i="4"/>
  <c r="P59" i="4"/>
  <c r="Q59" i="4"/>
  <c r="L60" i="4"/>
  <c r="M60" i="4"/>
  <c r="N60" i="4"/>
  <c r="O60" i="4"/>
  <c r="P60" i="4"/>
  <c r="Q60" i="4"/>
  <c r="L61" i="4"/>
  <c r="M61" i="4"/>
  <c r="N61" i="4"/>
  <c r="O61" i="4"/>
  <c r="P61" i="4"/>
  <c r="Q61" i="4"/>
  <c r="L62" i="4"/>
  <c r="M62" i="4"/>
  <c r="N62" i="4"/>
  <c r="O62" i="4"/>
  <c r="P62" i="4"/>
  <c r="Q62" i="4"/>
  <c r="L63" i="4"/>
  <c r="M63" i="4"/>
  <c r="N63" i="4"/>
  <c r="O63" i="4"/>
  <c r="P63" i="4"/>
  <c r="Q63" i="4"/>
  <c r="L64" i="4"/>
  <c r="M64" i="4"/>
  <c r="N64" i="4"/>
  <c r="O64" i="4"/>
  <c r="P64" i="4"/>
  <c r="Q64" i="4"/>
  <c r="L65" i="4"/>
  <c r="M65" i="4"/>
  <c r="N65" i="4"/>
  <c r="O65" i="4"/>
  <c r="P65" i="4"/>
  <c r="Q65" i="4"/>
  <c r="L66" i="4"/>
  <c r="M66" i="4"/>
  <c r="N66" i="4"/>
  <c r="O66" i="4"/>
  <c r="P66" i="4"/>
  <c r="Q66" i="4"/>
  <c r="L67" i="4"/>
  <c r="M67" i="4"/>
  <c r="N67" i="4"/>
  <c r="O67" i="4"/>
  <c r="P67" i="4"/>
  <c r="Q67" i="4"/>
  <c r="L68" i="4"/>
  <c r="M68" i="4"/>
  <c r="N68" i="4"/>
  <c r="O68" i="4"/>
  <c r="P68" i="4"/>
  <c r="Q68" i="4"/>
  <c r="L69" i="4"/>
  <c r="M69" i="4"/>
  <c r="N69" i="4"/>
  <c r="O69" i="4"/>
  <c r="P69" i="4"/>
  <c r="Q69" i="4"/>
  <c r="L70" i="4"/>
  <c r="M70" i="4"/>
  <c r="N70" i="4"/>
  <c r="O70" i="4"/>
  <c r="P70" i="4"/>
  <c r="Q70" i="4"/>
  <c r="L71" i="4"/>
  <c r="M71" i="4"/>
  <c r="N71" i="4"/>
  <c r="O71" i="4"/>
  <c r="P71" i="4"/>
  <c r="Q71" i="4"/>
  <c r="L72" i="4"/>
  <c r="M72" i="4"/>
  <c r="N72" i="4"/>
  <c r="O72" i="4"/>
  <c r="P72" i="4"/>
  <c r="Q72" i="4"/>
  <c r="L73" i="4"/>
  <c r="M73" i="4"/>
  <c r="N73" i="4"/>
  <c r="O73" i="4"/>
  <c r="P73" i="4"/>
  <c r="Q73" i="4"/>
  <c r="L74" i="4"/>
  <c r="M74" i="4"/>
  <c r="N74" i="4"/>
  <c r="O74" i="4"/>
  <c r="P74" i="4"/>
  <c r="Q74" i="4"/>
  <c r="L75" i="4"/>
  <c r="M75" i="4"/>
  <c r="N75" i="4"/>
  <c r="O75" i="4"/>
  <c r="P75" i="4"/>
  <c r="Q75" i="4"/>
  <c r="L76" i="4"/>
  <c r="M76" i="4"/>
  <c r="N76" i="4"/>
  <c r="O76" i="4"/>
  <c r="P76" i="4"/>
  <c r="Q76" i="4"/>
  <c r="L77" i="4"/>
  <c r="M77" i="4"/>
  <c r="N77" i="4"/>
  <c r="O77" i="4"/>
  <c r="P77" i="4"/>
  <c r="Q77" i="4"/>
  <c r="L78" i="4"/>
  <c r="M78" i="4"/>
  <c r="N78" i="4"/>
  <c r="O78" i="4"/>
  <c r="P78" i="4"/>
  <c r="Q78" i="4"/>
  <c r="L79" i="4"/>
  <c r="M79" i="4"/>
  <c r="N79" i="4"/>
  <c r="O79" i="4"/>
  <c r="P79" i="4"/>
  <c r="Q79" i="4"/>
  <c r="L80" i="4"/>
  <c r="M80" i="4"/>
  <c r="N80" i="4"/>
  <c r="O80" i="4"/>
  <c r="P80" i="4"/>
  <c r="Q80" i="4"/>
  <c r="L81" i="4"/>
  <c r="M81" i="4"/>
  <c r="N81" i="4"/>
  <c r="O81" i="4"/>
  <c r="P81" i="4"/>
  <c r="Q81" i="4"/>
  <c r="L82" i="4"/>
  <c r="M82" i="4"/>
  <c r="N82" i="4"/>
  <c r="O82" i="4"/>
  <c r="P82" i="4"/>
  <c r="Q82" i="4"/>
  <c r="L83" i="4"/>
  <c r="M83" i="4"/>
  <c r="N83" i="4"/>
  <c r="O83" i="4"/>
  <c r="P83" i="4"/>
  <c r="Q83" i="4"/>
  <c r="L84" i="4"/>
  <c r="M84" i="4"/>
  <c r="N84" i="4"/>
  <c r="O84" i="4"/>
  <c r="P84" i="4"/>
  <c r="Q84" i="4"/>
  <c r="L85" i="4"/>
  <c r="M85" i="4"/>
  <c r="N85" i="4"/>
  <c r="O85" i="4"/>
  <c r="P85" i="4"/>
  <c r="Q85" i="4"/>
  <c r="L86" i="4"/>
  <c r="M86" i="4"/>
  <c r="N86" i="4"/>
  <c r="O86" i="4"/>
  <c r="P86" i="4"/>
  <c r="Q86" i="4"/>
  <c r="L87" i="4"/>
  <c r="M87" i="4"/>
  <c r="N87" i="4"/>
  <c r="O87" i="4"/>
  <c r="P87" i="4"/>
  <c r="Q87" i="4"/>
  <c r="L88" i="4"/>
  <c r="M88" i="4"/>
  <c r="N88" i="4"/>
  <c r="O88" i="4"/>
  <c r="P88" i="4"/>
  <c r="Q88" i="4"/>
  <c r="L89" i="4"/>
  <c r="M89" i="4"/>
  <c r="N89" i="4"/>
  <c r="O89" i="4"/>
  <c r="P89" i="4"/>
  <c r="Q89" i="4"/>
  <c r="L90" i="4"/>
  <c r="M90" i="4"/>
  <c r="N90" i="4"/>
  <c r="O90" i="4"/>
  <c r="P90" i="4"/>
  <c r="Q90" i="4"/>
  <c r="L91" i="4"/>
  <c r="M91" i="4"/>
  <c r="N91" i="4"/>
  <c r="O91" i="4"/>
  <c r="P91" i="4"/>
  <c r="Q91" i="4"/>
  <c r="L92" i="4"/>
  <c r="M92" i="4"/>
  <c r="N92" i="4"/>
  <c r="O92" i="4"/>
  <c r="P92" i="4"/>
  <c r="Q92" i="4"/>
  <c r="L93" i="4"/>
  <c r="M93" i="4"/>
  <c r="N93" i="4"/>
  <c r="O93" i="4"/>
  <c r="P93" i="4"/>
  <c r="Q93" i="4"/>
  <c r="L94" i="4"/>
  <c r="M94" i="4"/>
  <c r="N94" i="4"/>
  <c r="O94" i="4"/>
  <c r="P94" i="4"/>
  <c r="Q94" i="4"/>
  <c r="L95" i="4"/>
  <c r="M95" i="4"/>
  <c r="N95" i="4"/>
  <c r="O95" i="4"/>
  <c r="P95" i="4"/>
  <c r="Q95" i="4"/>
  <c r="L96" i="4"/>
  <c r="M96" i="4"/>
  <c r="N96" i="4"/>
  <c r="O96" i="4"/>
  <c r="P96" i="4"/>
  <c r="Q96" i="4"/>
  <c r="L97" i="4"/>
  <c r="M97" i="4"/>
  <c r="N97" i="4"/>
  <c r="O97" i="4"/>
  <c r="P97" i="4"/>
  <c r="Q97" i="4"/>
  <c r="L98" i="4"/>
  <c r="M98" i="4"/>
  <c r="N98" i="4"/>
  <c r="O98" i="4"/>
  <c r="P98" i="4"/>
  <c r="Q98" i="4"/>
  <c r="L99" i="4"/>
  <c r="M99" i="4"/>
  <c r="N99" i="4"/>
  <c r="O99" i="4"/>
  <c r="P99" i="4"/>
  <c r="Q99" i="4"/>
  <c r="L100" i="4"/>
  <c r="M100" i="4"/>
  <c r="N100" i="4"/>
  <c r="O100" i="4"/>
  <c r="P100" i="4"/>
  <c r="Q100" i="4"/>
  <c r="L101" i="4"/>
  <c r="M101" i="4"/>
  <c r="N101" i="4"/>
  <c r="O101" i="4"/>
  <c r="P101" i="4"/>
  <c r="Q101" i="4"/>
  <c r="L102" i="4"/>
  <c r="M102" i="4"/>
  <c r="N102" i="4"/>
  <c r="O102" i="4"/>
  <c r="P102" i="4"/>
  <c r="Q102" i="4"/>
  <c r="L103" i="4"/>
  <c r="M103" i="4"/>
  <c r="N103" i="4"/>
  <c r="O103" i="4"/>
  <c r="P103" i="4"/>
  <c r="Q103" i="4"/>
  <c r="L104" i="4"/>
  <c r="M104" i="4"/>
  <c r="N104" i="4"/>
  <c r="O104" i="4"/>
  <c r="P104" i="4"/>
  <c r="Q104" i="4"/>
  <c r="L105" i="4"/>
  <c r="M105" i="4"/>
  <c r="N105" i="4"/>
  <c r="O105" i="4"/>
  <c r="P105" i="4"/>
  <c r="Q105" i="4"/>
  <c r="L106" i="4"/>
  <c r="M106" i="4"/>
  <c r="N106" i="4"/>
  <c r="O106" i="4"/>
  <c r="P106" i="4"/>
  <c r="Q106" i="4"/>
  <c r="L107" i="4"/>
  <c r="M107" i="4"/>
  <c r="N107" i="4"/>
  <c r="O107" i="4"/>
  <c r="P107" i="4"/>
  <c r="Q107" i="4"/>
  <c r="L108" i="4"/>
  <c r="M108" i="4"/>
  <c r="N108" i="4"/>
  <c r="O108" i="4"/>
  <c r="P108" i="4"/>
  <c r="Q108" i="4"/>
  <c r="K2" i="3"/>
  <c r="L2" i="3"/>
  <c r="M2" i="3"/>
  <c r="N2" i="3"/>
  <c r="O2" i="3"/>
  <c r="P2" i="3"/>
  <c r="K3" i="3"/>
  <c r="L3" i="3"/>
  <c r="M3" i="3"/>
  <c r="N3" i="3"/>
  <c r="O3" i="3"/>
  <c r="P3" i="3"/>
  <c r="K4" i="3"/>
  <c r="L4" i="3"/>
  <c r="M4" i="3"/>
  <c r="N4" i="3"/>
  <c r="O4" i="3"/>
  <c r="P4" i="3"/>
  <c r="K5" i="3"/>
  <c r="L5" i="3"/>
  <c r="M5" i="3"/>
  <c r="N5" i="3"/>
  <c r="O5" i="3"/>
  <c r="P5" i="3"/>
  <c r="K6" i="3"/>
  <c r="L6" i="3"/>
  <c r="M6" i="3"/>
  <c r="N6" i="3"/>
  <c r="O6" i="3"/>
  <c r="P6" i="3"/>
  <c r="K7" i="3"/>
  <c r="L7" i="3"/>
  <c r="M7" i="3"/>
  <c r="N7" i="3"/>
  <c r="O7" i="3"/>
  <c r="P7" i="3"/>
  <c r="K8" i="3"/>
  <c r="L8" i="3"/>
  <c r="M8" i="3"/>
  <c r="N8" i="3"/>
  <c r="O8" i="3"/>
  <c r="P8" i="3"/>
  <c r="K9" i="3"/>
  <c r="L9" i="3"/>
  <c r="M9" i="3"/>
  <c r="N9" i="3"/>
  <c r="O9" i="3"/>
  <c r="P9" i="3"/>
  <c r="K10" i="3"/>
  <c r="L10" i="3"/>
  <c r="M10" i="3"/>
  <c r="N10" i="3"/>
  <c r="O10" i="3"/>
  <c r="P10" i="3"/>
  <c r="K11" i="3"/>
  <c r="L11" i="3"/>
  <c r="M11" i="3"/>
  <c r="N11" i="3"/>
  <c r="O11" i="3"/>
  <c r="P11" i="3"/>
  <c r="K12" i="3"/>
  <c r="L12" i="3"/>
  <c r="M12" i="3"/>
  <c r="N12" i="3"/>
  <c r="O12" i="3"/>
  <c r="P12" i="3"/>
  <c r="K13" i="3"/>
  <c r="L13" i="3"/>
  <c r="M13" i="3"/>
  <c r="N13" i="3"/>
  <c r="O13" i="3"/>
  <c r="P13" i="3"/>
  <c r="K14" i="3"/>
  <c r="L14" i="3"/>
  <c r="M14" i="3"/>
  <c r="N14" i="3"/>
  <c r="O14" i="3"/>
  <c r="P14" i="3"/>
  <c r="K15" i="3"/>
  <c r="L15" i="3"/>
  <c r="M15" i="3"/>
  <c r="N15" i="3"/>
  <c r="O15" i="3"/>
  <c r="P15" i="3"/>
  <c r="K16" i="3"/>
  <c r="L16" i="3"/>
  <c r="M16" i="3"/>
  <c r="N16" i="3"/>
  <c r="O16" i="3"/>
  <c r="P16" i="3"/>
  <c r="K17" i="3"/>
  <c r="L17" i="3"/>
  <c r="M17" i="3"/>
  <c r="N17" i="3"/>
  <c r="O17" i="3"/>
  <c r="P17" i="3"/>
  <c r="K18" i="3"/>
  <c r="L18" i="3"/>
  <c r="M18" i="3"/>
  <c r="N18" i="3"/>
  <c r="O18" i="3"/>
  <c r="P18" i="3"/>
  <c r="K19" i="3"/>
  <c r="L19" i="3"/>
  <c r="M19" i="3"/>
  <c r="N19" i="3"/>
  <c r="O19" i="3"/>
  <c r="P19" i="3"/>
  <c r="K20" i="3"/>
  <c r="L20" i="3"/>
  <c r="M20" i="3"/>
  <c r="N20" i="3"/>
  <c r="O20" i="3"/>
  <c r="P20" i="3"/>
  <c r="K21" i="3"/>
  <c r="L21" i="3"/>
  <c r="M21" i="3"/>
  <c r="N21" i="3"/>
  <c r="O21" i="3"/>
  <c r="P21" i="3"/>
  <c r="K22" i="3"/>
  <c r="L22" i="3"/>
  <c r="M22" i="3"/>
  <c r="N22" i="3"/>
  <c r="O22" i="3"/>
  <c r="P22" i="3"/>
  <c r="K23" i="3"/>
  <c r="L23" i="3"/>
  <c r="M23" i="3"/>
  <c r="N23" i="3"/>
  <c r="O23" i="3"/>
  <c r="P23" i="3"/>
  <c r="K24" i="3"/>
  <c r="L24" i="3"/>
  <c r="M24" i="3"/>
  <c r="N24" i="3"/>
  <c r="O24" i="3"/>
  <c r="P24" i="3"/>
  <c r="K25" i="3"/>
  <c r="L25" i="3"/>
  <c r="M25" i="3"/>
  <c r="N25" i="3"/>
  <c r="O25" i="3"/>
  <c r="P25" i="3"/>
  <c r="K26" i="3"/>
  <c r="L26" i="3"/>
  <c r="M26" i="3"/>
  <c r="N26" i="3"/>
  <c r="O26" i="3"/>
  <c r="P26" i="3"/>
  <c r="K27" i="3"/>
  <c r="L27" i="3"/>
  <c r="M27" i="3"/>
  <c r="N27" i="3"/>
  <c r="O27" i="3"/>
  <c r="P27" i="3"/>
  <c r="K28" i="3"/>
  <c r="L28" i="3"/>
  <c r="M28" i="3"/>
  <c r="N28" i="3"/>
  <c r="O28" i="3"/>
  <c r="P28" i="3"/>
  <c r="K29" i="3"/>
  <c r="L29" i="3"/>
  <c r="M29" i="3"/>
  <c r="N29" i="3"/>
  <c r="O29" i="3"/>
  <c r="P29" i="3"/>
  <c r="K30" i="3"/>
  <c r="L30" i="3"/>
  <c r="M30" i="3"/>
  <c r="N30" i="3"/>
  <c r="O30" i="3"/>
  <c r="P30" i="3"/>
  <c r="K31" i="3"/>
  <c r="L31" i="3"/>
  <c r="M31" i="3"/>
  <c r="N31" i="3"/>
  <c r="O31" i="3"/>
  <c r="P31" i="3"/>
  <c r="K32" i="3"/>
  <c r="L32" i="3"/>
  <c r="M32" i="3"/>
  <c r="N32" i="3"/>
  <c r="O32" i="3"/>
  <c r="P32" i="3"/>
  <c r="K33" i="3"/>
  <c r="L33" i="3"/>
  <c r="M33" i="3"/>
  <c r="N33" i="3"/>
  <c r="O33" i="3"/>
  <c r="P33" i="3"/>
  <c r="K34" i="3"/>
  <c r="L34" i="3"/>
  <c r="M34" i="3"/>
  <c r="N34" i="3"/>
  <c r="O34" i="3"/>
  <c r="P34" i="3"/>
  <c r="K35" i="3"/>
  <c r="L35" i="3"/>
  <c r="M35" i="3"/>
  <c r="N35" i="3"/>
  <c r="O35" i="3"/>
  <c r="P35" i="3"/>
  <c r="K36" i="3"/>
  <c r="L36" i="3"/>
  <c r="M36" i="3"/>
  <c r="N36" i="3"/>
  <c r="O36" i="3"/>
  <c r="P36" i="3"/>
  <c r="K37" i="3"/>
  <c r="L37" i="3"/>
  <c r="M37" i="3"/>
  <c r="N37" i="3"/>
  <c r="O37" i="3"/>
  <c r="P37" i="3"/>
  <c r="K38" i="3"/>
  <c r="L38" i="3"/>
  <c r="M38" i="3"/>
  <c r="N38" i="3"/>
  <c r="O38" i="3"/>
  <c r="P38" i="3"/>
  <c r="K39" i="3"/>
  <c r="L39" i="3"/>
  <c r="M39" i="3"/>
  <c r="N39" i="3"/>
  <c r="O39" i="3"/>
  <c r="P39" i="3"/>
  <c r="K40" i="3"/>
  <c r="L40" i="3"/>
  <c r="M40" i="3"/>
  <c r="N40" i="3"/>
  <c r="O40" i="3"/>
  <c r="P40" i="3"/>
  <c r="K41" i="3"/>
  <c r="L41" i="3"/>
  <c r="M41" i="3"/>
  <c r="N41" i="3"/>
  <c r="O41" i="3"/>
  <c r="P41" i="3"/>
  <c r="K42" i="3"/>
  <c r="L42" i="3"/>
  <c r="M42" i="3"/>
  <c r="N42" i="3"/>
  <c r="O42" i="3"/>
  <c r="P42" i="3"/>
  <c r="K43" i="3"/>
  <c r="L43" i="3"/>
  <c r="M43" i="3"/>
  <c r="N43" i="3"/>
  <c r="O43" i="3"/>
  <c r="P43" i="3"/>
  <c r="K44" i="3"/>
  <c r="L44" i="3"/>
  <c r="M44" i="3"/>
  <c r="N44" i="3"/>
  <c r="O44" i="3"/>
  <c r="P44" i="3"/>
  <c r="K45" i="3"/>
  <c r="L45" i="3"/>
  <c r="M45" i="3"/>
  <c r="N45" i="3"/>
  <c r="O45" i="3"/>
  <c r="P45" i="3"/>
  <c r="K46" i="3"/>
  <c r="L46" i="3"/>
  <c r="M46" i="3"/>
  <c r="N46" i="3"/>
  <c r="O46" i="3"/>
  <c r="P46" i="3"/>
  <c r="K47" i="3"/>
  <c r="L47" i="3"/>
  <c r="M47" i="3"/>
  <c r="N47" i="3"/>
  <c r="O47" i="3"/>
  <c r="P47" i="3"/>
  <c r="K48" i="3"/>
  <c r="L48" i="3"/>
  <c r="M48" i="3"/>
  <c r="N48" i="3"/>
  <c r="O48" i="3"/>
  <c r="P48" i="3"/>
  <c r="K49" i="3"/>
  <c r="L49" i="3"/>
  <c r="M49" i="3"/>
  <c r="N49" i="3"/>
  <c r="O49" i="3"/>
  <c r="P49" i="3"/>
  <c r="K50" i="3"/>
  <c r="L50" i="3"/>
  <c r="M50" i="3"/>
  <c r="N50" i="3"/>
  <c r="O50" i="3"/>
  <c r="P50" i="3"/>
  <c r="K51" i="3"/>
  <c r="L51" i="3"/>
  <c r="M51" i="3"/>
  <c r="N51" i="3"/>
  <c r="O51" i="3"/>
  <c r="P51" i="3"/>
  <c r="K52" i="3"/>
  <c r="L52" i="3"/>
  <c r="M52" i="3"/>
  <c r="N52" i="3"/>
  <c r="O52" i="3"/>
  <c r="P52" i="3"/>
  <c r="K53" i="3"/>
  <c r="L53" i="3"/>
  <c r="M53" i="3"/>
  <c r="N53" i="3"/>
  <c r="O53" i="3"/>
  <c r="P53" i="3"/>
  <c r="K54" i="3"/>
  <c r="L54" i="3"/>
  <c r="M54" i="3"/>
  <c r="N54" i="3"/>
  <c r="O54" i="3"/>
  <c r="P54" i="3"/>
  <c r="K55" i="3"/>
  <c r="L55" i="3"/>
  <c r="M55" i="3"/>
  <c r="N55" i="3"/>
  <c r="O55" i="3"/>
  <c r="P55" i="3"/>
  <c r="K56" i="3"/>
  <c r="L56" i="3"/>
  <c r="M56" i="3"/>
  <c r="N56" i="3"/>
  <c r="O56" i="3"/>
  <c r="P56" i="3"/>
  <c r="K57" i="3"/>
  <c r="L57" i="3"/>
  <c r="M57" i="3"/>
  <c r="N57" i="3"/>
  <c r="O57" i="3"/>
  <c r="P57" i="3"/>
  <c r="K58" i="3"/>
  <c r="L58" i="3"/>
  <c r="M58" i="3"/>
  <c r="N58" i="3"/>
  <c r="O58" i="3"/>
  <c r="P58" i="3"/>
  <c r="K59" i="3"/>
  <c r="L59" i="3"/>
  <c r="M59" i="3"/>
  <c r="N59" i="3"/>
  <c r="O59" i="3"/>
  <c r="P59" i="3"/>
  <c r="K60" i="3"/>
  <c r="L60" i="3"/>
  <c r="M60" i="3"/>
  <c r="N60" i="3"/>
  <c r="O60" i="3"/>
  <c r="P60" i="3"/>
  <c r="K61" i="3"/>
  <c r="L61" i="3"/>
  <c r="M61" i="3"/>
  <c r="N61" i="3"/>
  <c r="O61" i="3"/>
  <c r="P61" i="3"/>
  <c r="K62" i="3"/>
  <c r="L62" i="3"/>
  <c r="M62" i="3"/>
  <c r="N62" i="3"/>
  <c r="O62" i="3"/>
  <c r="P62" i="3"/>
  <c r="K63" i="3"/>
  <c r="L63" i="3"/>
  <c r="M63" i="3"/>
  <c r="N63" i="3"/>
  <c r="O63" i="3"/>
  <c r="P63" i="3"/>
  <c r="K64" i="3"/>
  <c r="L64" i="3"/>
  <c r="M64" i="3"/>
  <c r="N64" i="3"/>
  <c r="O64" i="3"/>
  <c r="P64" i="3"/>
  <c r="K65" i="3"/>
  <c r="L65" i="3"/>
  <c r="M65" i="3"/>
  <c r="N65" i="3"/>
  <c r="O65" i="3"/>
  <c r="P65" i="3"/>
  <c r="K66" i="3"/>
  <c r="L66" i="3"/>
  <c r="M66" i="3"/>
  <c r="N66" i="3"/>
  <c r="O66" i="3"/>
  <c r="P66" i="3"/>
  <c r="K67" i="3"/>
  <c r="L67" i="3"/>
  <c r="M67" i="3"/>
  <c r="N67" i="3"/>
  <c r="O67" i="3"/>
  <c r="P67" i="3"/>
  <c r="K68" i="3"/>
  <c r="L68" i="3"/>
  <c r="M68" i="3"/>
  <c r="N68" i="3"/>
  <c r="O68" i="3"/>
  <c r="P68" i="3"/>
  <c r="K69" i="3"/>
  <c r="L69" i="3"/>
  <c r="M69" i="3"/>
  <c r="N69" i="3"/>
  <c r="O69" i="3"/>
  <c r="P69" i="3"/>
  <c r="K70" i="3"/>
  <c r="L70" i="3"/>
  <c r="M70" i="3"/>
  <c r="N70" i="3"/>
  <c r="O70" i="3"/>
  <c r="P70" i="3"/>
  <c r="K71" i="3"/>
  <c r="L71" i="3"/>
  <c r="M71" i="3"/>
  <c r="N71" i="3"/>
  <c r="O71" i="3"/>
  <c r="P71" i="3"/>
  <c r="K72" i="3"/>
  <c r="L72" i="3"/>
  <c r="M72" i="3"/>
  <c r="N72" i="3"/>
  <c r="O72" i="3"/>
  <c r="P72" i="3"/>
  <c r="K73" i="3"/>
  <c r="L73" i="3"/>
  <c r="M73" i="3"/>
  <c r="N73" i="3"/>
  <c r="O73" i="3"/>
  <c r="P73" i="3"/>
  <c r="K74" i="3"/>
  <c r="L74" i="3"/>
  <c r="M74" i="3"/>
  <c r="N74" i="3"/>
  <c r="O74" i="3"/>
  <c r="P74" i="3"/>
  <c r="K75" i="3"/>
  <c r="L75" i="3"/>
  <c r="M75" i="3"/>
  <c r="N75" i="3"/>
  <c r="O75" i="3"/>
  <c r="P75" i="3"/>
  <c r="K76" i="3"/>
  <c r="L76" i="3"/>
  <c r="M76" i="3"/>
  <c r="N76" i="3"/>
  <c r="O76" i="3"/>
  <c r="P76" i="3"/>
  <c r="K77" i="3"/>
  <c r="L77" i="3"/>
  <c r="M77" i="3"/>
  <c r="N77" i="3"/>
  <c r="O77" i="3"/>
  <c r="P77" i="3"/>
  <c r="K78" i="3"/>
  <c r="L78" i="3"/>
  <c r="M78" i="3"/>
  <c r="N78" i="3"/>
  <c r="O78" i="3"/>
  <c r="P78" i="3"/>
  <c r="K79" i="3"/>
  <c r="L79" i="3"/>
  <c r="M79" i="3"/>
  <c r="N79" i="3"/>
  <c r="O79" i="3"/>
  <c r="P79" i="3"/>
  <c r="K80" i="3"/>
  <c r="L80" i="3"/>
  <c r="M80" i="3"/>
  <c r="N80" i="3"/>
  <c r="O80" i="3"/>
  <c r="P80" i="3"/>
  <c r="K81" i="3"/>
  <c r="L81" i="3"/>
  <c r="M81" i="3"/>
  <c r="N81" i="3"/>
  <c r="O81" i="3"/>
  <c r="P81" i="3"/>
  <c r="K82" i="3"/>
  <c r="L82" i="3"/>
  <c r="M82" i="3"/>
  <c r="N82" i="3"/>
  <c r="O82" i="3"/>
  <c r="P82" i="3"/>
  <c r="K83" i="3"/>
  <c r="L83" i="3"/>
  <c r="M83" i="3"/>
  <c r="N83" i="3"/>
  <c r="O83" i="3"/>
  <c r="P83" i="3"/>
  <c r="K84" i="3"/>
  <c r="L84" i="3"/>
  <c r="M84" i="3"/>
  <c r="N84" i="3"/>
  <c r="O84" i="3"/>
  <c r="P84" i="3"/>
  <c r="K85" i="3"/>
  <c r="L85" i="3"/>
  <c r="M85" i="3"/>
  <c r="N85" i="3"/>
  <c r="O85" i="3"/>
  <c r="P85" i="3"/>
  <c r="K86" i="3"/>
  <c r="L86" i="3"/>
  <c r="M86" i="3"/>
  <c r="N86" i="3"/>
  <c r="O86" i="3"/>
  <c r="P86" i="3"/>
  <c r="K87" i="3"/>
  <c r="L87" i="3"/>
  <c r="M87" i="3"/>
  <c r="N87" i="3"/>
  <c r="O87" i="3"/>
  <c r="P87" i="3"/>
  <c r="K88" i="3"/>
  <c r="L88" i="3"/>
  <c r="M88" i="3"/>
  <c r="N88" i="3"/>
  <c r="O88" i="3"/>
  <c r="P88" i="3"/>
  <c r="K89" i="3"/>
  <c r="L89" i="3"/>
  <c r="M89" i="3"/>
  <c r="N89" i="3"/>
  <c r="O89" i="3"/>
  <c r="P89" i="3"/>
  <c r="K90" i="3"/>
  <c r="L90" i="3"/>
  <c r="M90" i="3"/>
  <c r="N90" i="3"/>
  <c r="O90" i="3"/>
  <c r="P90" i="3"/>
  <c r="K91" i="3"/>
  <c r="L91" i="3"/>
  <c r="M91" i="3"/>
  <c r="N91" i="3"/>
  <c r="O91" i="3"/>
  <c r="P91" i="3"/>
  <c r="K92" i="3"/>
  <c r="L92" i="3"/>
  <c r="M92" i="3"/>
  <c r="N92" i="3"/>
  <c r="O92" i="3"/>
  <c r="P92" i="3"/>
  <c r="K93" i="3"/>
  <c r="L93" i="3"/>
  <c r="M93" i="3"/>
  <c r="N93" i="3"/>
  <c r="O93" i="3"/>
  <c r="P93" i="3"/>
  <c r="K94" i="3"/>
  <c r="L94" i="3"/>
  <c r="M94" i="3"/>
  <c r="N94" i="3"/>
  <c r="O94" i="3"/>
  <c r="P94" i="3"/>
  <c r="K95" i="3"/>
  <c r="L95" i="3"/>
  <c r="M95" i="3"/>
  <c r="N95" i="3"/>
  <c r="O95" i="3"/>
  <c r="P95" i="3"/>
  <c r="K96" i="3"/>
  <c r="L96" i="3"/>
  <c r="M96" i="3"/>
  <c r="N96" i="3"/>
  <c r="O96" i="3"/>
  <c r="P96" i="3"/>
  <c r="K97" i="3"/>
  <c r="L97" i="3"/>
  <c r="M97" i="3"/>
  <c r="N97" i="3"/>
  <c r="O97" i="3"/>
  <c r="P97" i="3"/>
  <c r="K98" i="3"/>
  <c r="L98" i="3"/>
  <c r="M98" i="3"/>
  <c r="N98" i="3"/>
  <c r="O98" i="3"/>
  <c r="P98" i="3"/>
  <c r="K99" i="3"/>
  <c r="L99" i="3"/>
  <c r="M99" i="3"/>
  <c r="N99" i="3"/>
  <c r="O99" i="3"/>
  <c r="P99" i="3"/>
  <c r="K100" i="3"/>
  <c r="L100" i="3"/>
  <c r="M100" i="3"/>
  <c r="N100" i="3"/>
  <c r="O100" i="3"/>
  <c r="P100" i="3"/>
  <c r="K101" i="3"/>
  <c r="L101" i="3"/>
  <c r="M101" i="3"/>
  <c r="N101" i="3"/>
  <c r="O101" i="3"/>
  <c r="P101" i="3"/>
  <c r="K102" i="3"/>
  <c r="L102" i="3"/>
  <c r="M102" i="3"/>
  <c r="N102" i="3"/>
  <c r="O102" i="3"/>
  <c r="P102" i="3"/>
  <c r="K103" i="3"/>
  <c r="L103" i="3"/>
  <c r="M103" i="3"/>
  <c r="N103" i="3"/>
  <c r="O103" i="3"/>
  <c r="P103" i="3"/>
  <c r="K104" i="3"/>
  <c r="L104" i="3"/>
  <c r="M104" i="3"/>
  <c r="N104" i="3"/>
  <c r="O104" i="3"/>
  <c r="P104" i="3"/>
  <c r="K105" i="3"/>
  <c r="L105" i="3"/>
  <c r="M105" i="3"/>
  <c r="N105" i="3"/>
  <c r="O105" i="3"/>
  <c r="P105" i="3"/>
  <c r="K106" i="3"/>
  <c r="L106" i="3"/>
  <c r="M106" i="3"/>
  <c r="N106" i="3"/>
  <c r="O106" i="3"/>
  <c r="P106" i="3"/>
  <c r="K107" i="3"/>
  <c r="L107" i="3"/>
  <c r="M107" i="3"/>
  <c r="N107" i="3"/>
  <c r="O107" i="3"/>
  <c r="P107" i="3"/>
  <c r="K108" i="3"/>
  <c r="L108" i="3"/>
  <c r="M108" i="3"/>
  <c r="N108" i="3"/>
  <c r="O108" i="3"/>
  <c r="P108" i="3"/>
  <c r="K109" i="3"/>
  <c r="L109" i="3"/>
  <c r="M109" i="3"/>
  <c r="N109" i="3"/>
  <c r="O109" i="3"/>
  <c r="P109" i="3"/>
  <c r="K110" i="3"/>
  <c r="L110" i="3"/>
  <c r="M110" i="3"/>
  <c r="N110" i="3"/>
  <c r="O110" i="3"/>
  <c r="P110" i="3"/>
  <c r="G2" i="2"/>
  <c r="H2" i="2"/>
  <c r="I2" i="2"/>
  <c r="J2" i="2"/>
  <c r="K2" i="2"/>
  <c r="L2" i="2"/>
  <c r="G3" i="2"/>
  <c r="H3" i="2"/>
  <c r="I3" i="2"/>
  <c r="J3" i="2"/>
  <c r="K3" i="2"/>
  <c r="L3" i="2"/>
  <c r="G4" i="2"/>
  <c r="H4" i="2"/>
  <c r="I4" i="2"/>
  <c r="J4" i="2"/>
  <c r="K4" i="2"/>
  <c r="L4" i="2"/>
  <c r="G5" i="2"/>
  <c r="H5" i="2"/>
  <c r="I5" i="2"/>
  <c r="J5" i="2"/>
  <c r="K5" i="2"/>
  <c r="L5" i="2"/>
  <c r="G6" i="2"/>
  <c r="H6" i="2"/>
  <c r="I6" i="2"/>
  <c r="J6" i="2"/>
  <c r="K6" i="2"/>
  <c r="L6" i="2"/>
  <c r="G7" i="2"/>
  <c r="H7" i="2"/>
  <c r="I7" i="2"/>
  <c r="J7" i="2"/>
  <c r="K7" i="2"/>
  <c r="L7" i="2"/>
  <c r="G8" i="2"/>
  <c r="H8" i="2"/>
  <c r="I8" i="2"/>
  <c r="J8" i="2"/>
  <c r="K8" i="2"/>
  <c r="L8" i="2"/>
  <c r="G9" i="2"/>
  <c r="H9" i="2"/>
  <c r="I9" i="2"/>
  <c r="J9" i="2"/>
  <c r="K9" i="2"/>
  <c r="L9" i="2"/>
  <c r="G10" i="2"/>
  <c r="H10" i="2"/>
  <c r="I10" i="2"/>
  <c r="J10" i="2"/>
  <c r="K10" i="2"/>
  <c r="L10" i="2"/>
  <c r="G11" i="2"/>
  <c r="H11" i="2"/>
  <c r="I11" i="2"/>
  <c r="J11" i="2"/>
  <c r="K11" i="2"/>
  <c r="L11" i="2"/>
  <c r="G12" i="2"/>
  <c r="H12" i="2"/>
  <c r="I12" i="2"/>
  <c r="J12" i="2"/>
  <c r="K12" i="2"/>
  <c r="L12" i="2"/>
  <c r="G13" i="2"/>
  <c r="H13" i="2"/>
  <c r="I13" i="2"/>
  <c r="J13" i="2"/>
  <c r="K13" i="2"/>
  <c r="L13" i="2"/>
  <c r="G14" i="2"/>
  <c r="H14" i="2"/>
  <c r="I14" i="2"/>
  <c r="J14" i="2"/>
  <c r="K14" i="2"/>
  <c r="L14" i="2"/>
  <c r="G15" i="2"/>
  <c r="H15" i="2"/>
  <c r="I15" i="2"/>
  <c r="J15" i="2"/>
  <c r="K15" i="2"/>
  <c r="L15" i="2"/>
  <c r="G16" i="2"/>
  <c r="H16" i="2"/>
  <c r="I16" i="2"/>
  <c r="J16" i="2"/>
  <c r="K16" i="2"/>
  <c r="L16" i="2"/>
  <c r="G17" i="2"/>
  <c r="H17" i="2"/>
  <c r="I17" i="2"/>
  <c r="J17" i="2"/>
  <c r="K17" i="2"/>
  <c r="L17" i="2"/>
  <c r="G18" i="2"/>
  <c r="H18" i="2"/>
  <c r="I18" i="2"/>
  <c r="J18" i="2"/>
  <c r="K18" i="2"/>
  <c r="L18" i="2"/>
  <c r="G19" i="2"/>
  <c r="H19" i="2"/>
  <c r="I19" i="2"/>
  <c r="J19" i="2"/>
  <c r="K19" i="2"/>
  <c r="L19" i="2"/>
  <c r="G20" i="2"/>
  <c r="H20" i="2"/>
  <c r="I20" i="2"/>
  <c r="J20" i="2"/>
  <c r="K20" i="2"/>
  <c r="L20" i="2"/>
  <c r="G21" i="2"/>
  <c r="H21" i="2"/>
  <c r="I21" i="2"/>
  <c r="J21" i="2"/>
  <c r="K21" i="2"/>
  <c r="L21" i="2"/>
  <c r="G22" i="2"/>
  <c r="H22" i="2"/>
  <c r="I22" i="2"/>
  <c r="J22" i="2"/>
  <c r="K22" i="2"/>
  <c r="L22" i="2"/>
  <c r="G23" i="2"/>
  <c r="H23" i="2"/>
  <c r="I23" i="2"/>
  <c r="J23" i="2"/>
  <c r="K23" i="2"/>
  <c r="L23" i="2"/>
  <c r="G24" i="2"/>
  <c r="H24" i="2"/>
  <c r="I24" i="2"/>
  <c r="J24" i="2"/>
  <c r="K24" i="2"/>
  <c r="L24" i="2"/>
  <c r="G25" i="2"/>
  <c r="H25" i="2"/>
  <c r="I25" i="2"/>
  <c r="J25" i="2"/>
  <c r="K25" i="2"/>
  <c r="L25" i="2"/>
  <c r="G26" i="2"/>
  <c r="H26" i="2"/>
  <c r="I26" i="2"/>
  <c r="J26" i="2"/>
  <c r="K26" i="2"/>
  <c r="L26" i="2"/>
  <c r="G27" i="2"/>
  <c r="H27" i="2"/>
  <c r="I27" i="2"/>
  <c r="J27" i="2"/>
  <c r="K27" i="2"/>
  <c r="L27" i="2"/>
  <c r="G28" i="2"/>
  <c r="H28" i="2"/>
  <c r="I28" i="2"/>
  <c r="J28" i="2"/>
  <c r="K28" i="2"/>
  <c r="L28" i="2"/>
  <c r="G29" i="2"/>
  <c r="H29" i="2"/>
  <c r="I29" i="2"/>
  <c r="J29" i="2"/>
  <c r="K29" i="2"/>
  <c r="L29" i="2"/>
  <c r="G30" i="2"/>
  <c r="H30" i="2"/>
  <c r="I30" i="2"/>
  <c r="J30" i="2"/>
  <c r="K30" i="2"/>
  <c r="L30" i="2"/>
  <c r="G31" i="2"/>
  <c r="H31" i="2"/>
  <c r="I31" i="2"/>
  <c r="J31" i="2"/>
  <c r="K31" i="2"/>
  <c r="L31" i="2"/>
  <c r="G32" i="2"/>
  <c r="H32" i="2"/>
  <c r="I32" i="2"/>
  <c r="J32" i="2"/>
  <c r="K32" i="2"/>
  <c r="L32" i="2"/>
  <c r="G33" i="2"/>
  <c r="H33" i="2"/>
  <c r="I33" i="2"/>
  <c r="J33" i="2"/>
  <c r="K33" i="2"/>
  <c r="L33" i="2"/>
  <c r="G34" i="2"/>
  <c r="H34" i="2"/>
  <c r="I34" i="2"/>
  <c r="J34" i="2"/>
  <c r="K34" i="2"/>
  <c r="L34" i="2"/>
  <c r="G35" i="2"/>
  <c r="H35" i="2"/>
  <c r="I35" i="2"/>
  <c r="J35" i="2"/>
  <c r="K35" i="2"/>
  <c r="L35" i="2"/>
  <c r="G36" i="2"/>
  <c r="H36" i="2"/>
  <c r="I36" i="2"/>
  <c r="J36" i="2"/>
  <c r="K36" i="2"/>
  <c r="L36" i="2"/>
  <c r="G37" i="2"/>
  <c r="H37" i="2"/>
  <c r="I37" i="2"/>
  <c r="J37" i="2"/>
  <c r="K37" i="2"/>
  <c r="L37" i="2"/>
  <c r="G38" i="2"/>
  <c r="H38" i="2"/>
  <c r="I38" i="2"/>
  <c r="J38" i="2"/>
  <c r="K38" i="2"/>
  <c r="L38" i="2"/>
  <c r="G39" i="2"/>
  <c r="H39" i="2"/>
  <c r="I39" i="2"/>
  <c r="J39" i="2"/>
  <c r="K39" i="2"/>
  <c r="L39" i="2"/>
  <c r="G40" i="2"/>
  <c r="H40" i="2"/>
  <c r="I40" i="2"/>
  <c r="J40" i="2"/>
  <c r="K40" i="2"/>
  <c r="L40" i="2"/>
  <c r="G41" i="2"/>
  <c r="H41" i="2"/>
  <c r="I41" i="2"/>
  <c r="J41" i="2"/>
  <c r="K41" i="2"/>
  <c r="L41" i="2"/>
  <c r="G42" i="2"/>
  <c r="H42" i="2"/>
  <c r="I42" i="2"/>
  <c r="J42" i="2"/>
  <c r="K42" i="2"/>
  <c r="L42" i="2"/>
  <c r="G43" i="2"/>
  <c r="H43" i="2"/>
  <c r="I43" i="2"/>
  <c r="J43" i="2"/>
  <c r="K43" i="2"/>
  <c r="L43" i="2"/>
  <c r="G44" i="2"/>
  <c r="H44" i="2"/>
  <c r="I44" i="2"/>
  <c r="J44" i="2"/>
  <c r="K44" i="2"/>
  <c r="L44" i="2"/>
  <c r="G45" i="2"/>
  <c r="H45" i="2"/>
  <c r="I45" i="2"/>
  <c r="J45" i="2"/>
  <c r="K45" i="2"/>
  <c r="L45" i="2"/>
  <c r="G46" i="2"/>
  <c r="H46" i="2"/>
  <c r="I46" i="2"/>
  <c r="J46" i="2"/>
  <c r="K46" i="2"/>
  <c r="L46" i="2"/>
  <c r="G47" i="2"/>
  <c r="H47" i="2"/>
  <c r="I47" i="2"/>
  <c r="J47" i="2"/>
  <c r="K47" i="2"/>
  <c r="L47" i="2"/>
  <c r="G48" i="2"/>
  <c r="H48" i="2"/>
  <c r="I48" i="2"/>
  <c r="J48" i="2"/>
  <c r="K48" i="2"/>
  <c r="L48" i="2"/>
  <c r="G49" i="2"/>
  <c r="H49" i="2"/>
  <c r="I49" i="2"/>
  <c r="J49" i="2"/>
  <c r="K49" i="2"/>
  <c r="L49" i="2"/>
  <c r="G50" i="2"/>
  <c r="H50" i="2"/>
  <c r="I50" i="2"/>
  <c r="J50" i="2"/>
  <c r="K50" i="2"/>
  <c r="L50" i="2"/>
  <c r="G51" i="2"/>
  <c r="H51" i="2"/>
  <c r="I51" i="2"/>
  <c r="J51" i="2"/>
  <c r="K51" i="2"/>
  <c r="L51" i="2"/>
  <c r="G52" i="2"/>
  <c r="H52" i="2"/>
  <c r="I52" i="2"/>
  <c r="J52" i="2"/>
  <c r="K52" i="2"/>
  <c r="L52" i="2"/>
  <c r="G53" i="2"/>
  <c r="H53" i="2"/>
  <c r="I53" i="2"/>
  <c r="J53" i="2"/>
  <c r="K53" i="2"/>
  <c r="L53" i="2"/>
  <c r="G54" i="2"/>
  <c r="H54" i="2"/>
  <c r="I54" i="2"/>
  <c r="J54" i="2"/>
  <c r="K54" i="2"/>
  <c r="L54" i="2"/>
  <c r="G55" i="2"/>
  <c r="H55" i="2"/>
  <c r="I55" i="2"/>
  <c r="J55" i="2"/>
  <c r="K55" i="2"/>
  <c r="L55" i="2"/>
  <c r="G56" i="2"/>
  <c r="H56" i="2"/>
  <c r="I56" i="2"/>
  <c r="J56" i="2"/>
  <c r="K56" i="2"/>
  <c r="L56" i="2"/>
  <c r="G57" i="2"/>
  <c r="H57" i="2"/>
  <c r="I57" i="2"/>
  <c r="J57" i="2"/>
  <c r="K57" i="2"/>
  <c r="L57" i="2"/>
  <c r="G58" i="2"/>
  <c r="H58" i="2"/>
  <c r="I58" i="2"/>
  <c r="J58" i="2"/>
  <c r="K58" i="2"/>
  <c r="L58" i="2"/>
  <c r="G59" i="2"/>
  <c r="H59" i="2"/>
  <c r="I59" i="2"/>
  <c r="J59" i="2"/>
  <c r="K59" i="2"/>
  <c r="L59" i="2"/>
  <c r="G60" i="2"/>
  <c r="H60" i="2"/>
  <c r="I60" i="2"/>
  <c r="J60" i="2"/>
  <c r="K60" i="2"/>
  <c r="L60" i="2"/>
  <c r="G61" i="2"/>
  <c r="H61" i="2"/>
  <c r="I61" i="2"/>
  <c r="J61" i="2"/>
  <c r="K61" i="2"/>
  <c r="L61" i="2"/>
  <c r="G62" i="2"/>
  <c r="H62" i="2"/>
  <c r="I62" i="2"/>
  <c r="J62" i="2"/>
  <c r="K62" i="2"/>
  <c r="L62" i="2"/>
  <c r="G63" i="2"/>
  <c r="H63" i="2"/>
  <c r="I63" i="2"/>
  <c r="J63" i="2"/>
  <c r="K63" i="2"/>
  <c r="L63" i="2"/>
  <c r="G64" i="2"/>
  <c r="H64" i="2"/>
  <c r="I64" i="2"/>
  <c r="J64" i="2"/>
  <c r="K64" i="2"/>
  <c r="L64" i="2"/>
  <c r="G65" i="2"/>
  <c r="H65" i="2"/>
  <c r="I65" i="2"/>
  <c r="J65" i="2"/>
  <c r="K65" i="2"/>
  <c r="L65" i="2"/>
  <c r="G66" i="2"/>
  <c r="H66" i="2"/>
  <c r="I66" i="2"/>
  <c r="J66" i="2"/>
  <c r="K66" i="2"/>
  <c r="L66" i="2"/>
  <c r="G67" i="2"/>
  <c r="H67" i="2"/>
  <c r="I67" i="2"/>
  <c r="J67" i="2"/>
  <c r="K67" i="2"/>
  <c r="L67" i="2"/>
  <c r="G68" i="2"/>
  <c r="H68" i="2"/>
  <c r="I68" i="2"/>
  <c r="J68" i="2"/>
  <c r="K68" i="2"/>
  <c r="L68" i="2"/>
  <c r="G69" i="2"/>
  <c r="H69" i="2"/>
  <c r="I69" i="2"/>
  <c r="J69" i="2"/>
  <c r="K69" i="2"/>
  <c r="L69" i="2"/>
  <c r="G70" i="2"/>
  <c r="H70" i="2"/>
  <c r="I70" i="2"/>
  <c r="J70" i="2"/>
  <c r="K70" i="2"/>
  <c r="L70" i="2"/>
  <c r="G71" i="2"/>
  <c r="H71" i="2"/>
  <c r="I71" i="2"/>
  <c r="J71" i="2"/>
  <c r="K71" i="2"/>
  <c r="L71" i="2"/>
  <c r="G72" i="2"/>
  <c r="H72" i="2"/>
  <c r="I72" i="2"/>
  <c r="J72" i="2"/>
  <c r="K72" i="2"/>
  <c r="L72" i="2"/>
  <c r="G73" i="2"/>
  <c r="H73" i="2"/>
  <c r="I73" i="2"/>
  <c r="J73" i="2"/>
  <c r="K73" i="2"/>
  <c r="L73" i="2"/>
  <c r="G74" i="2"/>
  <c r="H74" i="2"/>
  <c r="I74" i="2"/>
  <c r="J74" i="2"/>
  <c r="K74" i="2"/>
  <c r="L74" i="2"/>
  <c r="G75" i="2"/>
  <c r="H75" i="2"/>
  <c r="I75" i="2"/>
  <c r="J75" i="2"/>
  <c r="K75" i="2"/>
  <c r="L75" i="2"/>
  <c r="G76" i="2"/>
  <c r="H76" i="2"/>
  <c r="I76" i="2"/>
  <c r="J76" i="2"/>
  <c r="K76" i="2"/>
  <c r="L76" i="2"/>
  <c r="G77" i="2"/>
  <c r="H77" i="2"/>
  <c r="I77" i="2"/>
  <c r="J77" i="2"/>
  <c r="K77" i="2"/>
  <c r="L77" i="2"/>
  <c r="G78" i="2"/>
  <c r="H78" i="2"/>
  <c r="I78" i="2"/>
  <c r="J78" i="2"/>
  <c r="K78" i="2"/>
  <c r="L78" i="2"/>
  <c r="G79" i="2"/>
  <c r="H79" i="2"/>
  <c r="I79" i="2"/>
  <c r="J79" i="2"/>
  <c r="K79" i="2"/>
  <c r="L79" i="2"/>
  <c r="G80" i="2"/>
  <c r="H80" i="2"/>
  <c r="I80" i="2"/>
  <c r="J80" i="2"/>
  <c r="K80" i="2"/>
  <c r="L80" i="2"/>
  <c r="G81" i="2"/>
  <c r="H81" i="2"/>
  <c r="I81" i="2"/>
  <c r="J81" i="2"/>
  <c r="K81" i="2"/>
  <c r="L81" i="2"/>
  <c r="G82" i="2"/>
  <c r="H82" i="2"/>
  <c r="I82" i="2"/>
  <c r="J82" i="2"/>
  <c r="K82" i="2"/>
  <c r="L82" i="2"/>
  <c r="G83" i="2"/>
  <c r="H83" i="2"/>
  <c r="I83" i="2"/>
  <c r="J83" i="2"/>
  <c r="K83" i="2"/>
  <c r="L83" i="2"/>
  <c r="G84" i="2"/>
  <c r="H84" i="2"/>
  <c r="I84" i="2"/>
  <c r="J84" i="2"/>
  <c r="K84" i="2"/>
  <c r="L84" i="2"/>
  <c r="G85" i="2"/>
  <c r="H85" i="2"/>
  <c r="I85" i="2"/>
  <c r="J85" i="2"/>
  <c r="K85" i="2"/>
  <c r="L85" i="2"/>
  <c r="G86" i="2"/>
  <c r="H86" i="2"/>
  <c r="I86" i="2"/>
  <c r="J86" i="2"/>
  <c r="K86" i="2"/>
  <c r="L86" i="2"/>
  <c r="G87" i="2"/>
  <c r="H87" i="2"/>
  <c r="I87" i="2"/>
  <c r="J87" i="2"/>
  <c r="K87" i="2"/>
  <c r="L87" i="2"/>
  <c r="G88" i="2"/>
  <c r="H88" i="2"/>
  <c r="I88" i="2"/>
  <c r="J88" i="2"/>
  <c r="K88" i="2"/>
  <c r="L88" i="2"/>
  <c r="G89" i="2"/>
  <c r="H89" i="2"/>
  <c r="I89" i="2"/>
  <c r="J89" i="2"/>
  <c r="K89" i="2"/>
  <c r="L89" i="2"/>
  <c r="G90" i="2"/>
  <c r="H90" i="2"/>
  <c r="I90" i="2"/>
  <c r="J90" i="2"/>
  <c r="K90" i="2"/>
  <c r="L90" i="2"/>
  <c r="G91" i="2"/>
  <c r="H91" i="2"/>
  <c r="I91" i="2"/>
  <c r="J91" i="2"/>
  <c r="K91" i="2"/>
  <c r="L91" i="2"/>
  <c r="G92" i="2"/>
  <c r="H92" i="2"/>
  <c r="I92" i="2"/>
  <c r="J92" i="2"/>
  <c r="K92" i="2"/>
  <c r="L92" i="2"/>
  <c r="G93" i="2"/>
  <c r="H93" i="2"/>
  <c r="I93" i="2"/>
  <c r="J93" i="2"/>
  <c r="K93" i="2"/>
  <c r="L93" i="2"/>
  <c r="G94" i="2"/>
  <c r="H94" i="2"/>
  <c r="I94" i="2"/>
  <c r="J94" i="2"/>
  <c r="K94" i="2"/>
  <c r="L94" i="2"/>
  <c r="G95" i="2"/>
  <c r="H95" i="2"/>
  <c r="I95" i="2"/>
  <c r="J95" i="2"/>
  <c r="K95" i="2"/>
  <c r="L95" i="2"/>
  <c r="G96" i="2"/>
  <c r="H96" i="2"/>
  <c r="I96" i="2"/>
  <c r="J96" i="2"/>
  <c r="K96" i="2"/>
  <c r="L96" i="2"/>
  <c r="G97" i="2"/>
  <c r="H97" i="2"/>
  <c r="I97" i="2"/>
  <c r="J97" i="2"/>
  <c r="K97" i="2"/>
  <c r="L97" i="2"/>
  <c r="G98" i="2"/>
  <c r="H98" i="2"/>
  <c r="I98" i="2"/>
  <c r="J98" i="2"/>
  <c r="K98" i="2"/>
  <c r="L98" i="2"/>
  <c r="G99" i="2"/>
  <c r="H99" i="2"/>
  <c r="I99" i="2"/>
  <c r="J99" i="2"/>
  <c r="K99" i="2"/>
  <c r="L99" i="2"/>
  <c r="G100" i="2"/>
  <c r="H100" i="2"/>
  <c r="I100" i="2"/>
  <c r="J100" i="2"/>
  <c r="K100" i="2"/>
  <c r="L100" i="2"/>
  <c r="G101" i="2"/>
  <c r="H101" i="2"/>
  <c r="I101" i="2"/>
  <c r="J101" i="2"/>
  <c r="K101" i="2"/>
  <c r="L101" i="2"/>
  <c r="G102" i="2"/>
  <c r="H102" i="2"/>
  <c r="I102" i="2"/>
  <c r="J102" i="2"/>
  <c r="K102" i="2"/>
  <c r="L102" i="2"/>
  <c r="G103" i="2"/>
  <c r="H103" i="2"/>
  <c r="I103" i="2"/>
  <c r="J103" i="2"/>
  <c r="K103" i="2"/>
  <c r="L103" i="2"/>
  <c r="G104" i="2"/>
  <c r="H104" i="2"/>
  <c r="I104" i="2"/>
  <c r="J104" i="2"/>
  <c r="K104" i="2"/>
  <c r="L104" i="2"/>
  <c r="G105" i="2"/>
  <c r="H105" i="2"/>
  <c r="I105" i="2"/>
  <c r="J105" i="2"/>
  <c r="K105" i="2"/>
  <c r="L105" i="2"/>
  <c r="G106" i="2"/>
  <c r="H106" i="2"/>
  <c r="I106" i="2"/>
  <c r="J106" i="2"/>
  <c r="K106" i="2"/>
  <c r="L106" i="2"/>
  <c r="G107" i="2"/>
  <c r="H107" i="2"/>
  <c r="I107" i="2"/>
  <c r="J107" i="2"/>
  <c r="K107" i="2"/>
  <c r="L107" i="2"/>
  <c r="G108" i="2"/>
  <c r="H108" i="2"/>
  <c r="I108" i="2"/>
  <c r="J108" i="2"/>
  <c r="K108" i="2"/>
  <c r="L108" i="2"/>
  <c r="G109" i="2"/>
  <c r="H109" i="2"/>
  <c r="I109" i="2"/>
  <c r="J109" i="2"/>
  <c r="K109" i="2"/>
  <c r="L109" i="2"/>
  <c r="G110" i="2"/>
  <c r="H110" i="2"/>
  <c r="I110" i="2"/>
  <c r="J110" i="2"/>
  <c r="K110" i="2"/>
  <c r="L110" i="2"/>
  <c r="G111" i="2"/>
  <c r="H111" i="2"/>
  <c r="I111" i="2"/>
  <c r="J111" i="2"/>
  <c r="K111" i="2"/>
  <c r="L111" i="2"/>
  <c r="G112" i="2"/>
  <c r="H112" i="2"/>
  <c r="I112" i="2"/>
  <c r="J112" i="2"/>
  <c r="K112" i="2"/>
  <c r="L112" i="2"/>
  <c r="G113" i="2"/>
  <c r="H113" i="2"/>
  <c r="I113" i="2"/>
  <c r="J113" i="2"/>
  <c r="K113" i="2"/>
  <c r="L113" i="2"/>
  <c r="G114" i="2"/>
  <c r="H114" i="2"/>
  <c r="I114" i="2"/>
  <c r="J114" i="2"/>
  <c r="K114" i="2"/>
  <c r="L114" i="2"/>
  <c r="G115" i="2"/>
  <c r="H115" i="2"/>
  <c r="I115" i="2"/>
  <c r="J115" i="2"/>
  <c r="K115" i="2"/>
  <c r="L115" i="2"/>
  <c r="G116" i="2"/>
  <c r="H116" i="2"/>
  <c r="I116" i="2"/>
  <c r="J116" i="2"/>
  <c r="K116" i="2"/>
  <c r="L116" i="2"/>
  <c r="G117" i="2"/>
  <c r="H117" i="2"/>
  <c r="I117" i="2"/>
  <c r="J117" i="2"/>
  <c r="K117" i="2"/>
  <c r="L117" i="2"/>
  <c r="G118" i="2"/>
  <c r="H118" i="2"/>
  <c r="I118" i="2"/>
  <c r="J118" i="2"/>
  <c r="K118" i="2"/>
  <c r="L118" i="2"/>
  <c r="G119" i="2"/>
  <c r="H119" i="2"/>
  <c r="I119" i="2"/>
  <c r="J119" i="2"/>
  <c r="K119" i="2"/>
  <c r="L119" i="2"/>
  <c r="G120" i="2"/>
  <c r="H120" i="2"/>
  <c r="I120" i="2"/>
  <c r="J120" i="2"/>
  <c r="K120" i="2"/>
  <c r="L120" i="2"/>
  <c r="G121" i="2"/>
  <c r="H121" i="2"/>
  <c r="I121" i="2"/>
  <c r="J121" i="2"/>
  <c r="K121" i="2"/>
  <c r="L121" i="2"/>
  <c r="G122" i="2"/>
  <c r="H122" i="2"/>
  <c r="I122" i="2"/>
  <c r="J122" i="2"/>
  <c r="K122" i="2"/>
  <c r="L122" i="2"/>
  <c r="G123" i="2"/>
  <c r="H123" i="2"/>
  <c r="I123" i="2"/>
  <c r="J123" i="2"/>
  <c r="K123" i="2"/>
  <c r="L123" i="2"/>
  <c r="G124" i="2"/>
  <c r="H124" i="2"/>
  <c r="I124" i="2"/>
  <c r="J124" i="2"/>
  <c r="K124" i="2"/>
  <c r="L124" i="2"/>
  <c r="G125" i="2"/>
  <c r="H125" i="2"/>
  <c r="I125" i="2"/>
  <c r="J125" i="2"/>
  <c r="K125" i="2"/>
  <c r="L125" i="2"/>
  <c r="G126" i="2"/>
  <c r="H126" i="2"/>
  <c r="I126" i="2"/>
  <c r="J126" i="2"/>
  <c r="K126" i="2"/>
  <c r="L126" i="2"/>
  <c r="G127" i="2"/>
  <c r="H127" i="2"/>
  <c r="I127" i="2"/>
  <c r="J127" i="2"/>
  <c r="K127" i="2"/>
  <c r="L127" i="2"/>
  <c r="G128" i="2"/>
  <c r="H128" i="2"/>
  <c r="I128" i="2"/>
  <c r="J128" i="2"/>
  <c r="K128" i="2"/>
  <c r="L128" i="2"/>
  <c r="G129" i="2"/>
  <c r="H129" i="2"/>
  <c r="I129" i="2"/>
  <c r="J129" i="2"/>
  <c r="K129" i="2"/>
  <c r="L129" i="2"/>
  <c r="G130" i="2"/>
  <c r="H130" i="2"/>
  <c r="I130" i="2"/>
  <c r="J130" i="2"/>
  <c r="K130" i="2"/>
  <c r="L130" i="2"/>
  <c r="G131" i="2"/>
  <c r="H131" i="2"/>
  <c r="I131" i="2"/>
  <c r="J131" i="2"/>
  <c r="K131" i="2"/>
  <c r="L131" i="2"/>
  <c r="G132" i="2"/>
  <c r="H132" i="2"/>
  <c r="I132" i="2"/>
  <c r="J132" i="2"/>
  <c r="K132" i="2"/>
  <c r="L132" i="2"/>
  <c r="G133" i="2"/>
  <c r="H133" i="2"/>
  <c r="I133" i="2"/>
  <c r="J133" i="2"/>
  <c r="K133" i="2"/>
  <c r="L133" i="2"/>
  <c r="G134" i="2"/>
  <c r="H134" i="2"/>
  <c r="I134" i="2"/>
  <c r="J134" i="2"/>
  <c r="K134" i="2"/>
  <c r="L134" i="2"/>
  <c r="G41" i="1" l="1"/>
  <c r="G40" i="1"/>
  <c r="F40" i="1"/>
  <c r="F41" i="1"/>
  <c r="F38" i="1"/>
  <c r="H41" i="1"/>
  <c r="E40" i="1" l="1"/>
  <c r="H40" i="1" l="1"/>
  <c r="F39" i="1"/>
  <c r="E41" i="1"/>
  <c r="E39" i="1"/>
  <c r="D41" i="1"/>
  <c r="D39" i="1"/>
  <c r="D40" i="1"/>
  <c r="E38" i="1"/>
  <c r="C40" i="1"/>
  <c r="E42" i="1" l="1"/>
  <c r="C41" i="1"/>
  <c r="C38" i="1"/>
  <c r="C39" i="1"/>
  <c r="G39" i="1"/>
  <c r="D38" i="1"/>
  <c r="G38" i="1"/>
  <c r="H38" i="1"/>
  <c r="H39" i="1"/>
  <c r="H42" i="1" l="1"/>
  <c r="G42" i="1"/>
  <c r="F42" i="1"/>
  <c r="C42" i="1"/>
  <c r="D42" i="1"/>
  <c r="P26" i="1"/>
  <c r="Q22" i="1"/>
  <c r="Q24" i="1"/>
  <c r="P27" i="1"/>
  <c r="Q25" i="1"/>
  <c r="P23" i="1"/>
  <c r="P25" i="1"/>
  <c r="Q23" i="1"/>
  <c r="Q27" i="1"/>
  <c r="Q26" i="1"/>
  <c r="P22" i="1"/>
  <c r="P2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4" refreshedVersion="6" background="1" saveData="1">
    <webPr sourceData="1" parsePre="1" consecutive="1" xl2000="1" url="https://www.commcarehq.org/a/demo-18/data/export/custom/dailysaved/download/416ace15f2b2ef52ef96a7dc07a54d08"/>
  </connection>
  <connection id="2" xr16:uid="{00000000-0015-0000-FFFF-FFFF01000000}" name="Connection1" type="4" refreshedVersion="6" background="1" saveData="1">
    <webPr sourceData="1" parsePre="1" consecutive="1" xl2000="1" url="https://www.commcarehq.org/a/demo-18/data/export/custom/dailysaved/download/052bba30ef7c4a50173ad7c4706349ed"/>
  </connection>
  <connection id="3" xr16:uid="{00000000-0015-0000-FFFF-FFFF02000000}" name="Connection2" type="4" refreshedVersion="6" background="1" saveData="1">
    <webPr sourceData="1" parsePre="1" consecutive="1" xl2000="1" url="https://www.commcarehq.org/a/demo-18/data/export/custom/dailysaved/download/416ace15f2b2ef52ef96a7dc07d2d3ab"/>
  </connection>
  <connection id="4" xr16:uid="{00000000-0015-0000-FFFF-FFFF03000000}" name="Connection3" type="4" refreshedVersion="6" background="1" saveData="1">
    <webPr sourceData="1" parsePre="1" consecutive="1" xl2000="1" url="https://www.commcarehq.org/a/demo-18/data/export/custom/dailysaved/download/564675ae8da135912017e0f52f29f31c"/>
  </connection>
  <connection id="5" xr16:uid="{00000000-0015-0000-FFFF-FFFF04000000}" name="Connection4" type="4" refreshedVersion="6" background="1" saveData="1">
    <webPr sourceData="1" parsePre="1" consecutive="1" xl2000="1" url="https://www.commcarehq.org/a/demo-18/data/export/custom/dailysaved/download/564675ae8da135912017e0f52f3c24d3"/>
  </connection>
  <connection id="6" xr16:uid="{00000000-0015-0000-FFFF-FFFF05000000}" name="Connection5" type="4" refreshedVersion="6" background="1" saveData="1">
    <webPr sourceData="1" parsePre="1" consecutive="1" xl2000="1" url="https://www.commcarehq.org/a/demo-18/data/export/custom/dailysaved/download/7204c1c4084fa8fde8b7cf5258683311"/>
  </connection>
  <connection id="7" xr16:uid="{00000000-0015-0000-FFFF-FFFF06000000}" name="Connection6" type="4" refreshedVersion="6" background="1" saveData="1">
    <webPr sourceData="1" parsePre="1" consecutive="1" xl2000="1" url="https://www.commcarehq.org/a/demo-18/data/export/custom/dailysaved/download/710740add87172a710c4cb00e9f8fee9"/>
  </connection>
</connections>
</file>

<file path=xl/sharedStrings.xml><?xml version="1.0" encoding="utf-8"?>
<sst xmlns="http://schemas.openxmlformats.org/spreadsheetml/2006/main" count="7724" uniqueCount="1814">
  <si>
    <t>6D</t>
  </si>
  <si>
    <t>Study ID</t>
  </si>
  <si>
    <t>Who Issued UFC</t>
  </si>
  <si>
    <t>Date Form Filed</t>
  </si>
  <si>
    <t>ENV</t>
  </si>
  <si>
    <t>Why SEARCH</t>
  </si>
  <si>
    <t>Weight (kg)</t>
  </si>
  <si>
    <t>Front UFC</t>
  </si>
  <si>
    <t>Back UFC</t>
  </si>
  <si>
    <t>Left</t>
  </si>
  <si>
    <t>Left_30</t>
  </si>
  <si>
    <t>Right</t>
  </si>
  <si>
    <t>Right_30</t>
  </si>
  <si>
    <t>Time Completed</t>
  </si>
  <si>
    <t>Time Started</t>
  </si>
  <si>
    <t>Data Collector</t>
  </si>
  <si>
    <t>Date Recieved</t>
  </si>
  <si>
    <t>form_link</t>
  </si>
  <si>
    <t>formid</t>
  </si>
  <si>
    <t>6D9</t>
  </si>
  <si>
    <t>SEARCH</t>
  </si>
  <si>
    <t>clinic_ran_out_of_cards</t>
  </si>
  <si>
    <t>papias</t>
  </si>
  <si>
    <t>https://www.commcarehq.org/a/demo-18/reports/form_data/a87c69ec-c2a7-4ae2-8a17-325cd8867bf1/</t>
  </si>
  <si>
    <t>a87c69ec-c2a7-4ae2-8a17-325cd8867bf1</t>
  </si>
  <si>
    <t>6D14</t>
  </si>
  <si>
    <t>https://www.commcarehq.org/a/demo-18/reports/form_data/1fd9bfe5-7604-4203-8da7-36ea943256f8/</t>
  </si>
  <si>
    <t>1fd9bfe5-7604-4203-8da7-36ea943256f8</t>
  </si>
  <si>
    <t>6D15</t>
  </si>
  <si>
    <t>https://www.commcarehq.org/a/demo-18/reports/form_data/82bdbd8e-9aac-4b69-8273-7021f61ca109/</t>
  </si>
  <si>
    <t>82bdbd8e-9aac-4b69-8273-7021f61ca109</t>
  </si>
  <si>
    <t>6D12</t>
  </si>
  <si>
    <t>arnold</t>
  </si>
  <si>
    <t>https://www.commcarehq.org/a/demo-18/reports/form_data/2ac9befa-0601-4595-80af-acb856411929/</t>
  </si>
  <si>
    <t>2ac9befa-0601-4595-80af-acb856411929</t>
  </si>
  <si>
    <t>6D23</t>
  </si>
  <si>
    <t>https://www.commcarehq.org/a/demo-18/reports/form_data/1daedf5f-1c50-4ff0-a60d-8a856f2cb3fa/</t>
  </si>
  <si>
    <t>1daedf5f-1c50-4ff0-a60d-8a856f2cb3fa</t>
  </si>
  <si>
    <t>6D25</t>
  </si>
  <si>
    <t>https://www.commcarehq.org/a/demo-18/reports/form_data/f7099ec0-9da6-4ad5-9762-0ad6cfcc8892/</t>
  </si>
  <si>
    <t>f7099ec0-9da6-4ad5-9762-0ad6cfcc8892</t>
  </si>
  <si>
    <t>6D52</t>
  </si>
  <si>
    <t>https://www.commcarehq.org/a/demo-18/reports/form_data/c489ef63-68e4-4192-a6cb-e5b9019c22d8/</t>
  </si>
  <si>
    <t>c489ef63-68e4-4192-a6cb-e5b9019c22d8</t>
  </si>
  <si>
    <t>6D53</t>
  </si>
  <si>
    <t>https://www.commcarehq.org/a/demo-18/reports/form_data/b9f9d039-ed58-4944-b117-278fb59dac9d/</t>
  </si>
  <si>
    <t>b9f9d039-ed58-4944-b117-278fb59dac9d</t>
  </si>
  <si>
    <t>6D54</t>
  </si>
  <si>
    <t>https://www.commcarehq.org/a/demo-18/reports/form_data/e3ec82e9-09bd-4340-93d3-0d39dd6cdca3/</t>
  </si>
  <si>
    <t>e3ec82e9-09bd-4340-93d3-0d39dd6cdca3</t>
  </si>
  <si>
    <t>6D57</t>
  </si>
  <si>
    <t>https://www.commcarehq.org/a/demo-18/reports/form_data/3e74e463-d92b-437a-963e-902c180d44e5/</t>
  </si>
  <si>
    <t>3e74e463-d92b-437a-963e-902c180d44e5</t>
  </si>
  <si>
    <t>6D49</t>
  </si>
  <si>
    <t>https://www.commcarehq.org/a/demo-18/reports/form_data/c6e80f00-bcfd-43a9-b7e4-add207f8504d/</t>
  </si>
  <si>
    <t>c6e80f00-bcfd-43a9-b7e4-add207f8504d</t>
  </si>
  <si>
    <t>6D47</t>
  </si>
  <si>
    <t>https://www.commcarehq.org/a/demo-18/reports/form_data/56586ad5-97e4-4622-8b4f-a9420384ef01/</t>
  </si>
  <si>
    <t>56586ad5-97e4-4622-8b4f-a9420384ef01</t>
  </si>
  <si>
    <t>6D80</t>
  </si>
  <si>
    <t>https://www.commcarehq.org/a/demo-18/reports/form_data/edd7f6db-6127-49f3-8efb-6b8f171bbd21/</t>
  </si>
  <si>
    <t>edd7f6db-6127-49f3-8efb-6b8f171bbd21</t>
  </si>
  <si>
    <t>6D33</t>
  </si>
  <si>
    <t>https://www.commcarehq.org/a/demo-18/reports/form_data/1aa70d0f-df3c-42b8-88bb-ca5ef091904e/</t>
  </si>
  <si>
    <t>1aa70d0f-df3c-42b8-88bb-ca5ef091904e</t>
  </si>
  <si>
    <t>6D65</t>
  </si>
  <si>
    <t>https://www.commcarehq.org/a/demo-18/reports/form_data/9ca6c974-37e8-4030-a14a-7de1881a395b/</t>
  </si>
  <si>
    <t>9ca6c974-37e8-4030-a14a-7de1881a395b</t>
  </si>
  <si>
    <t>6D68</t>
  </si>
  <si>
    <t>https://www.commcarehq.org/a/demo-18/reports/form_data/3b0d1f06-24dd-481d-8081-ca882d8cb81a/</t>
  </si>
  <si>
    <t>3b0d1f06-24dd-481d-8081-ca882d8cb81a</t>
  </si>
  <si>
    <t>6D86</t>
  </si>
  <si>
    <t>https://www.commcarehq.org/a/demo-18/reports/form_data/b8722b5e-6465-4311-b8ff-353159d8e5de/</t>
  </si>
  <si>
    <t>b8722b5e-6465-4311-b8ff-353159d8e5de</t>
  </si>
  <si>
    <t>6D102</t>
  </si>
  <si>
    <t>https://www.commcarehq.org/a/demo-18/reports/form_data/887c1f63-8136-4a71-8d33-07ae369ec420/</t>
  </si>
  <si>
    <t>887c1f63-8136-4a71-8d33-07ae369ec420</t>
  </si>
  <si>
    <t>6D106</t>
  </si>
  <si>
    <t>https://www.commcarehq.org/a/demo-18/reports/form_data/b22ac502-8cd5-4364-922e-84920c5d717a/</t>
  </si>
  <si>
    <t>b22ac502-8cd5-4364-922e-84920c5d717a</t>
  </si>
  <si>
    <t>14W68</t>
  </si>
  <si>
    <t>https://www.commcarehq.org/a/demo-18/reports/form_data/08af5e4c-c33e-4480-9bbe-dd1ead8b8dbf/</t>
  </si>
  <si>
    <t>08af5e4c-c33e-4480-9bbe-dd1ead8b8dbf</t>
  </si>
  <si>
    <t>6D123</t>
  </si>
  <si>
    <t>https://www.commcarehq.org/a/demo-18/reports/form_data/c5edcb7e-2959-44af-9fbd-0409293ff305/</t>
  </si>
  <si>
    <t>c5edcb7e-2959-44af-9fbd-0409293ff305</t>
  </si>
  <si>
    <t>6D124</t>
  </si>
  <si>
    <t>https://www.commcarehq.org/a/demo-18/reports/form_data/bc15a362-65f8-4c6a-a677-89a8366f9e68/</t>
  </si>
  <si>
    <t>bc15a362-65f8-4c6a-a677-89a8366f9e68</t>
  </si>
  <si>
    <t>6D132</t>
  </si>
  <si>
    <t>https://www.commcarehq.org/a/demo-18/reports/form_data/f36fce4f-5c44-4760-a54e-08d903c243a6/</t>
  </si>
  <si>
    <t>f36fce4f-5c44-4760-a54e-08d903c243a6</t>
  </si>
  <si>
    <t>6D8</t>
  </si>
  <si>
    <t>https://www.commcarehq.org/a/demo-18/reports/form_data/e2991f7c-4e6c-4d08-aee3-5b24c3e6913a/</t>
  </si>
  <si>
    <t>e2991f7c-4e6c-4d08-aee3-5b24c3e6913a</t>
  </si>
  <si>
    <t>6D118</t>
  </si>
  <si>
    <t>https://www.commcarehq.org/a/demo-18/reports/form_data/b6a1d34a-29b2-45e3-90ff-0cc251a2df9d/</t>
  </si>
  <si>
    <t>b6a1d34a-29b2-45e3-90ff-0cc251a2df9d</t>
  </si>
  <si>
    <t>6D117</t>
  </si>
  <si>
    <t>https://www.commcarehq.org/a/demo-18/reports/form_data/e24572e9-0128-448d-838d-b3347985ce01/</t>
  </si>
  <si>
    <t>e24572e9-0128-448d-838d-b3347985ce01</t>
  </si>
  <si>
    <t>6D145</t>
  </si>
  <si>
    <t>https://www.commcarehq.org/a/demo-18/reports/form_data/1f76721b-d454-4d67-ba4f-90b2283363d2/</t>
  </si>
  <si>
    <t>1f76721b-d454-4d67-ba4f-90b2283363d2</t>
  </si>
  <si>
    <t>6D28</t>
  </si>
  <si>
    <t>https://www.commcarehq.org/a/demo-18/reports/form_data/4d1c7c1b-f5d4-4b4b-bc7a-6321a2918408/</t>
  </si>
  <si>
    <t>4d1c7c1b-f5d4-4b4b-bc7a-6321a2918408</t>
  </si>
  <si>
    <t>6D16</t>
  </si>
  <si>
    <t>https://www.commcarehq.org/a/demo-18/reports/form_data/2ea58b96-c7a8-458a-aaf0-c6e3ba9c576e/</t>
  </si>
  <si>
    <t>2ea58b96-c7a8-458a-aaf0-c6e3ba9c576e</t>
  </si>
  <si>
    <t>6D17</t>
  </si>
  <si>
    <t>https://www.commcarehq.org/a/demo-18/reports/form_data/d3b325ea-2e9b-4718-9aac-f137d12d71d5/</t>
  </si>
  <si>
    <t>d3b325ea-2e9b-4718-9aac-f137d12d71d5</t>
  </si>
  <si>
    <t>6D13</t>
  </si>
  <si>
    <t>https://www.commcarehq.org/a/demo-18/reports/form_data/02b1b6f5-f6ad-44cb-b7b5-68311d6e965a/</t>
  </si>
  <si>
    <t>02b1b6f5-f6ad-44cb-b7b5-68311d6e965a</t>
  </si>
  <si>
    <t>6D5</t>
  </si>
  <si>
    <t>https://www.commcarehq.org/a/demo-18/reports/form_data/08705d85-eae2-42e0-bb77-5efb4e7e5420/</t>
  </si>
  <si>
    <t>08705d85-eae2-42e0-bb77-5efb4e7e5420</t>
  </si>
  <si>
    <t>6D48</t>
  </si>
  <si>
    <t>https://www.commcarehq.org/a/demo-18/reports/form_data/621bf7d3-ff20-420e-92f7-f7a412cb1682/</t>
  </si>
  <si>
    <t>621bf7d3-ff20-420e-92f7-f7a412cb1682</t>
  </si>
  <si>
    <t>6D60</t>
  </si>
  <si>
    <t>https://www.commcarehq.org/a/demo-18/reports/form_data/3642c162-8e61-4461-8d2c-e0ef8685106f/</t>
  </si>
  <si>
    <t>3642c162-8e61-4461-8d2c-e0ef8685106f</t>
  </si>
  <si>
    <t>6D66</t>
  </si>
  <si>
    <t>https://www.commcarehq.org/a/demo-18/reports/form_data/0394057b-79a3-46da-ac49-80b3ca1b1682/</t>
  </si>
  <si>
    <t>0394057b-79a3-46da-ac49-80b3ca1b1682</t>
  </si>
  <si>
    <t>6D37</t>
  </si>
  <si>
    <t>https://www.commcarehq.org/a/demo-18/reports/form_data/3a6ee164-46f2-4216-b190-26e84f58fdb9/</t>
  </si>
  <si>
    <t>3a6ee164-46f2-4216-b190-26e84f58fdb9</t>
  </si>
  <si>
    <t>6D40</t>
  </si>
  <si>
    <t>https://www.commcarehq.org/a/demo-18/reports/form_data/92899205-88b0-42e0-9cc9-b3d3b4426761/</t>
  </si>
  <si>
    <t>92899205-88b0-42e0-9cc9-b3d3b4426761</t>
  </si>
  <si>
    <t>6D44</t>
  </si>
  <si>
    <t>https://www.commcarehq.org/a/demo-18/reports/form_data/33e5be6e-6fce-4ebc-a354-b5715f23bb85/</t>
  </si>
  <si>
    <t>33e5be6e-6fce-4ebc-a354-b5715f23bb85</t>
  </si>
  <si>
    <t>6D76</t>
  </si>
  <si>
    <t>https://www.commcarehq.org/a/demo-18/reports/form_data/c4917aa6-ea0e-4286-8343-9c4e15633bcc/</t>
  </si>
  <si>
    <t>c4917aa6-ea0e-4286-8343-9c4e15633bcc</t>
  </si>
  <si>
    <t>6D78</t>
  </si>
  <si>
    <t>https://www.commcarehq.org/a/demo-18/reports/form_data/03cc66b2-7ecd-4042-86b2-5c139789f1fc/</t>
  </si>
  <si>
    <t>03cc66b2-7ecd-4042-86b2-5c139789f1fc</t>
  </si>
  <si>
    <t>6D74</t>
  </si>
  <si>
    <t>https://www.commcarehq.org/a/demo-18/reports/form_data/e5f178d7-bc2b-496d-81eb-130812f2c5e8/</t>
  </si>
  <si>
    <t>e5f178d7-bc2b-496d-81eb-130812f2c5e8</t>
  </si>
  <si>
    <t>6D92</t>
  </si>
  <si>
    <t>https://www.commcarehq.org/a/demo-18/reports/form_data/9d0b5e82-7fa1-43a9-ae64-ee092a0f5c2c/</t>
  </si>
  <si>
    <t>9d0b5e82-7fa1-43a9-ae64-ee092a0f5c2c</t>
  </si>
  <si>
    <t>6D94</t>
  </si>
  <si>
    <t>https://www.commcarehq.org/a/demo-18/reports/form_data/908cbd7b-d1c3-4b49-a2e4-45a13975ab9a/</t>
  </si>
  <si>
    <t>908cbd7b-d1c3-4b49-a2e4-45a13975ab9a</t>
  </si>
  <si>
    <t>6D122</t>
  </si>
  <si>
    <t>https://www.commcarehq.org/a/demo-18/reports/form_data/b6bba848-e4ef-49e7-9ba7-3a6c66c4fd9c/</t>
  </si>
  <si>
    <t>b6bba848-e4ef-49e7-9ba7-3a6c66c4fd9c</t>
  </si>
  <si>
    <t>6D109</t>
  </si>
  <si>
    <t>https://www.commcarehq.org/a/demo-18/reports/form_data/e9c79f76-5854-4a00-8fe3-e70838850341/</t>
  </si>
  <si>
    <t>e9c79f76-5854-4a00-8fe3-e70838850341</t>
  </si>
  <si>
    <t>6D111</t>
  </si>
  <si>
    <t>https://www.commcarehq.org/a/demo-18/reports/form_data/0b2d9cbb-e315-4eb2-b7ec-4217418a78b1/</t>
  </si>
  <si>
    <t>0b2d9cbb-e315-4eb2-b7ec-4217418a78b1</t>
  </si>
  <si>
    <t>6D103</t>
  </si>
  <si>
    <t>https://www.commcarehq.org/a/demo-18/reports/form_data/e0b524e8-16ac-4fa7-aa0f-f33f5b5f9bd3/</t>
  </si>
  <si>
    <t>e0b524e8-16ac-4fa7-aa0f-f33f5b5f9bd3</t>
  </si>
  <si>
    <t>https://www.commcarehq.org/a/demo-18/reports/form_data/0443b8f0-7bd8-4305-b71c-c000432e3c3c/</t>
  </si>
  <si>
    <t>0443b8f0-7bd8-4305-b71c-c000432e3c3c</t>
  </si>
  <si>
    <t>6D133</t>
  </si>
  <si>
    <t>https://www.commcarehq.org/a/demo-18/reports/form_data/d16dc1da-0c54-4f27-9642-10edf5f575cd/</t>
  </si>
  <si>
    <t>d16dc1da-0c54-4f27-9642-10edf5f575cd</t>
  </si>
  <si>
    <t>6D139</t>
  </si>
  <si>
    <t>https://www.commcarehq.org/a/demo-18/reports/form_data/09cd8574-3931-425a-a61c-e046ec9b09c3/</t>
  </si>
  <si>
    <t>09cd8574-3931-425a-a61c-e046ec9b09c3</t>
  </si>
  <si>
    <t>6D121</t>
  </si>
  <si>
    <t>https://www.commcarehq.org/a/demo-18/reports/form_data/6b673da7-4c8c-4a68-8248-4387fe8b7792/</t>
  </si>
  <si>
    <t>6b673da7-4c8c-4a68-8248-4387fe8b7792</t>
  </si>
  <si>
    <t>6D64</t>
  </si>
  <si>
    <t>https://www.commcarehq.org/a/demo-18/reports/form_data/1db10cb3-36fa-4896-a236-fe0e94a21875/</t>
  </si>
  <si>
    <t>1db10cb3-36fa-4896-a236-fe0e94a21875</t>
  </si>
  <si>
    <t>6D83</t>
  </si>
  <si>
    <t>https://www.commcarehq.org/a/demo-18/reports/form_data/b1fb78b2-5bf5-4ad5-a52d-a4dc82ab8ccc/</t>
  </si>
  <si>
    <t>b1fb78b2-5bf5-4ad5-a52d-a4dc82ab8ccc</t>
  </si>
  <si>
    <t>6D89</t>
  </si>
  <si>
    <t>https://www.commcarehq.org/a/demo-18/reports/form_data/3ab1ddee-54de-48ac-bd62-18bc4eaaabe5/</t>
  </si>
  <si>
    <t>3ab1ddee-54de-48ac-bd62-18bc4eaaabe5</t>
  </si>
  <si>
    <t>6D88</t>
  </si>
  <si>
    <t>https://www.commcarehq.org/a/demo-18/reports/form_data/fa79a313-422b-4279-8d09-9dc5f8fabfd1/</t>
  </si>
  <si>
    <t>fa79a313-422b-4279-8d09-9dc5f8fabfd1</t>
  </si>
  <si>
    <t>6D71</t>
  </si>
  <si>
    <t>https://www.commcarehq.org/a/demo-18/reports/form_data/ec7a9232-5180-4c13-b02e-43005d96d779/</t>
  </si>
  <si>
    <t>ec7a9232-5180-4c13-b02e-43005d96d779</t>
  </si>
  <si>
    <t>6D69</t>
  </si>
  <si>
    <t>https://www.commcarehq.org/a/demo-18/reports/form_data/7e60709d-8015-47d5-9743-438a9edc4f48/</t>
  </si>
  <si>
    <t>7e60709d-8015-47d5-9743-438a9edc4f48</t>
  </si>
  <si>
    <t>6D75</t>
  </si>
  <si>
    <t>https://www.commcarehq.org/a/demo-18/reports/form_data/59710c01-1a0b-4e18-9af3-6c7aa5dab3ca/</t>
  </si>
  <si>
    <t>59710c01-1a0b-4e18-9af3-6c7aa5dab3ca</t>
  </si>
  <si>
    <t>6D72</t>
  </si>
  <si>
    <t>https://www.commcarehq.org/a/demo-18/reports/form_data/ae6dee88-4ab8-4be8-b525-476f8ceec769/</t>
  </si>
  <si>
    <t>ae6dee88-4ab8-4be8-b525-476f8ceec769</t>
  </si>
  <si>
    <t>6D11</t>
  </si>
  <si>
    <t>https://www.commcarehq.org/a/demo-18/reports/form_data/5ee3944e-d41c-4d98-8555-68a3cd0d1016/</t>
  </si>
  <si>
    <t>5ee3944e-d41c-4d98-8555-68a3cd0d1016</t>
  </si>
  <si>
    <t>6D34</t>
  </si>
  <si>
    <t>https://www.commcarehq.org/a/demo-18/reports/form_data/119f5269-ddd9-460d-ad72-9e0a49d6eb7f/</t>
  </si>
  <si>
    <t>119f5269-ddd9-460d-ad72-9e0a49d6eb7f</t>
  </si>
  <si>
    <t>6D38</t>
  </si>
  <si>
    <t>https://www.commcarehq.org/a/demo-18/reports/form_data/d4fe53cd-d910-4f76-a90a-167af6599d73/</t>
  </si>
  <si>
    <t>d4fe53cd-d910-4f76-a90a-167af6599d73</t>
  </si>
  <si>
    <t>6D41</t>
  </si>
  <si>
    <t>https://www.commcarehq.org/a/demo-18/reports/form_data/bec12539-3798-4494-a584-d3e606a9c4cd/</t>
  </si>
  <si>
    <t>bec12539-3798-4494-a584-d3e606a9c4cd</t>
  </si>
  <si>
    <t>6D42</t>
  </si>
  <si>
    <t>https://www.commcarehq.org/a/demo-18/reports/form_data/66e893f6-240b-4095-8534-1669f090e08e/</t>
  </si>
  <si>
    <t>66e893f6-240b-4095-8534-1669f090e08e</t>
  </si>
  <si>
    <t>6D50</t>
  </si>
  <si>
    <t>https://www.commcarehq.org/a/demo-18/reports/form_data/d17f18fe-8915-4d0b-b368-60ed9af7b4db/</t>
  </si>
  <si>
    <t>d17f18fe-8915-4d0b-b368-60ed9af7b4db</t>
  </si>
  <si>
    <t>6D56</t>
  </si>
  <si>
    <t>https://www.commcarehq.org/a/demo-18/reports/form_data/6153ffc4-41e4-43a3-85bc-80d598d31fee/</t>
  </si>
  <si>
    <t>6153ffc4-41e4-43a3-85bc-80d598d31fee</t>
  </si>
  <si>
    <t>6D27</t>
  </si>
  <si>
    <t>https://www.commcarehq.org/a/demo-18/reports/form_data/fc32c3a1-6398-41ed-9afb-3007f0b32bcb/</t>
  </si>
  <si>
    <t>fc32c3a1-6398-41ed-9afb-3007f0b32bcb</t>
  </si>
  <si>
    <t>6D90</t>
  </si>
  <si>
    <t>https://www.commcarehq.org/a/demo-18/reports/form_data/f2fdcec5-ffa2-4370-bdb6-e69e5e691f2b/</t>
  </si>
  <si>
    <t>f2fdcec5-ffa2-4370-bdb6-e69e5e691f2b</t>
  </si>
  <si>
    <t>6D91</t>
  </si>
  <si>
    <t>https://www.commcarehq.org/a/demo-18/reports/form_data/634ca22d-c25b-4cd6-954a-d572b11cc6c2/</t>
  </si>
  <si>
    <t>634ca22d-c25b-4cd6-954a-d572b11cc6c2</t>
  </si>
  <si>
    <t>6D112</t>
  </si>
  <si>
    <t>https://www.commcarehq.org/a/demo-18/reports/form_data/dfe34bf7-d790-40b5-9b1f-b13f2a86ad8c/</t>
  </si>
  <si>
    <t>dfe34bf7-d790-40b5-9b1f-b13f2a86ad8c</t>
  </si>
  <si>
    <t>6D108</t>
  </si>
  <si>
    <t>https://www.commcarehq.org/a/demo-18/reports/form_data/20611d92-a462-41d1-8bfd-ffc207ebec16/</t>
  </si>
  <si>
    <t>20611d92-a462-41d1-8bfd-ffc207ebec16</t>
  </si>
  <si>
    <t>6D95</t>
  </si>
  <si>
    <t>https://www.commcarehq.org/a/demo-18/reports/form_data/cfc99802-957a-4020-911b-46faaab09e78/</t>
  </si>
  <si>
    <t>cfc99802-957a-4020-911b-46faaab09e78</t>
  </si>
  <si>
    <t>6D119</t>
  </si>
  <si>
    <t>https://www.commcarehq.org/a/demo-18/reports/form_data/ff4217bb-c392-433b-9f3f-646b4f3dbd5b/</t>
  </si>
  <si>
    <t>ff4217bb-c392-433b-9f3f-646b4f3dbd5b</t>
  </si>
  <si>
    <t>6D116</t>
  </si>
  <si>
    <t>https://www.commcarehq.org/a/demo-18/reports/form_data/7110e7c7-892d-4bc2-89db-d1d50a0a815c/</t>
  </si>
  <si>
    <t>7110e7c7-892d-4bc2-89db-d1d50a0a815c</t>
  </si>
  <si>
    <t>6D141</t>
  </si>
  <si>
    <t>https://www.commcarehq.org/a/demo-18/reports/form_data/f7611ac2-1c6e-425d-bdb0-765685ba9cca/</t>
  </si>
  <si>
    <t>f7611ac2-1c6e-425d-bdb0-765685ba9cca</t>
  </si>
  <si>
    <t>6D137</t>
  </si>
  <si>
    <t>https://www.commcarehq.org/a/demo-18/reports/form_data/4425fa5e-e4df-490c-9ca3-51fb995f68b9/</t>
  </si>
  <si>
    <t>4425fa5e-e4df-490c-9ca3-51fb995f68b9</t>
  </si>
  <si>
    <t>6D130</t>
  </si>
  <si>
    <t>https://www.commcarehq.org/a/demo-18/reports/form_data/6336c32b-6548-4dd6-99b2-02b054ae8267/</t>
  </si>
  <si>
    <t>6336c32b-6548-4dd6-99b2-02b054ae8267</t>
  </si>
  <si>
    <t>6D135</t>
  </si>
  <si>
    <t>https://www.commcarehq.org/a/demo-18/reports/form_data/5ec12840-66c1-4993-a7fe-7e7baedf28a4/</t>
  </si>
  <si>
    <t>5ec12840-66c1-4993-a7fe-7e7baedf28a4</t>
  </si>
  <si>
    <t>6D134</t>
  </si>
  <si>
    <t>https://www.commcarehq.org/a/demo-18/reports/form_data/d1a98e93-4a75-43b6-871e-9818b749c72f/</t>
  </si>
  <si>
    <t>d1a98e93-4a75-43b6-871e-9818b749c72f</t>
  </si>
  <si>
    <t>6D131</t>
  </si>
  <si>
    <t>https://www.commcarehq.org/a/demo-18/reports/form_data/7730ac8a-be0d-4188-9a2b-0c1f69218d04/</t>
  </si>
  <si>
    <t>7730ac8a-be0d-4188-9a2b-0c1f69218d04</t>
  </si>
  <si>
    <t>6D115</t>
  </si>
  <si>
    <t>https://www.commcarehq.org/a/demo-18/reports/form_data/b4341c9c-201b-49d0-a822-fc95c88bcba0/</t>
  </si>
  <si>
    <t>b4341c9c-201b-49d0-a822-fc95c88bcba0</t>
  </si>
  <si>
    <t>6D7</t>
  </si>
  <si>
    <t>https://www.commcarehq.org/a/demo-18/reports/form_data/4da54726-17cd-4e17-8ba6-17a984730fac/</t>
  </si>
  <si>
    <t>4da54726-17cd-4e17-8ba6-17a984730fac</t>
  </si>
  <si>
    <t>6D45</t>
  </si>
  <si>
    <t>https://www.commcarehq.org/a/demo-18/reports/form_data/3939841e-594a-4133-a472-9c14f729589c/</t>
  </si>
  <si>
    <t>3939841e-594a-4133-a472-9c14f729589c</t>
  </si>
  <si>
    <t>6D51</t>
  </si>
  <si>
    <t>https://www.commcarehq.org/a/demo-18/reports/form_data/1f33c872-65d7-454d-ba6d-6e05c4408de4/</t>
  </si>
  <si>
    <t>1f33c872-65d7-454d-ba6d-6e05c4408de4</t>
  </si>
  <si>
    <t>6D20</t>
  </si>
  <si>
    <t>https://www.commcarehq.org/a/demo-18/reports/form_data/e464438a-bda1-44d8-9cb9-6aff7c3b8499/</t>
  </si>
  <si>
    <t>e464438a-bda1-44d8-9cb9-6aff7c3b8499</t>
  </si>
  <si>
    <t>6D24</t>
  </si>
  <si>
    <t>https://www.commcarehq.org/a/demo-18/reports/form_data/e4105f62-c0aa-426f-9fd2-611657db052d/</t>
  </si>
  <si>
    <t>e4105f62-c0aa-426f-9fd2-611657db052d</t>
  </si>
  <si>
    <t>6D136</t>
  </si>
  <si>
    <t>https://www.commcarehq.org/a/demo-18/reports/form_data/8323259a-3072-46bd-851d-abbaa75f8671/</t>
  </si>
  <si>
    <t>8323259a-3072-46bd-851d-abbaa75f8671</t>
  </si>
  <si>
    <t>6D142</t>
  </si>
  <si>
    <t>https://www.commcarehq.org/a/demo-18/reports/form_data/53c4d875-526e-4f14-b588-9238884066b5/</t>
  </si>
  <si>
    <t>53c4d875-526e-4f14-b588-9238884066b5</t>
  </si>
  <si>
    <t>6D143</t>
  </si>
  <si>
    <t>https://www.commcarehq.org/a/demo-18/reports/form_data/5566a11a-f612-44c9-9640-f5243af4425f/</t>
  </si>
  <si>
    <t>5566a11a-f612-44c9-9640-f5243af4425f</t>
  </si>
  <si>
    <t>6D58</t>
  </si>
  <si>
    <t>https://www.commcarehq.org/a/demo-18/reports/form_data/f0a632f2-6a0c-4006-8a2b-b843b11c36ae/</t>
  </si>
  <si>
    <t>f0a632f2-6a0c-4006-8a2b-b843b11c36ae</t>
  </si>
  <si>
    <t>6D59</t>
  </si>
  <si>
    <t>https://www.commcarehq.org/a/demo-18/reports/form_data/da92d3a0-9350-4dcf-a852-ec43dc5ba33d/</t>
  </si>
  <si>
    <t>da92d3a0-9350-4dcf-a852-ec43dc5ba33d</t>
  </si>
  <si>
    <t>6D62</t>
  </si>
  <si>
    <t>https://www.commcarehq.org/a/demo-18/reports/form_data/215db025-385a-4db4-8945-106a8af5e114/</t>
  </si>
  <si>
    <t>215db025-385a-4db4-8945-106a8af5e114</t>
  </si>
  <si>
    <t>6D73</t>
  </si>
  <si>
    <t>https://www.commcarehq.org/a/demo-18/reports/form_data/4d580ded-0772-47c0-abc5-4469a57da888/</t>
  </si>
  <si>
    <t>4d580ded-0772-47c0-abc5-4469a57da888</t>
  </si>
  <si>
    <t>6D93</t>
  </si>
  <si>
    <t>https://www.commcarehq.org/a/demo-18/reports/form_data/13489e88-8895-4fcb-a75c-2ef0191ee646/</t>
  </si>
  <si>
    <t>13489e88-8895-4fcb-a75c-2ef0191ee646</t>
  </si>
  <si>
    <t>6D105</t>
  </si>
  <si>
    <t>https://www.commcarehq.org/a/demo-18/reports/form_data/1c628b2a-3a55-4b8b-9d42-74e650dae136/</t>
  </si>
  <si>
    <t>1c628b2a-3a55-4b8b-9d42-74e650dae136</t>
  </si>
  <si>
    <t>6D97</t>
  </si>
  <si>
    <t>https://www.commcarehq.org/a/demo-18/reports/form_data/96fc6935-62bc-4ee6-b158-6aa9b13fc404/</t>
  </si>
  <si>
    <t>96fc6935-62bc-4ee6-b158-6aa9b13fc404</t>
  </si>
  <si>
    <t>6D125</t>
  </si>
  <si>
    <t>https://www.commcarehq.org/a/demo-18/reports/form_data/769d7330-1dda-429f-bcb7-b1b6bfd98fa7/</t>
  </si>
  <si>
    <t>769d7330-1dda-429f-bcb7-b1b6bfd98fa7</t>
  </si>
  <si>
    <t>6D120</t>
  </si>
  <si>
    <t>https://www.commcarehq.org/a/demo-18/reports/form_data/d140587d-8b3d-4a0e-8224-d9bc64349646/</t>
  </si>
  <si>
    <t>d140587d-8b3d-4a0e-8224-d9bc64349646</t>
  </si>
  <si>
    <t>6D127</t>
  </si>
  <si>
    <t>https://www.commcarehq.org/a/demo-18/reports/form_data/b7abc63c-4218-4b3a-b4aa-f83de2321592/</t>
  </si>
  <si>
    <t>b7abc63c-4218-4b3a-b4aa-f83de2321592</t>
  </si>
  <si>
    <t>6D129</t>
  </si>
  <si>
    <t>https://www.commcarehq.org/a/demo-18/reports/form_data/e8b96029-76de-417c-8756-51a61188a814/</t>
  </si>
  <si>
    <t>e8b96029-76de-417c-8756-51a61188a814</t>
  </si>
  <si>
    <t>6D10</t>
  </si>
  <si>
    <t>https://www.commcarehq.org/a/demo-18/reports/form_data/092df509-d149-4846-a339-fb94cb4ab43e/</t>
  </si>
  <si>
    <t>092df509-d149-4846-a339-fb94cb4ab43e</t>
  </si>
  <si>
    <t>6D6</t>
  </si>
  <si>
    <t>https://www.commcarehq.org/a/demo-18/reports/form_data/22e71530-0d3c-41b3-adda-7038ca20c79e/</t>
  </si>
  <si>
    <t>22e71530-0d3c-41b3-adda-7038ca20c79e</t>
  </si>
  <si>
    <t>6D39</t>
  </si>
  <si>
    <t>https://www.commcarehq.org/a/demo-18/reports/form_data/eb71d4b6-4373-42cc-a3c2-37de2d6971b3/</t>
  </si>
  <si>
    <t>eb71d4b6-4373-42cc-a3c2-37de2d6971b3</t>
  </si>
  <si>
    <t>6D35</t>
  </si>
  <si>
    <t>https://www.commcarehq.org/a/demo-18/reports/form_data/660c5550-3340-4b8a-b704-ca73b81ab92d/</t>
  </si>
  <si>
    <t>660c5550-3340-4b8a-b704-ca73b81ab92d</t>
  </si>
  <si>
    <t>6D36</t>
  </si>
  <si>
    <t>https://www.commcarehq.org/a/demo-18/reports/form_data/8b644c51-de0b-4d13-bb80-34da58a7e6d2/</t>
  </si>
  <si>
    <t>8b644c51-de0b-4d13-bb80-34da58a7e6d2</t>
  </si>
  <si>
    <t>6D46</t>
  </si>
  <si>
    <t>https://www.commcarehq.org/a/demo-18/reports/form_data/1c5e8fe3-97e9-455f-8bb2-d68a2dea9781/</t>
  </si>
  <si>
    <t>1c5e8fe3-97e9-455f-8bb2-d68a2dea9781</t>
  </si>
  <si>
    <t>6D55</t>
  </si>
  <si>
    <t>https://www.commcarehq.org/a/demo-18/reports/form_data/70c7002f-dcc4-41c4-b9e9-638fe219b6ca/</t>
  </si>
  <si>
    <t>70c7002f-dcc4-41c4-b9e9-638fe219b6ca</t>
  </si>
  <si>
    <t>6D22</t>
  </si>
  <si>
    <t>https://www.commcarehq.org/a/demo-18/reports/form_data/69b00aa7-279d-4f87-afb1-346d673c3230/</t>
  </si>
  <si>
    <t>69b00aa7-279d-4f87-afb1-346d673c3230</t>
  </si>
  <si>
    <t>6D21</t>
  </si>
  <si>
    <t>https://www.commcarehq.org/a/demo-18/reports/form_data/95713670-d0b2-4803-a7f4-32e89bd1e571/</t>
  </si>
  <si>
    <t>95713670-d0b2-4803-a7f4-32e89bd1e571</t>
  </si>
  <si>
    <t>6D29</t>
  </si>
  <si>
    <t>https://www.commcarehq.org/a/demo-18/reports/form_data/9a34607d-9647-4a9a-9cd0-c650164d756a/</t>
  </si>
  <si>
    <t>9a34607d-9647-4a9a-9cd0-c650164d756a</t>
  </si>
  <si>
    <t>6D26</t>
  </si>
  <si>
    <t>https://www.commcarehq.org/a/demo-18/reports/form_data/6e8de26e-7eca-447c-bb8f-9cacf8e75725/</t>
  </si>
  <si>
    <t>6e8de26e-7eca-447c-bb8f-9cacf8e75725</t>
  </si>
  <si>
    <t>6D18</t>
  </si>
  <si>
    <t>https://www.commcarehq.org/a/demo-18/reports/form_data/02ae0020-52f6-4cd4-8111-22d6d2377b73/</t>
  </si>
  <si>
    <t>02ae0020-52f6-4cd4-8111-22d6d2377b73</t>
  </si>
  <si>
    <t>6D67</t>
  </si>
  <si>
    <t>https://www.commcarehq.org/a/demo-18/reports/form_data/7c2c3d36-3e4e-4641-9ce9-2549bbd49f0c/</t>
  </si>
  <si>
    <t>7c2c3d36-3e4e-4641-9ce9-2549bbd49f0c</t>
  </si>
  <si>
    <t>6D61</t>
  </si>
  <si>
    <t>https://www.commcarehq.org/a/demo-18/reports/form_data/e31a80a4-ea37-4845-99a0-16e11d61e638/</t>
  </si>
  <si>
    <t>e31a80a4-ea37-4845-99a0-16e11d61e638</t>
  </si>
  <si>
    <t>6D87</t>
  </si>
  <si>
    <t>https://www.commcarehq.org/a/demo-18/reports/form_data/79908ef5-adf2-44b6-b2d3-a1108218d64d/</t>
  </si>
  <si>
    <t>79908ef5-adf2-44b6-b2d3-a1108218d64d</t>
  </si>
  <si>
    <t>6D82</t>
  </si>
  <si>
    <t>https://www.commcarehq.org/a/demo-18/reports/form_data/6518379f-9a5c-4992-88e4-bf2e5a70c75e/</t>
  </si>
  <si>
    <t>6518379f-9a5c-4992-88e4-bf2e5a70c75e</t>
  </si>
  <si>
    <t>6D84</t>
  </si>
  <si>
    <t>https://www.commcarehq.org/a/demo-18/reports/form_data/8980c92d-367b-49ca-a578-3c855be05287/</t>
  </si>
  <si>
    <t>8980c92d-367b-49ca-a578-3c855be05287</t>
  </si>
  <si>
    <t>6D70</t>
  </si>
  <si>
    <t>https://www.commcarehq.org/a/demo-18/reports/form_data/22358fe2-fad2-41a2-8d35-b45feec228b1/</t>
  </si>
  <si>
    <t>22358fe2-fad2-41a2-8d35-b45feec228b1</t>
  </si>
  <si>
    <t>6D77</t>
  </si>
  <si>
    <t>https://www.commcarehq.org/a/demo-18/reports/form_data/cd3f1025-20ef-4598-a755-6aaae7423ebf/</t>
  </si>
  <si>
    <t>cd3f1025-20ef-4598-a755-6aaae7423ebf</t>
  </si>
  <si>
    <t>6D79</t>
  </si>
  <si>
    <t>https://www.commcarehq.org/a/demo-18/reports/form_data/7dbcdbfd-1605-4801-82fe-89936eb3d329/</t>
  </si>
  <si>
    <t>7dbcdbfd-1605-4801-82fe-89936eb3d329</t>
  </si>
  <si>
    <t>6D100</t>
  </si>
  <si>
    <t>https://www.commcarehq.org/a/demo-18/reports/form_data/71e7e77b-5cbf-4c00-af80-a9b0dc3dd647/</t>
  </si>
  <si>
    <t>71e7e77b-5cbf-4c00-af80-a9b0dc3dd647</t>
  </si>
  <si>
    <t>6D107</t>
  </si>
  <si>
    <t>https://www.commcarehq.org/a/demo-18/reports/form_data/5c09af30-384a-41c5-ba55-1c4b33b9f44d/</t>
  </si>
  <si>
    <t>5c09af30-384a-41c5-ba55-1c4b33b9f44d</t>
  </si>
  <si>
    <t>6D110</t>
  </si>
  <si>
    <t>https://www.commcarehq.org/a/demo-18/reports/form_data/3ce7b0ba-3899-4e6f-b202-3561e7603dbd/</t>
  </si>
  <si>
    <t>3ce7b0ba-3899-4e6f-b202-3561e7603dbd</t>
  </si>
  <si>
    <t>6D113</t>
  </si>
  <si>
    <t>https://www.commcarehq.org/a/demo-18/reports/form_data/0c44f3cb-698b-4789-9f9c-f4b9289f9a90/</t>
  </si>
  <si>
    <t>0c44f3cb-698b-4789-9f9c-f4b9289f9a90</t>
  </si>
  <si>
    <t>6D114</t>
  </si>
  <si>
    <t>https://www.commcarehq.org/a/demo-18/reports/form_data/0f275ad4-9576-46b8-8f15-140be5ab8049/</t>
  </si>
  <si>
    <t>0f275ad4-9576-46b8-8f15-140be5ab8049</t>
  </si>
  <si>
    <t>6D96</t>
  </si>
  <si>
    <t>https://www.commcarehq.org/a/demo-18/reports/form_data/30496a5d-9b8c-42fa-9c40-caf11693ca05/</t>
  </si>
  <si>
    <t>30496a5d-9b8c-42fa-9c40-caf11693ca05</t>
  </si>
  <si>
    <t>6D99</t>
  </si>
  <si>
    <t>https://www.commcarehq.org/a/demo-18/reports/form_data/96165bc8-8c57-47ad-a196-4d1bafd19bde/</t>
  </si>
  <si>
    <t>96165bc8-8c57-47ad-a196-4d1bafd19bde</t>
  </si>
  <si>
    <t>6D98</t>
  </si>
  <si>
    <t>https://www.commcarehq.org/a/demo-18/reports/form_data/df54a525-e3a9-4bc4-87fb-9713ae2c6658/</t>
  </si>
  <si>
    <t>df54a525-e3a9-4bc4-87fb-9713ae2c6658</t>
  </si>
  <si>
    <t>6D128</t>
  </si>
  <si>
    <t>https://www.commcarehq.org/a/demo-18/reports/form_data/8d0bda86-ee17-44a8-a5c3-1b509a87cc13/</t>
  </si>
  <si>
    <t>8d0bda86-ee17-44a8-a5c3-1b509a87cc13</t>
  </si>
  <si>
    <t>6D126</t>
  </si>
  <si>
    <t>https://www.commcarehq.org/a/demo-18/reports/form_data/0f8946fa-5cc2-45b6-bf93-3f8903dc46ed/</t>
  </si>
  <si>
    <t>0f8946fa-5cc2-45b6-bf93-3f8903dc46ed</t>
  </si>
  <si>
    <t>6D138</t>
  </si>
  <si>
    <t>https://www.commcarehq.org/a/demo-18/reports/form_data/739670ca-2d51-4f7f-969c-a55b59ac5970/</t>
  </si>
  <si>
    <t>739670ca-2d51-4f7f-969c-a55b59ac5970</t>
  </si>
  <si>
    <t>6D140</t>
  </si>
  <si>
    <t>https://www.commcarehq.org/a/demo-18/reports/form_data/bc554072-f7a9-4b7f-891c-720b435934ee/</t>
  </si>
  <si>
    <t>bc554072-f7a9-4b7f-891c-720b435934ee</t>
  </si>
  <si>
    <t>6D144</t>
  </si>
  <si>
    <t>https://www.commcarehq.org/a/demo-18/reports/form_data/cd6f2571-599c-4d05-aaba-53d164fd5dbb/</t>
  </si>
  <si>
    <t>cd6f2571-599c-4d05-aaba-53d164fd5dbb</t>
  </si>
  <si>
    <t>Grand Total</t>
  </si>
  <si>
    <t>New UFC?</t>
  </si>
  <si>
    <t>Why?</t>
  </si>
  <si>
    <t>Who Issued?</t>
  </si>
  <si>
    <t>UFC Condition</t>
  </si>
  <si>
    <t>New Barcode?</t>
  </si>
  <si>
    <t>Why?1</t>
  </si>
  <si>
    <t>no</t>
  </si>
  <si>
    <t>---</t>
  </si>
  <si>
    <t>likenew</t>
  </si>
  <si>
    <t>a82a7822-f327-4b21-960e-0d92344c5ef0</t>
  </si>
  <si>
    <t>https://www.commcarehq.org/a/demo-18/reports/form_data/a82a7822-f327-4b21-960e-0d92344c5ef0/</t>
  </si>
  <si>
    <t>e6104930-417c-4cdc-ab64-d5b79fbc296d</t>
  </si>
  <si>
    <t>https://www.commcarehq.org/a/demo-18/reports/form_data/e6104930-417c-4cdc-ab64-d5b79fbc296d/</t>
  </si>
  <si>
    <t>b42779d0-3050-4c16-aa6a-38cb382012df</t>
  </si>
  <si>
    <t>https://www.commcarehq.org/a/demo-18/reports/form_data/b42779d0-3050-4c16-aa6a-38cb382012df/</t>
  </si>
  <si>
    <t>09707e51-28e2-4238-9834-66ac3bcf6135</t>
  </si>
  <si>
    <t>https://www.commcarehq.org/a/demo-18/reports/form_data/09707e51-28e2-4238-9834-66ac3bcf6135/</t>
  </si>
  <si>
    <t>622de0e9-37c9-46b8-8a17-86a3180b8cad</t>
  </si>
  <si>
    <t>https://www.commcarehq.org/a/demo-18/reports/form_data/622de0e9-37c9-46b8-8a17-86a3180b8cad/</t>
  </si>
  <si>
    <t>481080c2-09d0-4102-9fa9-81d780d295b2</t>
  </si>
  <si>
    <t>https://www.commcarehq.org/a/demo-18/reports/form_data/481080c2-09d0-4102-9fa9-81d780d295b2/</t>
  </si>
  <si>
    <t>447c1b4b-b9e0-4042-899f-636ffa5bb5d4</t>
  </si>
  <si>
    <t>https://www.commcarehq.org/a/demo-18/reports/form_data/447c1b4b-b9e0-4042-899f-636ffa5bb5d4/</t>
  </si>
  <si>
    <t>85cc09ca-6223-4fc7-b9be-b91cedce1965</t>
  </si>
  <si>
    <t>https://www.commcarehq.org/a/demo-18/reports/form_data/85cc09ca-6223-4fc7-b9be-b91cedce1965/</t>
  </si>
  <si>
    <t>cracked</t>
  </si>
  <si>
    <t>760fde72-d87e-447d-9b7d-c24bf28820b1</t>
  </si>
  <si>
    <t>https://www.commcarehq.org/a/demo-18/reports/form_data/760fde72-d87e-447d-9b7d-c24bf28820b1/</t>
  </si>
  <si>
    <t>c2dd725e-5ab1-4750-9f55-89820756c0a5</t>
  </si>
  <si>
    <t>https://www.commcarehq.org/a/demo-18/reports/form_data/c2dd725e-5ab1-4750-9f55-89820756c0a5/</t>
  </si>
  <si>
    <t>fc4402b6-6867-4692-b219-66df116d3de6</t>
  </si>
  <si>
    <t>https://www.commcarehq.org/a/demo-18/reports/form_data/fc4402b6-6867-4692-b219-66df116d3de6/</t>
  </si>
  <si>
    <t>86c4d3c6-ad73-417b-9e2f-f33bffbf1a94</t>
  </si>
  <si>
    <t>https://www.commcarehq.org/a/demo-18/reports/form_data/86c4d3c6-ad73-417b-9e2f-f33bffbf1a94/</t>
  </si>
  <si>
    <t>0cc7d9a9-460b-4f29-9705-aadc2480074f</t>
  </si>
  <si>
    <t>https://www.commcarehq.org/a/demo-18/reports/form_data/0cc7d9a9-460b-4f29-9705-aadc2480074f/</t>
  </si>
  <si>
    <t>dd0144c3-0ed7-4021-9685-558aa34f023e</t>
  </si>
  <si>
    <t>https://www.commcarehq.org/a/demo-18/reports/form_data/dd0144c3-0ed7-4021-9685-558aa34f023e/</t>
  </si>
  <si>
    <t>24e3f987-bbb2-4cde-9554-ddf512b8b738</t>
  </si>
  <si>
    <t>https://www.commcarehq.org/a/demo-18/reports/form_data/24e3f987-bbb2-4cde-9554-ddf512b8b738/</t>
  </si>
  <si>
    <t>770670a1-46ae-44a7-a4e0-82256e1415ed</t>
  </si>
  <si>
    <t>https://www.commcarehq.org/a/demo-18/reports/form_data/770670a1-46ae-44a7-a4e0-82256e1415ed/</t>
  </si>
  <si>
    <t>17935f3e-9b0a-4804-a0de-ebf1a65c1e43</t>
  </si>
  <si>
    <t>https://www.commcarehq.org/a/demo-18/reports/form_data/17935f3e-9b0a-4804-a0de-ebf1a65c1e43/</t>
  </si>
  <si>
    <t>ec9428c3-9e1d-44e5-ba62-4638dea282e0</t>
  </si>
  <si>
    <t>https://www.commcarehq.org/a/demo-18/reports/form_data/ec9428c3-9e1d-44e5-ba62-4638dea282e0/</t>
  </si>
  <si>
    <t>crinkled</t>
  </si>
  <si>
    <t>d46d605c-535d-418e-a1b4-71d9bc265780</t>
  </si>
  <si>
    <t>https://www.commcarehq.org/a/demo-18/reports/form_data/d46d605c-535d-418e-a1b4-71d9bc265780/</t>
  </si>
  <si>
    <t>6536fe47-efa4-44b7-aa4e-6b45b02df841</t>
  </si>
  <si>
    <t>https://www.commcarehq.org/a/demo-18/reports/form_data/6536fe47-efa4-44b7-aa4e-6b45b02df841/</t>
  </si>
  <si>
    <t>2e0b0a9f-4c07-4a15-87f0-f2fbbf523c64</t>
  </si>
  <si>
    <t>https://www.commcarehq.org/a/demo-18/reports/form_data/2e0b0a9f-4c07-4a15-87f0-f2fbbf523c64/</t>
  </si>
  <si>
    <t>59c0eef4-158a-4dc8-91a6-90f7e892f234</t>
  </si>
  <si>
    <t>https://www.commcarehq.org/a/demo-18/reports/form_data/59c0eef4-158a-4dc8-91a6-90f7e892f234/</t>
  </si>
  <si>
    <t>f1ec24c2-9e87-4fcd-ab17-23375c19f812</t>
  </si>
  <si>
    <t>https://www.commcarehq.org/a/demo-18/reports/form_data/f1ec24c2-9e87-4fcd-ab17-23375c19f812/</t>
  </si>
  <si>
    <t>d84ade1a-2356-4d76-93d8-517c197887d6</t>
  </si>
  <si>
    <t>https://www.commcarehq.org/a/demo-18/reports/form_data/d84ade1a-2356-4d76-93d8-517c197887d6/</t>
  </si>
  <si>
    <t>6D1</t>
  </si>
  <si>
    <t>9d8208a6-54b9-444f-8eb7-59fa2e470c8b</t>
  </si>
  <si>
    <t>https://www.commcarehq.org/a/demo-18/reports/form_data/9d8208a6-54b9-444f-8eb7-59fa2e470c8b/</t>
  </si>
  <si>
    <t>cracked faded</t>
  </si>
  <si>
    <t>8259fd78-26ce-42f8-9922-e043cd3d56f5</t>
  </si>
  <si>
    <t>https://www.commcarehq.org/a/demo-18/reports/form_data/8259fd78-26ce-42f8-9922-e043cd3d56f5/</t>
  </si>
  <si>
    <t>e42e0e0f-ab31-4d37-a0c3-cbfdf4e941d6</t>
  </si>
  <si>
    <t>https://www.commcarehq.org/a/demo-18/reports/form_data/e42e0e0f-ab31-4d37-a0c3-cbfdf4e941d6/</t>
  </si>
  <si>
    <t>c63b38b1-d082-482c-84a6-e5e5ceea136b</t>
  </si>
  <si>
    <t>https://www.commcarehq.org/a/demo-18/reports/form_data/c63b38b1-d082-482c-84a6-e5e5ceea136b/</t>
  </si>
  <si>
    <t>21129fce-8487-4045-a396-4927905285b7</t>
  </si>
  <si>
    <t>https://www.commcarehq.org/a/demo-18/reports/form_data/21129fce-8487-4045-a396-4927905285b7/</t>
  </si>
  <si>
    <t>14W63</t>
  </si>
  <si>
    <t>37254872-89d8-4203-9bee-4748a380aa84</t>
  </si>
  <si>
    <t>https://www.commcarehq.org/a/demo-18/reports/form_data/37254872-89d8-4203-9bee-4748a380aa84/</t>
  </si>
  <si>
    <t>bceaf4e7-4d62-4a22-b9af-8219c2e562d8</t>
  </si>
  <si>
    <t>https://www.commcarehq.org/a/demo-18/reports/form_data/bceaf4e7-4d62-4a22-b9af-8219c2e562d8/</t>
  </si>
  <si>
    <t>crinkled cracked</t>
  </si>
  <si>
    <t>34e74022-4af8-4513-8e3b-868c9a31e385</t>
  </si>
  <si>
    <t>https://www.commcarehq.org/a/demo-18/reports/form_data/34e74022-4af8-4513-8e3b-868c9a31e385/</t>
  </si>
  <si>
    <t>1897eb29-7b91-4bfa-adac-afe9e0341ced</t>
  </si>
  <si>
    <t>https://www.commcarehq.org/a/demo-18/reports/form_data/1897eb29-7b91-4bfa-adac-afe9e0341ced/</t>
  </si>
  <si>
    <t>3594ad98-838d-4960-84fb-b8c601ea44dd</t>
  </si>
  <si>
    <t>https://www.commcarehq.org/a/demo-18/reports/form_data/3594ad98-838d-4960-84fb-b8c601ea44dd/</t>
  </si>
  <si>
    <t>f77ea4d6-4732-4ae1-9fbe-f44c73b93f5a</t>
  </si>
  <si>
    <t>https://www.commcarehq.org/a/demo-18/reports/form_data/f77ea4d6-4732-4ae1-9fbe-f44c73b93f5a/</t>
  </si>
  <si>
    <t>6W</t>
  </si>
  <si>
    <t>UFC Issued</t>
  </si>
  <si>
    <t>New UFC Issued</t>
  </si>
  <si>
    <t>Why?2</t>
  </si>
  <si>
    <t>14W57</t>
  </si>
  <si>
    <t>a984aace-b8f1-462a-9386-1f0d2027b1fc</t>
  </si>
  <si>
    <t>https://www.commcarehq.org/a/demo-18/reports/form_data/a984aace-b8f1-462a-9386-1f0d2027b1fc/</t>
  </si>
  <si>
    <t>10W</t>
  </si>
  <si>
    <t>Date Received</t>
  </si>
  <si>
    <t>14W16</t>
  </si>
  <si>
    <t>f3c6dda3-06b1-4cc5-9d9e-2252a15a5127</t>
  </si>
  <si>
    <t>https://www.commcarehq.org/a/demo-18/reports/form_data/f3c6dda3-06b1-4cc5-9d9e-2252a15a5127/</t>
  </si>
  <si>
    <t>14W13</t>
  </si>
  <si>
    <t>7fb73889-eeab-4289-95fb-6e5abc958b16</t>
  </si>
  <si>
    <t>https://www.commcarehq.org/a/demo-18/reports/form_data/7fb73889-eeab-4289-95fb-6e5abc958b16/</t>
  </si>
  <si>
    <t>14W23</t>
  </si>
  <si>
    <t>d093b333-336c-48a7-887f-ed8f619b3d10</t>
  </si>
  <si>
    <t>https://www.commcarehq.org/a/demo-18/reports/form_data/d093b333-336c-48a7-887f-ed8f619b3d10/</t>
  </si>
  <si>
    <t>14W28</t>
  </si>
  <si>
    <t>119937ed-0bb5-445b-8f68-ffcecbee7b5c</t>
  </si>
  <si>
    <t>https://www.commcarehq.org/a/demo-18/reports/form_data/119937ed-0bb5-445b-8f68-ffcecbee7b5c/</t>
  </si>
  <si>
    <t>14W33</t>
  </si>
  <si>
    <t>8792b0e6-c863-4d45-a7f1-d7ef7bc9d205</t>
  </si>
  <si>
    <t>https://www.commcarehq.org/a/demo-18/reports/form_data/8792b0e6-c863-4d45-a7f1-d7ef7bc9d205/</t>
  </si>
  <si>
    <t>14W89</t>
  </si>
  <si>
    <t>c67f89fe-2e0b-4700-8524-61fa6e1f7a44</t>
  </si>
  <si>
    <t>https://www.commcarehq.org/a/demo-18/reports/form_data/c67f89fe-2e0b-4700-8524-61fa6e1f7a44/</t>
  </si>
  <si>
    <t>14W83</t>
  </si>
  <si>
    <t>8fe9acc6-14a6-479d-bfc1-f9d5368e2ff9</t>
  </si>
  <si>
    <t>https://www.commcarehq.org/a/demo-18/reports/form_data/8fe9acc6-14a6-479d-bfc1-f9d5368e2ff9/</t>
  </si>
  <si>
    <t>14W78</t>
  </si>
  <si>
    <t>cef89f28-ba35-4186-b1be-71dc51b3e0a9</t>
  </si>
  <si>
    <t>https://www.commcarehq.org/a/demo-18/reports/form_data/cef89f28-ba35-4186-b1be-71dc51b3e0a9/</t>
  </si>
  <si>
    <t>14W96</t>
  </si>
  <si>
    <t>cc67ed43-5c42-40ca-bd0d-61bf3ee5c028</t>
  </si>
  <si>
    <t>https://www.commcarehq.org/a/demo-18/reports/form_data/cc67ed43-5c42-40ca-bd0d-61bf3ee5c028/</t>
  </si>
  <si>
    <t>14W27</t>
  </si>
  <si>
    <t>faded</t>
  </si>
  <si>
    <t>1f8dfa3f-b246-46c4-805a-ab9d93c8994d</t>
  </si>
  <si>
    <t>https://www.commcarehq.org/a/demo-18/reports/form_data/1f8dfa3f-b246-46c4-805a-ab9d93c8994d/</t>
  </si>
  <si>
    <t>14W31</t>
  </si>
  <si>
    <t>ac419d6b-6a3e-48c8-be17-4c50aa70037a</t>
  </si>
  <si>
    <t>https://www.commcarehq.org/a/demo-18/reports/form_data/ac419d6b-6a3e-48c8-be17-4c50aa70037a/</t>
  </si>
  <si>
    <t>14W47</t>
  </si>
  <si>
    <t>bbb5249b-b2cd-46c8-9452-49fbc6683083</t>
  </si>
  <si>
    <t>https://www.commcarehq.org/a/demo-18/reports/form_data/bbb5249b-b2cd-46c8-9452-49fbc6683083/</t>
  </si>
  <si>
    <t>14W34</t>
  </si>
  <si>
    <t>33fb7ac3-612d-4d9d-8027-90b0cb88e382</t>
  </si>
  <si>
    <t>https://www.commcarehq.org/a/demo-18/reports/form_data/33fb7ac3-612d-4d9d-8027-90b0cb88e382/</t>
  </si>
  <si>
    <t>14W39</t>
  </si>
  <si>
    <t>f00f76d6-a81e-4119-936e-71504e09d534</t>
  </si>
  <si>
    <t>https://www.commcarehq.org/a/demo-18/reports/form_data/f00f76d6-a81e-4119-936e-71504e09d534/</t>
  </si>
  <si>
    <t>14W75</t>
  </si>
  <si>
    <t>b96017b8-db8a-4f68-a6d2-4915978b4581</t>
  </si>
  <si>
    <t>https://www.commcarehq.org/a/demo-18/reports/form_data/b96017b8-db8a-4f68-a6d2-4915978b4581/</t>
  </si>
  <si>
    <t>14W22</t>
  </si>
  <si>
    <t>2e70801f-b47a-4f80-abf8-6ef169cc727d</t>
  </si>
  <si>
    <t>https://www.commcarehq.org/a/demo-18/reports/form_data/2e70801f-b47a-4f80-abf8-6ef169cc727d/</t>
  </si>
  <si>
    <t>14W59</t>
  </si>
  <si>
    <t>a2e56cab-088e-41ee-9f57-20cd8bab17c4</t>
  </si>
  <si>
    <t>https://www.commcarehq.org/a/demo-18/reports/form_data/a2e56cab-088e-41ee-9f57-20cd8bab17c4/</t>
  </si>
  <si>
    <t>14W98</t>
  </si>
  <si>
    <t>crinkled cracked rippedtorn</t>
  </si>
  <si>
    <t>c48841b8-1729-4574-a035-3028f8e6e1d4</t>
  </si>
  <si>
    <t>https://www.commcarehq.org/a/demo-18/reports/form_data/c48841b8-1729-4574-a035-3028f8e6e1d4/</t>
  </si>
  <si>
    <t>14W11</t>
  </si>
  <si>
    <t>fa15e110-521a-4939-8906-0865d516223d</t>
  </si>
  <si>
    <t>https://www.commcarehq.org/a/demo-18/reports/form_data/fa15e110-521a-4939-8906-0865d516223d/</t>
  </si>
  <si>
    <t>14W15</t>
  </si>
  <si>
    <t>e797c21b-ff5c-4fd0-85ba-3723c544a9bd</t>
  </si>
  <si>
    <t>https://www.commcarehq.org/a/demo-18/reports/form_data/e797c21b-ff5c-4fd0-85ba-3723c544a9bd/</t>
  </si>
  <si>
    <t>14W17</t>
  </si>
  <si>
    <t>folded_corners cracked</t>
  </si>
  <si>
    <t>3f2ed042-224d-45f3-9852-cd05590e97ef</t>
  </si>
  <si>
    <t>https://www.commcarehq.org/a/demo-18/reports/form_data/3f2ed042-224d-45f3-9852-cd05590e97ef/</t>
  </si>
  <si>
    <t>14W87</t>
  </si>
  <si>
    <t>379ecb8a-255d-48c2-83b8-cd04b4758eee</t>
  </si>
  <si>
    <t>https://www.commcarehq.org/a/demo-18/reports/form_data/379ecb8a-255d-48c2-83b8-cd04b4758eee/</t>
  </si>
  <si>
    <t>14W91</t>
  </si>
  <si>
    <t>34e68453-df2c-45ed-9166-baa65e8e3a9c</t>
  </si>
  <si>
    <t>https://www.commcarehq.org/a/demo-18/reports/form_data/34e68453-df2c-45ed-9166-baa65e8e3a9c/</t>
  </si>
  <si>
    <t>14W93</t>
  </si>
  <si>
    <t>7539d4c9-9690-474d-9e0d-9c6c78fe708b</t>
  </si>
  <si>
    <t>https://www.commcarehq.org/a/demo-18/reports/form_data/7539d4c9-9690-474d-9e0d-9c6c78fe708b/</t>
  </si>
  <si>
    <t>14W85</t>
  </si>
  <si>
    <t>593e1b16-d820-49a0-b953-f759618ba8d1</t>
  </si>
  <si>
    <t>https://www.commcarehq.org/a/demo-18/reports/form_data/593e1b16-d820-49a0-b953-f759618ba8d1/</t>
  </si>
  <si>
    <t>14W74</t>
  </si>
  <si>
    <t>562ed7d0-f227-4daf-b667-45d2336c19f6</t>
  </si>
  <si>
    <t>https://www.commcarehq.org/a/demo-18/reports/form_data/562ed7d0-f227-4daf-b667-45d2336c19f6/</t>
  </si>
  <si>
    <t>14W95</t>
  </si>
  <si>
    <t>803658d3-1667-4a64-8659-80dd8ba9cf40</t>
  </si>
  <si>
    <t>https://www.commcarehq.org/a/demo-18/reports/form_data/803658d3-1667-4a64-8659-80dd8ba9cf40/</t>
  </si>
  <si>
    <t>14W18</t>
  </si>
  <si>
    <t>cracked rippedtorn</t>
  </si>
  <si>
    <t>64e9dfbf-c5f4-48b1-a3ee-ec851da0731c</t>
  </si>
  <si>
    <t>https://www.commcarehq.org/a/demo-18/reports/form_data/64e9dfbf-c5f4-48b1-a3ee-ec851da0731c/</t>
  </si>
  <si>
    <t>14W19</t>
  </si>
  <si>
    <t>e952ffe3-48f6-405d-844d-a928b12b62ad</t>
  </si>
  <si>
    <t>https://www.commcarehq.org/a/demo-18/reports/form_data/e952ffe3-48f6-405d-844d-a928b12b62ad/</t>
  </si>
  <si>
    <t>14W88</t>
  </si>
  <si>
    <t>e8a63110-9c07-430c-a1a8-5a467b8d4dd0</t>
  </si>
  <si>
    <t>https://www.commcarehq.org/a/demo-18/reports/form_data/e8a63110-9c07-430c-a1a8-5a467b8d4dd0/</t>
  </si>
  <si>
    <t>14W92</t>
  </si>
  <si>
    <t>9c13519e-eb92-4916-be01-f132b98c2057</t>
  </si>
  <si>
    <t>https://www.commcarehq.org/a/demo-18/reports/form_data/9c13519e-eb92-4916-be01-f132b98c2057/</t>
  </si>
  <si>
    <t>14W82</t>
  </si>
  <si>
    <t>37846413-e297-485c-811b-e060c3b46e7c</t>
  </si>
  <si>
    <t>https://www.commcarehq.org/a/demo-18/reports/form_data/37846413-e297-485c-811b-e060c3b46e7c/</t>
  </si>
  <si>
    <t>14W97</t>
  </si>
  <si>
    <t>6fd89bd1-7cb3-431d-9c5b-91aa19aa245a</t>
  </si>
  <si>
    <t>https://www.commcarehq.org/a/demo-18/reports/form_data/6fd89bd1-7cb3-431d-9c5b-91aa19aa245a/</t>
  </si>
  <si>
    <t>14W26</t>
  </si>
  <si>
    <t>f9ba5ab4-5051-4314-9302-1c382c2b5335</t>
  </si>
  <si>
    <t>https://www.commcarehq.org/a/demo-18/reports/form_data/f9ba5ab4-5051-4314-9302-1c382c2b5335/</t>
  </si>
  <si>
    <t>14W32</t>
  </si>
  <si>
    <t>de3314aa-edf5-4ec8-9d4d-0641039e62fd</t>
  </si>
  <si>
    <t>https://www.commcarehq.org/a/demo-18/reports/form_data/de3314aa-edf5-4ec8-9d4d-0641039e62fd/</t>
  </si>
  <si>
    <t>14W46</t>
  </si>
  <si>
    <t>crinkled cracked faded</t>
  </si>
  <si>
    <t>be978f70-4e84-4e8c-8d77-596139fe5728</t>
  </si>
  <si>
    <t>https://www.commcarehq.org/a/demo-18/reports/form_data/be978f70-4e84-4e8c-8d77-596139fe5728/</t>
  </si>
  <si>
    <t>14W79</t>
  </si>
  <si>
    <t>6113e8b5-1ba4-451e-891e-a5d630392ce2</t>
  </si>
  <si>
    <t>https://www.commcarehq.org/a/demo-18/reports/form_data/6113e8b5-1ba4-451e-891e-a5d630392ce2/</t>
  </si>
  <si>
    <t>14W60</t>
  </si>
  <si>
    <t>2810c849-8abe-4c83-9810-f3fb99b9595c</t>
  </si>
  <si>
    <t>https://www.commcarehq.org/a/demo-18/reports/form_data/2810c849-8abe-4c83-9810-f3fb99b9595c/</t>
  </si>
  <si>
    <t>14W55</t>
  </si>
  <si>
    <t>39a72a4c-2ea9-4886-bc53-9842d8416b14</t>
  </si>
  <si>
    <t>https://www.commcarehq.org/a/demo-18/reports/form_data/39a72a4c-2ea9-4886-bc53-9842d8416b14/</t>
  </si>
  <si>
    <t>14W35</t>
  </si>
  <si>
    <t>8ab59151-5d88-4a78-9490-6ff5e29bc0c3</t>
  </si>
  <si>
    <t>https://www.commcarehq.org/a/demo-18/reports/form_data/8ab59151-5d88-4a78-9490-6ff5e29bc0c3/</t>
  </si>
  <si>
    <t>14W8</t>
  </si>
  <si>
    <t>a5ba3342-b797-414a-8407-682fa71a9039</t>
  </si>
  <si>
    <t>https://www.commcarehq.org/a/demo-18/reports/form_data/a5ba3342-b797-414a-8407-682fa71a9039/</t>
  </si>
  <si>
    <t>14W21</t>
  </si>
  <si>
    <t>4b370091-4787-4f1a-bf3a-3923aa54e17a</t>
  </si>
  <si>
    <t>https://www.commcarehq.org/a/demo-18/reports/form_data/4b370091-4787-4f1a-bf3a-3923aa54e17a/</t>
  </si>
  <si>
    <t>14W14</t>
  </si>
  <si>
    <t>9c0d8362-8839-4177-a822-322c7d3490ae</t>
  </si>
  <si>
    <t>https://www.commcarehq.org/a/demo-18/reports/form_data/9c0d8362-8839-4177-a822-322c7d3490ae/</t>
  </si>
  <si>
    <t>14W30</t>
  </si>
  <si>
    <t>142e0f94-098e-448e-b3d4-1e05913f9dc6</t>
  </si>
  <si>
    <t>https://www.commcarehq.org/a/demo-18/reports/form_data/142e0f94-098e-448e-b3d4-1e05913f9dc6/</t>
  </si>
  <si>
    <t>14W29</t>
  </si>
  <si>
    <t>6a5741dc-01a0-449e-89ab-ea65de227418</t>
  </si>
  <si>
    <t>https://www.commcarehq.org/a/demo-18/reports/form_data/6a5741dc-01a0-449e-89ab-ea65de227418/</t>
  </si>
  <si>
    <t>14W36</t>
  </si>
  <si>
    <t>de6034dd-ec23-409c-a107-bba9cf4ad3cb</t>
  </si>
  <si>
    <t>https://www.commcarehq.org/a/demo-18/reports/form_data/de6034dd-ec23-409c-a107-bba9cf4ad3cb/</t>
  </si>
  <si>
    <t>14W64</t>
  </si>
  <si>
    <t>a848b48c-294c-4d6b-af6a-0edae8e60555</t>
  </si>
  <si>
    <t>https://www.commcarehq.org/a/demo-18/reports/form_data/a848b48c-294c-4d6b-af6a-0edae8e60555/</t>
  </si>
  <si>
    <t>14W66</t>
  </si>
  <si>
    <t>7062a084-e77b-4040-8039-39776b18c10d</t>
  </si>
  <si>
    <t>https://www.commcarehq.org/a/demo-18/reports/form_data/7062a084-e77b-4040-8039-39776b18c10d/</t>
  </si>
  <si>
    <t>14W37</t>
  </si>
  <si>
    <t>a3920f2d-95b3-4aeb-ac52-c98ac657bd8b</t>
  </si>
  <si>
    <t>https://www.commcarehq.org/a/demo-18/reports/form_data/a3920f2d-95b3-4aeb-ac52-c98ac657bd8b/</t>
  </si>
  <si>
    <t>14W42</t>
  </si>
  <si>
    <t>76c5f8b0-af9c-431b-a687-e520a9a4e515</t>
  </si>
  <si>
    <t>https://www.commcarehq.org/a/demo-18/reports/form_data/76c5f8b0-af9c-431b-a687-e520a9a4e515/</t>
  </si>
  <si>
    <t>14W81</t>
  </si>
  <si>
    <t>e3ba910c-c158-42b2-996d-68b259bd794a</t>
  </si>
  <si>
    <t>https://www.commcarehq.org/a/demo-18/reports/form_data/e3ba910c-c158-42b2-996d-68b259bd794a/</t>
  </si>
  <si>
    <t>14W80</t>
  </si>
  <si>
    <t>92723197-401f-4791-96f7-8d432d64f7cd</t>
  </si>
  <si>
    <t>https://www.commcarehq.org/a/demo-18/reports/form_data/92723197-401f-4791-96f7-8d432d64f7cd/</t>
  </si>
  <si>
    <t>14W90</t>
  </si>
  <si>
    <t>4ec164f0-46fb-4e23-a3a9-9d1ecce2fe51</t>
  </si>
  <si>
    <t>https://www.commcarehq.org/a/demo-18/reports/form_data/4ec164f0-46fb-4e23-a3a9-9d1ecce2fe51/</t>
  </si>
  <si>
    <t>14W</t>
  </si>
  <si>
    <t>New UFC Issued?</t>
  </si>
  <si>
    <t>14W70</t>
  </si>
  <si>
    <t>0bcb3341-693a-4751-9c95-4e486e7d903b</t>
  </si>
  <si>
    <t>https://www.commcarehq.org/a/demo-18/reports/form_data/0bcb3341-693a-4751-9c95-4e486e7d903b/</t>
  </si>
  <si>
    <t>14W51</t>
  </si>
  <si>
    <t>89727c73-2bec-4648-828a-31d2c9006f8b</t>
  </si>
  <si>
    <t>https://www.commcarehq.org/a/demo-18/reports/form_data/89727c73-2bec-4648-828a-31d2c9006f8b/</t>
  </si>
  <si>
    <t>14W1</t>
  </si>
  <si>
    <t>7017c256-07bb-49ed-a2f2-403ef9644f0c</t>
  </si>
  <si>
    <t>https://www.commcarehq.org/a/demo-18/reports/form_data/7017c256-07bb-49ed-a2f2-403ef9644f0c/</t>
  </si>
  <si>
    <t>14W84</t>
  </si>
  <si>
    <t>687e0e66-00d3-484e-9425-b379991ed4a7</t>
  </si>
  <si>
    <t>https://www.commcarehq.org/a/demo-18/reports/form_data/687e0e66-00d3-484e-9425-b379991ed4a7/</t>
  </si>
  <si>
    <t>282b9ae6-92e1-49db-8c41-b57f6e55a949</t>
  </si>
  <si>
    <t>https://www.commcarehq.org/a/demo-18/reports/form_data/282b9ae6-92e1-49db-8c41-b57f6e55a949/</t>
  </si>
  <si>
    <t>25703259-8adc-4411-b19f-dd16fca2c400</t>
  </si>
  <si>
    <t>https://www.commcarehq.org/a/demo-18/reports/form_data/25703259-8adc-4411-b19f-dd16fca2c400/</t>
  </si>
  <si>
    <t>14W12</t>
  </si>
  <si>
    <t>2e9be744-6172-4054-ae26-9284e565d2f4</t>
  </si>
  <si>
    <t>https://www.commcarehq.org/a/demo-18/reports/form_data/2e9be744-6172-4054-ae26-9284e565d2f4/</t>
  </si>
  <si>
    <t>14W10</t>
  </si>
  <si>
    <t>cracked stained</t>
  </si>
  <si>
    <t>f6479933-7313-4cda-a748-4ed40c04782b</t>
  </si>
  <si>
    <t>https://www.commcarehq.org/a/demo-18/reports/form_data/f6479933-7313-4cda-a748-4ed40c04782b/</t>
  </si>
  <si>
    <t>14W6</t>
  </si>
  <si>
    <t>ink-bleeding cracked</t>
  </si>
  <si>
    <t>912a60f9-863a-47e5-aaf6-ae176845a4bd</t>
  </si>
  <si>
    <t>https://www.commcarehq.org/a/demo-18/reports/form_data/912a60f9-863a-47e5-aaf6-ae176845a4bd/</t>
  </si>
  <si>
    <t>14W45</t>
  </si>
  <si>
    <t>9f92e828-f2e3-4de9-9d7d-8fae8c9c687b</t>
  </si>
  <si>
    <t>https://www.commcarehq.org/a/demo-18/reports/form_data/9f92e828-f2e3-4de9-9d7d-8fae8c9c687b/</t>
  </si>
  <si>
    <t>14W73</t>
  </si>
  <si>
    <t>01a1bcab-79d0-4076-8843-b56288a36627</t>
  </si>
  <si>
    <t>https://www.commcarehq.org/a/demo-18/reports/form_data/01a1bcab-79d0-4076-8843-b56288a36627/</t>
  </si>
  <si>
    <t>14W76</t>
  </si>
  <si>
    <t>e331081b-00cc-4478-bc2f-59e3e20bd64f</t>
  </si>
  <si>
    <t>https://www.commcarehq.org/a/demo-18/reports/form_data/e331081b-00cc-4478-bc2f-59e3e20bd64f/</t>
  </si>
  <si>
    <t>14W50</t>
  </si>
  <si>
    <t>0e29bc05-ea2a-4373-a81a-3702396bb054</t>
  </si>
  <si>
    <t>https://www.commcarehq.org/a/demo-18/reports/form_data/0e29bc05-ea2a-4373-a81a-3702396bb054/</t>
  </si>
  <si>
    <t>14W86</t>
  </si>
  <si>
    <t>1ec4260d-17a0-4084-80eb-800f912dc0ca</t>
  </si>
  <si>
    <t>https://www.commcarehq.org/a/demo-18/reports/form_data/1ec4260d-17a0-4084-80eb-800f912dc0ca/</t>
  </si>
  <si>
    <t>cfff31f2-efad-49b1-9b1a-ab3deae36be6</t>
  </si>
  <si>
    <t>https://www.commcarehq.org/a/demo-18/reports/form_data/cfff31f2-efad-49b1-9b1a-ab3deae36be6/</t>
  </si>
  <si>
    <t>acf7e301-eae9-4bf4-8231-c1c98dab994e</t>
  </si>
  <si>
    <t>https://www.commcarehq.org/a/demo-18/reports/form_data/acf7e301-eae9-4bf4-8231-c1c98dab994e/</t>
  </si>
  <si>
    <t>14W56</t>
  </si>
  <si>
    <t>482866d5-7074-4701-b3fe-d58b1225cbd4</t>
  </si>
  <si>
    <t>https://www.commcarehq.org/a/demo-18/reports/form_data/482866d5-7074-4701-b3fe-d58b1225cbd4/</t>
  </si>
  <si>
    <t>14W62</t>
  </si>
  <si>
    <t>c0cc9cf7-24b2-4b64-9cd4-6a640d3e9869</t>
  </si>
  <si>
    <t>https://www.commcarehq.org/a/demo-18/reports/form_data/c0cc9cf7-24b2-4b64-9cd4-6a640d3e9869/</t>
  </si>
  <si>
    <t>14W4</t>
  </si>
  <si>
    <t>a136be98-8698-42d6-92d7-8fbb780add08</t>
  </si>
  <si>
    <t>https://www.commcarehq.org/a/demo-18/reports/form_data/a136be98-8698-42d6-92d7-8fbb780add08/</t>
  </si>
  <si>
    <t>4bf484f7-c4be-4723-9852-b17934449176</t>
  </si>
  <si>
    <t>https://www.commcarehq.org/a/demo-18/reports/form_data/4bf484f7-c4be-4723-9852-b17934449176/</t>
  </si>
  <si>
    <t>7aded657-842f-4cf6-940d-b74a2b77c3fa</t>
  </si>
  <si>
    <t>https://www.commcarehq.org/a/demo-18/reports/form_data/7aded657-842f-4cf6-940d-b74a2b77c3fa/</t>
  </si>
  <si>
    <t>14W20</t>
  </si>
  <si>
    <t>7038919b-da2b-4e84-bdcb-13c1629e2411</t>
  </si>
  <si>
    <t>https://www.commcarehq.org/a/demo-18/reports/form_data/7038919b-da2b-4e84-bdcb-13c1629e2411/</t>
  </si>
  <si>
    <t>14W43</t>
  </si>
  <si>
    <t>94a9427f-ddd3-4548-8548-d847a38163eb</t>
  </si>
  <si>
    <t>https://www.commcarehq.org/a/demo-18/reports/form_data/94a9427f-ddd3-4548-8548-d847a38163eb/</t>
  </si>
  <si>
    <t>14W48</t>
  </si>
  <si>
    <t>e7eb5b63-3089-45da-b3fc-b3b57c119c9b</t>
  </si>
  <si>
    <t>https://www.commcarehq.org/a/demo-18/reports/form_data/e7eb5b63-3089-45da-b3fc-b3b57c119c9b/</t>
  </si>
  <si>
    <t>14W77</t>
  </si>
  <si>
    <t>a7084daf-4825-47d2-8b5a-97eec73a7f53</t>
  </si>
  <si>
    <t>https://www.commcarehq.org/a/demo-18/reports/form_data/a7084daf-4825-47d2-8b5a-97eec73a7f53/</t>
  </si>
  <si>
    <t>38d48536-490d-4f1f-aeb1-0a4937ca1179</t>
  </si>
  <si>
    <t>https://www.commcarehq.org/a/demo-18/reports/form_data/38d48536-490d-4f1f-aeb1-0a4937ca1179/</t>
  </si>
  <si>
    <t>6119158f-c94c-452f-9036-866c4657cf95</t>
  </si>
  <si>
    <t>https://www.commcarehq.org/a/demo-18/reports/form_data/6119158f-c94c-452f-9036-866c4657cf95/</t>
  </si>
  <si>
    <t>14W9</t>
  </si>
  <si>
    <t>33deb13c-0fe6-4e85-a9a1-a72f1ddf7888</t>
  </si>
  <si>
    <t>https://www.commcarehq.org/a/demo-18/reports/form_data/33deb13c-0fe6-4e85-a9a1-a72f1ddf7888/</t>
  </si>
  <si>
    <t>14W38</t>
  </si>
  <si>
    <t>0a28b2b6-c07e-4280-898c-8ce28f213ddb</t>
  </si>
  <si>
    <t>https://www.commcarehq.org/a/demo-18/reports/form_data/0a28b2b6-c07e-4280-898c-8ce28f213ddb/</t>
  </si>
  <si>
    <t>14W44</t>
  </si>
  <si>
    <t>2e19f7a3-d2b8-4917-9661-275aeb5c5220</t>
  </si>
  <si>
    <t>https://www.commcarehq.org/a/demo-18/reports/form_data/2e19f7a3-d2b8-4917-9661-275aeb5c5220/</t>
  </si>
  <si>
    <t>14W41</t>
  </si>
  <si>
    <t>56e9ada6-b3e8-4ab0-9890-09f83e889ab8</t>
  </si>
  <si>
    <t>https://www.commcarehq.org/a/demo-18/reports/form_data/56e9ada6-b3e8-4ab0-9890-09f83e889ab8/</t>
  </si>
  <si>
    <t>14W0</t>
  </si>
  <si>
    <t>c5f886ef-788c-4ee1-9c88-c9f0ca203ac4</t>
  </si>
  <si>
    <t>https://www.commcarehq.org/a/demo-18/reports/form_data/c5f886ef-788c-4ee1-9c88-c9f0ca203ac4/</t>
  </si>
  <si>
    <t>14W53</t>
  </si>
  <si>
    <t>8f31a591-2026-432a-b558-a44167a68951</t>
  </si>
  <si>
    <t>https://www.commcarehq.org/a/demo-18/reports/form_data/8f31a591-2026-432a-b558-a44167a68951/</t>
  </si>
  <si>
    <t>14W54</t>
  </si>
  <si>
    <t>b4e9bd5a-4339-4019-ace1-71d86f9dbc52</t>
  </si>
  <si>
    <t>https://www.commcarehq.org/a/demo-18/reports/form_data/b4e9bd5a-4339-4019-ace1-71d86f9dbc52/</t>
  </si>
  <si>
    <t>14W52</t>
  </si>
  <si>
    <t>a899c3e0-552d-4a25-b138-e7e7c19f5e47</t>
  </si>
  <si>
    <t>https://www.commcarehq.org/a/demo-18/reports/form_data/a899c3e0-552d-4a25-b138-e7e7c19f5e47/</t>
  </si>
  <si>
    <t>daa2afd6-791e-4ecc-a6e3-902e8da299e9</t>
  </si>
  <si>
    <t>https://www.commcarehq.org/a/demo-18/reports/form_data/daa2afd6-791e-4ecc-a6e3-902e8da299e9/</t>
  </si>
  <si>
    <t>5a43ab14-fe9c-41db-8a17-5d0342aebb20</t>
  </si>
  <si>
    <t>https://www.commcarehq.org/a/demo-18/reports/form_data/5a43ab14-fe9c-41db-8a17-5d0342aebb20/</t>
  </si>
  <si>
    <t>4M</t>
  </si>
  <si>
    <t>02e480e1-ab82-4dce-8fd0-923455d8bd66</t>
  </si>
  <si>
    <t>https://www.commcarehq.org/a/demo-18/reports/form_data/02e480e1-ab82-4dce-8fd0-923455d8bd66/</t>
  </si>
  <si>
    <t>6e87a202-b7ed-4f86-ae48-1005db77900b</t>
  </si>
  <si>
    <t>https://www.commcarehq.org/a/demo-18/reports/form_data/6e87a202-b7ed-4f86-ae48-1005db77900b/</t>
  </si>
  <si>
    <t>14W24</t>
  </si>
  <si>
    <t>331d0b54-f043-4d73-a7c6-8be4f435ab53</t>
  </si>
  <si>
    <t>https://www.commcarehq.org/a/demo-18/reports/form_data/331d0b54-f043-4d73-a7c6-8be4f435ab53/</t>
  </si>
  <si>
    <t>14W40</t>
  </si>
  <si>
    <t>2a91d306-10ba-4f16-b391-9dfe1616f2ff</t>
  </si>
  <si>
    <t>https://www.commcarehq.org/a/demo-18/reports/form_data/2a91d306-10ba-4f16-b391-9dfe1616f2ff/</t>
  </si>
  <si>
    <t>cracked rippedtorn stained</t>
  </si>
  <si>
    <t>b0d001a4-3d3a-4d6d-8e45-0d9c66f3eb84</t>
  </si>
  <si>
    <t>https://www.commcarehq.org/a/demo-18/reports/form_data/b0d001a4-3d3a-4d6d-8e45-0d9c66f3eb84/</t>
  </si>
  <si>
    <t>14W2</t>
  </si>
  <si>
    <t>dd17bcda-55ad-4c27-ad99-5fabdf9a2589</t>
  </si>
  <si>
    <t>https://www.commcarehq.org/a/demo-18/reports/form_data/dd17bcda-55ad-4c27-ad99-5fabdf9a2589/</t>
  </si>
  <si>
    <t>14W61</t>
  </si>
  <si>
    <t>2dd6b2f0-cd74-4c32-9e54-5a618135fa0e</t>
  </si>
  <si>
    <t>https://www.commcarehq.org/a/demo-18/reports/form_data/2dd6b2f0-cd74-4c32-9e54-5a618135fa0e/</t>
  </si>
  <si>
    <t>14W49</t>
  </si>
  <si>
    <t>8972387b-2bdc-4108-91a6-e096568688cc</t>
  </si>
  <si>
    <t>https://www.commcarehq.org/a/demo-18/reports/form_data/8972387b-2bdc-4108-91a6-e096568688cc/</t>
  </si>
  <si>
    <t>b9169274-f4d5-461f-956d-f005cd9ff406</t>
  </si>
  <si>
    <t>https://www.commcarehq.org/a/demo-18/reports/form_data/b9169274-f4d5-461f-956d-f005cd9ff406/</t>
  </si>
  <si>
    <t>14W94</t>
  </si>
  <si>
    <t>29fb4915-31ff-4cae-8af7-66932d406388</t>
  </si>
  <si>
    <t>https://www.commcarehq.org/a/demo-18/reports/form_data/29fb4915-31ff-4cae-8af7-66932d406388/</t>
  </si>
  <si>
    <t>14W67</t>
  </si>
  <si>
    <t>4c49276e-fdc6-4643-a24b-466ce4c6b026</t>
  </si>
  <si>
    <t>https://www.commcarehq.org/a/demo-18/reports/form_data/4c49276e-fdc6-4643-a24b-466ce4c6b026/</t>
  </si>
  <si>
    <t>d7afb51b-d95a-48b8-910f-16c9fc28babd</t>
  </si>
  <si>
    <t>https://www.commcarehq.org/a/demo-18/reports/form_data/d7afb51b-d95a-48b8-910f-16c9fc28babd/</t>
  </si>
  <si>
    <t>14W5</t>
  </si>
  <si>
    <t>14W7</t>
  </si>
  <si>
    <t>dfd23962-2616-4834-9547-c147ed5505b6</t>
  </si>
  <si>
    <t>https://www.commcarehq.org/a/demo-18/reports/form_data/dfd23962-2616-4834-9547-c147ed5505b6/</t>
  </si>
  <si>
    <t>14W69</t>
  </si>
  <si>
    <t>0c8869ba-6629-4f26-81b1-60175b717d18</t>
  </si>
  <si>
    <t>https://www.commcarehq.org/a/demo-18/reports/form_data/0c8869ba-6629-4f26-81b1-60175b717d18/</t>
  </si>
  <si>
    <t>14W71</t>
  </si>
  <si>
    <t>5619be38-36e7-4060-849d-d5cd7b6d371a</t>
  </si>
  <si>
    <t>https://www.commcarehq.org/a/demo-18/reports/form_data/5619be38-36e7-4060-849d-d5cd7b6d371a/</t>
  </si>
  <si>
    <t>1ae403fa-846c-46aa-a965-8581982f11cb</t>
  </si>
  <si>
    <t>https://www.commcarehq.org/a/demo-18/reports/form_data/1ae403fa-846c-46aa-a965-8581982f11cb/</t>
  </si>
  <si>
    <t>5M</t>
  </si>
  <si>
    <t>14W65</t>
  </si>
  <si>
    <t>03ba184d-2dc9-4564-b38a-7ce65295014b</t>
  </si>
  <si>
    <t>https://www.commcarehq.org/a/demo-18/reports/form_data/03ba184d-2dc9-4564-b38a-7ce65295014b/</t>
  </si>
  <si>
    <t>eceb01b4-3c24-4503-b7d0-b93ce177f3d1</t>
  </si>
  <si>
    <t>https://www.commcarehq.org/a/demo-18/reports/form_data/eceb01b4-3c24-4503-b7d0-b93ce177f3d1/</t>
  </si>
  <si>
    <t>ab798861-1596-4aa6-b63c-2397b511dc66</t>
  </si>
  <si>
    <t>https://www.commcarehq.org/a/demo-18/reports/form_data/ab798861-1596-4aa6-b63c-2397b511dc66/</t>
  </si>
  <si>
    <t>5c352b59-b046-4f03-b29a-632c8ec40d88</t>
  </si>
  <si>
    <t>https://www.commcarehq.org/a/demo-18/reports/form_data/5c352b59-b046-4f03-b29a-632c8ec40d88/</t>
  </si>
  <si>
    <t>6M</t>
  </si>
  <si>
    <t>7M</t>
  </si>
  <si>
    <t>8M</t>
  </si>
  <si>
    <t>9M</t>
  </si>
  <si>
    <t>Damaged</t>
  </si>
  <si>
    <t>Like New</t>
  </si>
  <si>
    <t>1d466570-1fdf-4563-b460-12f3a24beb4c</t>
  </si>
  <si>
    <t>https://www.commcarehq.org/a/demo-18/reports/form_data/1d466570-1fdf-4563-b460-12f3a24beb4c/</t>
  </si>
  <si>
    <t>53e2efd6-4e9e-455e-b556-fdd02f3e6d6a</t>
  </si>
  <si>
    <t>https://www.commcarehq.org/a/demo-18/reports/form_data/53e2efd6-4e9e-455e-b556-fdd02f3e6d6a/</t>
  </si>
  <si>
    <t>6749798c-3e55-4667-ae1d-e631337a7254</t>
  </si>
  <si>
    <t>https://www.commcarehq.org/a/demo-18/reports/form_data/6749798c-3e55-4667-ae1d-e631337a7254/</t>
  </si>
  <si>
    <t>e3c7f218-0445-42fd-b35a-6419ddb50fda</t>
  </si>
  <si>
    <t>https://www.commcarehq.org/a/demo-18/reports/form_data/e3c7f218-0445-42fd-b35a-6419ddb50fda/</t>
  </si>
  <si>
    <t>5e577aee-709f-4cee-937d-63a13d4207ac</t>
  </si>
  <si>
    <t>https://www.commcarehq.org/a/demo-18/reports/form_data/5e577aee-709f-4cee-937d-63a13d4207ac/</t>
  </si>
  <si>
    <t>69db910a-b6cc-4379-85b4-70d0054e3b2b</t>
  </si>
  <si>
    <t>https://www.commcarehq.org/a/demo-18/reports/form_data/69db910a-b6cc-4379-85b4-70d0054e3b2b/</t>
  </si>
  <si>
    <t>65cc04db-36d9-4b50-b531-2a335993f4ca</t>
  </si>
  <si>
    <t>https://www.commcarehq.org/a/demo-18/reports/form_data/65cc04db-36d9-4b50-b531-2a335993f4ca/</t>
  </si>
  <si>
    <t>f2c39349-ea76-4853-a986-9b940193f85f</t>
  </si>
  <si>
    <t>https://www.commcarehq.org/a/demo-18/reports/form_data/f2c39349-ea76-4853-a986-9b940193f85f/</t>
  </si>
  <si>
    <t>5849fe07-2768-4315-90ce-11a8e85249d2</t>
  </si>
  <si>
    <t>https://www.commcarehq.org/a/demo-18/reports/form_data/5849fe07-2768-4315-90ce-11a8e85249d2/</t>
  </si>
  <si>
    <t>9519d15c-f7f6-4497-9a2e-f69c357793e6</t>
  </si>
  <si>
    <t>https://www.commcarehq.org/a/demo-18/reports/form_data/9519d15c-f7f6-4497-9a2e-f69c357793e6/</t>
  </si>
  <si>
    <t>15ac6caf-5677-4698-92e2-89ab518f137f</t>
  </si>
  <si>
    <t>https://www.commcarehq.org/a/demo-18/reports/form_data/15ac6caf-5677-4698-92e2-89ab518f137f/</t>
  </si>
  <si>
    <t>5fb2fbe8-7a31-47d0-b9a8-059c149818e8</t>
  </si>
  <si>
    <t>https://www.commcarehq.org/a/demo-18/reports/form_data/5fb2fbe8-7a31-47d0-b9a8-059c149818e8/</t>
  </si>
  <si>
    <t>74b97d31-2cb2-42c5-8862-4f73d4a5c901</t>
  </si>
  <si>
    <t>https://www.commcarehq.org/a/demo-18/reports/form_data/74b97d31-2cb2-42c5-8862-4f73d4a5c901/</t>
  </si>
  <si>
    <t>a0aca676-a032-48d1-a4e0-df6cb4286179</t>
  </si>
  <si>
    <t>https://www.commcarehq.org/a/demo-18/reports/form_data/a0aca676-a032-48d1-a4e0-df6cb4286179/</t>
  </si>
  <si>
    <t>8bd4c46b-5f18-4c8b-bddc-171672a4e7d0</t>
  </si>
  <si>
    <t>https://www.commcarehq.org/a/demo-18/reports/form_data/8bd4c46b-5f18-4c8b-bddc-171672a4e7d0/</t>
  </si>
  <si>
    <t>3c6f625f-4fde-4f8a-a37d-e317b7b24575</t>
  </si>
  <si>
    <t>https://www.commcarehq.org/a/demo-18/reports/form_data/3c6f625f-4fde-4f8a-a37d-e317b7b24575/</t>
  </si>
  <si>
    <t>crinkled stained</t>
  </si>
  <si>
    <t>35189ca7-3c90-447e-9e5a-733d8106c918</t>
  </si>
  <si>
    <t>https://www.commcarehq.org/a/demo-18/reports/form_data/35189ca7-3c90-447e-9e5a-733d8106c918/</t>
  </si>
  <si>
    <t>665f1816-0cba-4c23-aa80-4f9aa66946da</t>
  </si>
  <si>
    <t>https://www.commcarehq.org/a/demo-18/reports/form_data/665f1816-0cba-4c23-aa80-4f9aa66946da/</t>
  </si>
  <si>
    <t>aa62163c-734a-4785-8ff7-d8e16ece417e</t>
  </si>
  <si>
    <t>https://www.commcarehq.org/a/demo-18/reports/form_data/aa62163c-734a-4785-8ff7-d8e16ece417e/</t>
  </si>
  <si>
    <t>6c880c79-e367-4bfc-998f-b7b588f67810</t>
  </si>
  <si>
    <t>https://www.commcarehq.org/a/demo-18/reports/form_data/6c880c79-e367-4bfc-998f-b7b588f67810/</t>
  </si>
  <si>
    <t>15931d40-bd38-4052-a130-0a997d1195f5</t>
  </si>
  <si>
    <t>https://www.commcarehq.org/a/demo-18/reports/form_data/15931d40-bd38-4052-a130-0a997d1195f5/</t>
  </si>
  <si>
    <t>4e93f5ba-7f45-41ae-8dc5-9ea81003d5ee</t>
  </si>
  <si>
    <t>https://www.commcarehq.org/a/demo-18/reports/form_data/4e93f5ba-7f45-41ae-8dc5-9ea81003d5ee/</t>
  </si>
  <si>
    <t>6d59f419-82cd-4ada-ba34-89a685363879</t>
  </si>
  <si>
    <t>https://www.commcarehq.org/a/demo-18/reports/form_data/6d59f419-82cd-4ada-ba34-89a685363879/</t>
  </si>
  <si>
    <t>a884c7e2-6588-4e4f-93f2-15580fe77f57</t>
  </si>
  <si>
    <t>https://www.commcarehq.org/a/demo-18/reports/form_data/a884c7e2-6588-4e4f-93f2-15580fe77f57/</t>
  </si>
  <si>
    <t>b4fe70a6-69b3-42e8-8e0a-d60ae4e840b1</t>
  </si>
  <si>
    <t>https://www.commcarehq.org/a/demo-18/reports/form_data/b4fe70a6-69b3-42e8-8e0a-d60ae4e840b1/</t>
  </si>
  <si>
    <t>bdca8839-83b7-47b3-89e5-3d8b73f35744</t>
  </si>
  <si>
    <t>https://www.commcarehq.org/a/demo-18/reports/form_data/bdca8839-83b7-47b3-89e5-3d8b73f35744/</t>
  </si>
  <si>
    <t>4db0e8d4-9974-474a-bce3-335b8cec3346</t>
  </si>
  <si>
    <t>https://www.commcarehq.org/a/demo-18/reports/form_data/4db0e8d4-9974-474a-bce3-335b8cec3346/</t>
  </si>
  <si>
    <t>bb70f104-12e2-40fa-8882-348a2baf3ee1</t>
  </si>
  <si>
    <t>https://www.commcarehq.org/a/demo-18/reports/form_data/bb70f104-12e2-40fa-8882-348a2baf3ee1/</t>
  </si>
  <si>
    <t>c08b95bb-a581-476f-85d4-9c7e9c756617</t>
  </si>
  <si>
    <t>https://www.commcarehq.org/a/demo-18/reports/form_data/c08b95bb-a581-476f-85d4-9c7e9c756617/</t>
  </si>
  <si>
    <t>c9d84d1c-ab5f-4989-8a70-0ec539bcb455</t>
  </si>
  <si>
    <t>https://www.commcarehq.org/a/demo-18/reports/form_data/c9d84d1c-ab5f-4989-8a70-0ec539bcb455/</t>
  </si>
  <si>
    <t>d880aaee-2fb0-4b52-ae45-f3e380f76b7f</t>
  </si>
  <si>
    <t>https://www.commcarehq.org/a/demo-18/reports/form_data/d880aaee-2fb0-4b52-ae45-f3e380f76b7f/</t>
  </si>
  <si>
    <t>cd0da201-b2e2-4831-bc5b-3d6520098b77</t>
  </si>
  <si>
    <t>https://www.commcarehq.org/a/demo-18/reports/form_data/cd0da201-b2e2-4831-bc5b-3d6520098b77/</t>
  </si>
  <si>
    <t>df1a03cb-c9fc-4b4e-8085-09045f924f32</t>
  </si>
  <si>
    <t>https://www.commcarehq.org/a/demo-18/reports/form_data/df1a03cb-c9fc-4b4e-8085-09045f924f32/</t>
  </si>
  <si>
    <t>a4af11f8-c2d6-4be6-ba68-26543a2f6cc6</t>
  </si>
  <si>
    <t>https://www.commcarehq.org/a/demo-18/reports/form_data/a4af11f8-c2d6-4be6-ba68-26543a2f6cc6/</t>
  </si>
  <si>
    <t>6ecdc47b-cf2b-4422-8cf3-ecb3466788e7</t>
  </si>
  <si>
    <t>https://www.commcarehq.org/a/demo-18/reports/form_data/6ecdc47b-cf2b-4422-8cf3-ecb3466788e7/</t>
  </si>
  <si>
    <t>010e11d8-2391-4b1a-b697-0f7ebf434be8</t>
  </si>
  <si>
    <t>https://www.commcarehq.org/a/demo-18/reports/form_data/010e11d8-2391-4b1a-b697-0f7ebf434be8/</t>
  </si>
  <si>
    <t>0c594a7b-9764-47c6-b26e-bf741944d447</t>
  </si>
  <si>
    <t>https://www.commcarehq.org/a/demo-18/reports/form_data/0c594a7b-9764-47c6-b26e-bf741944d447/</t>
  </si>
  <si>
    <t>d2e0ee70-1eee-47d2-95bc-2cada84fb63c</t>
  </si>
  <si>
    <t>https://www.commcarehq.org/a/demo-18/reports/form_data/d2e0ee70-1eee-47d2-95bc-2cada84fb63c/</t>
  </si>
  <si>
    <t>5c1df0a2-e90f-4004-a5fa-cda3f01d9f23</t>
  </si>
  <si>
    <t>https://www.commcarehq.org/a/demo-18/reports/form_data/5c1df0a2-e90f-4004-a5fa-cda3f01d9f23/</t>
  </si>
  <si>
    <t>abf22fea-5663-44a2-ad35-b31522ef07a4</t>
  </si>
  <si>
    <t>https://www.commcarehq.org/a/demo-18/reports/form_data/abf22fea-5663-44a2-ad35-b31522ef07a4/</t>
  </si>
  <si>
    <t>9c6e6798-27e9-4493-98cd-c4a78c2b678f</t>
  </si>
  <si>
    <t>https://www.commcarehq.org/a/demo-18/reports/form_data/9c6e6798-27e9-4493-98cd-c4a78c2b678f/</t>
  </si>
  <si>
    <t>aa7fec9a-dfec-4117-9da0-25f9cf731ab3</t>
  </si>
  <si>
    <t>https://www.commcarehq.org/a/demo-18/reports/form_data/aa7fec9a-dfec-4117-9da0-25f9cf731ab3/</t>
  </si>
  <si>
    <t>6cf0c887-6554-4c80-b896-03eab415e700</t>
  </si>
  <si>
    <t>https://www.commcarehq.org/a/demo-18/reports/form_data/6cf0c887-6554-4c80-b896-03eab415e700/</t>
  </si>
  <si>
    <t>db6ef625-8f20-43ec-90ba-7f2a04ee3dad</t>
  </si>
  <si>
    <t>https://www.commcarehq.org/a/demo-18/reports/form_data/db6ef625-8f20-43ec-90ba-7f2a04ee3dad/</t>
  </si>
  <si>
    <t>7e572076-1313-49c6-9f38-8dab35c0ad22</t>
  </si>
  <si>
    <t>https://www.commcarehq.org/a/demo-18/reports/form_data/7e572076-1313-49c6-9f38-8dab35c0ad22/</t>
  </si>
  <si>
    <t>38f1a391-8db2-492a-b2b4-e0e281f91170</t>
  </si>
  <si>
    <t>https://www.commcarehq.org/a/demo-18/reports/form_data/38f1a391-8db2-492a-b2b4-e0e281f91170/</t>
  </si>
  <si>
    <t>447c3bbe-2b32-4dd7-acf6-c14e093390bc</t>
  </si>
  <si>
    <t>https://www.commcarehq.org/a/demo-18/reports/form_data/447c3bbe-2b32-4dd7-acf6-c14e093390bc/</t>
  </si>
  <si>
    <t>d3e7972d-5477-478f-a989-35936a0576f2</t>
  </si>
  <si>
    <t>https://www.commcarehq.org/a/demo-18/reports/form_data/d3e7972d-5477-478f-a989-35936a0576f2/</t>
  </si>
  <si>
    <t>5a7f0fc2-5a4c-4743-9532-8a78882c3121</t>
  </si>
  <si>
    <t>https://www.commcarehq.org/a/demo-18/reports/form_data/5a7f0fc2-5a4c-4743-9532-8a78882c3121/</t>
  </si>
  <si>
    <t>bd80e518-aeea-4acb-8e53-537717524373</t>
  </si>
  <si>
    <t>https://www.commcarehq.org/a/demo-18/reports/form_data/bd80e518-aeea-4acb-8e53-537717524373/</t>
  </si>
  <si>
    <t>018ffdd7-5e6f-4bde-898d-563a800e35b3</t>
  </si>
  <si>
    <t>https://www.commcarehq.org/a/demo-18/reports/form_data/018ffdd7-5e6f-4bde-898d-563a800e35b3/</t>
  </si>
  <si>
    <t>096af222-c703-4f75-9ce8-92be36b92044</t>
  </si>
  <si>
    <t>https://www.commcarehq.org/a/demo-18/reports/form_data/096af222-c703-4f75-9ce8-92be36b92044/</t>
  </si>
  <si>
    <t>2b969e79-7d9f-4a65-b4a4-3357e6ac59df</t>
  </si>
  <si>
    <t>https://www.commcarehq.org/a/demo-18/reports/form_data/2b969e79-7d9f-4a65-b4a4-3357e6ac59df/</t>
  </si>
  <si>
    <t>17e06c08-8712-47e9-974f-939c33da4138</t>
  </si>
  <si>
    <t>https://www.commcarehq.org/a/demo-18/reports/form_data/17e06c08-8712-47e9-974f-939c33da4138/</t>
  </si>
  <si>
    <t>7af80b79-0c7b-48db-b914-84d43eb796b0</t>
  </si>
  <si>
    <t>https://www.commcarehq.org/a/demo-18/reports/form_data/7af80b79-0c7b-48db-b914-84d43eb796b0/</t>
  </si>
  <si>
    <t>0b83db7d-4115-4cc2-bc56-ab71fcca9fb3</t>
  </si>
  <si>
    <t>https://www.commcarehq.org/a/demo-18/reports/form_data/0b83db7d-4115-4cc2-bc56-ab71fcca9fb3/</t>
  </si>
  <si>
    <t>790f188f-c4ec-400c-8675-46f9ace56f4e</t>
  </si>
  <si>
    <t>https://www.commcarehq.org/a/demo-18/reports/form_data/790f188f-c4ec-400c-8675-46f9ace56f4e/</t>
  </si>
  <si>
    <t>0db193fe-dfdd-4874-a0cf-288fb6677bb0</t>
  </si>
  <si>
    <t>https://www.commcarehq.org/a/demo-18/reports/form_data/0db193fe-dfdd-4874-a0cf-288fb6677bb0/</t>
  </si>
  <si>
    <t>e0c5a4f9-2d22-4786-a512-d55218b5e524</t>
  </si>
  <si>
    <t>https://www.commcarehq.org/a/demo-18/reports/form_data/e0c5a4f9-2d22-4786-a512-d55218b5e524/</t>
  </si>
  <si>
    <t>9e96ba99-3689-4117-8bc3-5d3748d2937a</t>
  </si>
  <si>
    <t>https://www.commcarehq.org/a/demo-18/reports/form_data/9e96ba99-3689-4117-8bc3-5d3748d2937a/</t>
  </si>
  <si>
    <t>5eb08599-5816-46bb-a245-9d68f1c09436</t>
  </si>
  <si>
    <t>https://www.commcarehq.org/a/demo-18/reports/form_data/5eb08599-5816-46bb-a245-9d68f1c09436/</t>
  </si>
  <si>
    <t>946ec019-1cbc-44d5-bcad-395fe5223560</t>
  </si>
  <si>
    <t>https://www.commcarehq.org/a/demo-18/reports/form_data/946ec019-1cbc-44d5-bcad-395fe5223560/</t>
  </si>
  <si>
    <t>51b084ea-4b78-4d3e-938e-d2bceb233d66</t>
  </si>
  <si>
    <t>https://www.commcarehq.org/a/demo-18/reports/form_data/51b084ea-4b78-4d3e-938e-d2bceb233d66/</t>
  </si>
  <si>
    <t>4e66a9c9-14cb-4e61-8782-d8bc42535b05</t>
  </si>
  <si>
    <t>https://www.commcarehq.org/a/demo-18/reports/form_data/4e66a9c9-14cb-4e61-8782-d8bc42535b05/</t>
  </si>
  <si>
    <t>f29d0b8c-c88b-45fc-a7ef-b30937cc0506</t>
  </si>
  <si>
    <t>https://www.commcarehq.org/a/demo-18/reports/form_data/f29d0b8c-c88b-45fc-a7ef-b30937cc0506/</t>
  </si>
  <si>
    <t>4cf9ba8b-b8f7-4c9f-89c7-0b638d356eef</t>
  </si>
  <si>
    <t>https://www.commcarehq.org/a/demo-18/reports/form_data/4cf9ba8b-b8f7-4c9f-89c7-0b638d356eef/</t>
  </si>
  <si>
    <t>21859684-74cb-488d-a9b4-06bb2e1ece26</t>
  </si>
  <si>
    <t>https://www.commcarehq.org/a/demo-18/reports/form_data/21859684-74cb-488d-a9b4-06bb2e1ece26/</t>
  </si>
  <si>
    <t>d12bff4c-15ed-433e-a5c7-e7fc9a2fd174</t>
  </si>
  <si>
    <t>https://www.commcarehq.org/a/demo-18/reports/form_data/d12bff4c-15ed-433e-a5c7-e7fc9a2fd174/</t>
  </si>
  <si>
    <t>1f51730d-f613-4271-a1a3-25edc0f6550b</t>
  </si>
  <si>
    <t>https://www.commcarehq.org/a/demo-18/reports/form_data/1f51730d-f613-4271-a1a3-25edc0f6550b/</t>
  </si>
  <si>
    <t>b5f8411d-10ad-4994-9355-aaea3a0cf024</t>
  </si>
  <si>
    <t>https://www.commcarehq.org/a/demo-18/reports/form_data/b5f8411d-10ad-4994-9355-aaea3a0cf024/</t>
  </si>
  <si>
    <t>7a6a2e9d-8385-419c-9f8f-1d4272869b60</t>
  </si>
  <si>
    <t>https://www.commcarehq.org/a/demo-18/reports/form_data/7a6a2e9d-8385-419c-9f8f-1d4272869b60/</t>
  </si>
  <si>
    <t>a83f126f-ec5b-4cbc-9ee4-bfdc153be207</t>
  </si>
  <si>
    <t>https://www.commcarehq.org/a/demo-18/reports/form_data/a83f126f-ec5b-4cbc-9ee4-bfdc153be207/</t>
  </si>
  <si>
    <t>cab626b5-2b50-4c97-adaf-4695bb19b486</t>
  </si>
  <si>
    <t>https://www.commcarehq.org/a/demo-18/reports/form_data/cab626b5-2b50-4c97-adaf-4695bb19b486/</t>
  </si>
  <si>
    <t>b7ce5792-42bc-4a9b-bdff-3598f922b5e1</t>
  </si>
  <si>
    <t>https://www.commcarehq.org/a/demo-18/reports/form_data/b7ce5792-42bc-4a9b-bdff-3598f922b5e1/</t>
  </si>
  <si>
    <t>6e829665-adb9-4a55-b18e-c694f469e9f1</t>
  </si>
  <si>
    <t>https://www.commcarehq.org/a/demo-18/reports/form_data/6e829665-adb9-4a55-b18e-c694f469e9f1/</t>
  </si>
  <si>
    <t>a201a235-d30a-475c-9f9b-a3d8c109bcc7</t>
  </si>
  <si>
    <t>https://www.commcarehq.org/a/demo-18/reports/form_data/a201a235-d30a-475c-9f9b-a3d8c109bcc7/</t>
  </si>
  <si>
    <t>90741b47-86b9-42bc-8716-de684238e16f</t>
  </si>
  <si>
    <t>https://www.commcarehq.org/a/demo-18/reports/form_data/90741b47-86b9-42bc-8716-de684238e16f/</t>
  </si>
  <si>
    <t>8b204a3b-149c-4bd9-a93f-163be5537416</t>
  </si>
  <si>
    <t>https://www.commcarehq.org/a/demo-18/reports/form_data/8b204a3b-149c-4bd9-a93f-163be5537416/</t>
  </si>
  <si>
    <t>a23cd493-65bf-4db9-a88e-debb5a414c9c</t>
  </si>
  <si>
    <t>https://www.commcarehq.org/a/demo-18/reports/form_data/a23cd493-65bf-4db9-a88e-debb5a414c9c/</t>
  </si>
  <si>
    <t>05783d3b-3e96-44d5-9a10-8edcadf16926</t>
  </si>
  <si>
    <t>https://www.commcarehq.org/a/demo-18/reports/form_data/05783d3b-3e96-44d5-9a10-8edcadf16926/</t>
  </si>
  <si>
    <t>b224cee9-1d49-4286-9733-4736fc19e924</t>
  </si>
  <si>
    <t>https://www.commcarehq.org/a/demo-18/reports/form_data/b224cee9-1d49-4286-9733-4736fc19e924/</t>
  </si>
  <si>
    <t>6e2d9c7b-fea9-47c8-b43b-fe2095f50725</t>
  </si>
  <si>
    <t>https://www.commcarehq.org/a/demo-18/reports/form_data/6e2d9c7b-fea9-47c8-b43b-fe2095f50725/</t>
  </si>
  <si>
    <t>15750c0f-5702-4b1b-b98c-cce14ea694b9</t>
  </si>
  <si>
    <t>https://www.commcarehq.org/a/demo-18/reports/form_data/15750c0f-5702-4b1b-b98c-cce14ea694b9/</t>
  </si>
  <si>
    <t>e652d812-f6f0-495e-b436-5139fa1b4082</t>
  </si>
  <si>
    <t>https://www.commcarehq.org/a/demo-18/reports/form_data/e652d812-f6f0-495e-b436-5139fa1b4082/</t>
  </si>
  <si>
    <t>b232707f-fd06-4cbb-80e1-85408d22a189</t>
  </si>
  <si>
    <t>https://www.commcarehq.org/a/demo-18/reports/form_data/b232707f-fd06-4cbb-80e1-85408d22a189/</t>
  </si>
  <si>
    <t>99251c9e-8bee-48c5-8f15-5032459643e8</t>
  </si>
  <si>
    <t>https://www.commcarehq.org/a/demo-18/reports/form_data/99251c9e-8bee-48c5-8f15-5032459643e8/</t>
  </si>
  <si>
    <t>89d6b12c-7cf0-4d1a-8b43-11ce3553bb1d</t>
  </si>
  <si>
    <t>https://www.commcarehq.org/a/demo-18/reports/form_data/89d6b12c-7cf0-4d1a-8b43-11ce3553bb1d/</t>
  </si>
  <si>
    <t>f6d8a9c2-e618-42b3-a798-12883bcf540c</t>
  </si>
  <si>
    <t>https://www.commcarehq.org/a/demo-18/reports/form_data/f6d8a9c2-e618-42b3-a798-12883bcf540c/</t>
  </si>
  <si>
    <t>05d05b20-d715-4383-8231-ab8493029279</t>
  </si>
  <si>
    <t>https://www.commcarehq.org/a/demo-18/reports/form_data/05d05b20-d715-4383-8231-ab8493029279/</t>
  </si>
  <si>
    <t>73ae4aee-c9bb-4f76-890d-71eac758df31</t>
  </si>
  <si>
    <t>https://www.commcarehq.org/a/demo-18/reports/form_data/73ae4aee-c9bb-4f76-890d-71eac758df31/</t>
  </si>
  <si>
    <t>d4f80154-fcaa-4092-8943-fe228978c34f</t>
  </si>
  <si>
    <t>https://www.commcarehq.org/a/demo-18/reports/form_data/d4f80154-fcaa-4092-8943-fe228978c34f/</t>
  </si>
  <si>
    <t>ada157aa-77e3-4e80-93fb-2bbdd33076f8</t>
  </si>
  <si>
    <t>https://www.commcarehq.org/a/demo-18/reports/form_data/ada157aa-77e3-4e80-93fb-2bbdd33076f8/</t>
  </si>
  <si>
    <t>b64ee9f2-a2a5-4e9d-abc7-0ed6ba844e11</t>
  </si>
  <si>
    <t>https://www.commcarehq.org/a/demo-18/reports/form_data/b64ee9f2-a2a5-4e9d-abc7-0ed6ba844e11/</t>
  </si>
  <si>
    <t>f7a86183-a832-4e4c-814d-48336d796eeb</t>
  </si>
  <si>
    <t>https://www.commcarehq.org/a/demo-18/reports/form_data/f7a86183-a832-4e4c-814d-48336d796eeb/</t>
  </si>
  <si>
    <t>b894204b-1218-4346-85d7-849a6afeae67</t>
  </si>
  <si>
    <t>https://www.commcarehq.org/a/demo-18/reports/form_data/b894204b-1218-4346-85d7-849a6afeae67/</t>
  </si>
  <si>
    <t>26b8df14-2d4f-449e-b944-8c3b33136787</t>
  </si>
  <si>
    <t>https://www.commcarehq.org/a/demo-18/reports/form_data/26b8df14-2d4f-449e-b944-8c3b33136787/</t>
  </si>
  <si>
    <t>4eccec81-f11c-4116-ae8a-d2b3165a372b</t>
  </si>
  <si>
    <t>https://www.commcarehq.org/a/demo-18/reports/form_data/4eccec81-f11c-4116-ae8a-d2b3165a372b/</t>
  </si>
  <si>
    <t>b940c04d-2620-4122-9e41-2e6c4078a9e8</t>
  </si>
  <si>
    <t>https://www.commcarehq.org/a/demo-18/reports/form_data/b940c04d-2620-4122-9e41-2e6c4078a9e8/</t>
  </si>
  <si>
    <t>a2bea798-55ea-4892-b525-2634a9e29125</t>
  </si>
  <si>
    <t>https://www.commcarehq.org/a/demo-18/reports/form_data/a2bea798-55ea-4892-b525-2634a9e29125/</t>
  </si>
  <si>
    <t>a00477f1-5978-4c04-b5f8-3bd0c32ca877</t>
  </si>
  <si>
    <t>https://www.commcarehq.org/a/demo-18/reports/form_data/a00477f1-5978-4c04-b5f8-3bd0c32ca877/</t>
  </si>
  <si>
    <t>e9a4f8f7-6556-4185-b330-bfd763115162</t>
  </si>
  <si>
    <t>https://www.commcarehq.org/a/demo-18/reports/form_data/e9a4f8f7-6556-4185-b330-bfd763115162/</t>
  </si>
  <si>
    <t>4be5ea43-d376-46fb-9f1d-01425d8b7bef</t>
  </si>
  <si>
    <t>https://www.commcarehq.org/a/demo-18/reports/form_data/4be5ea43-d376-46fb-9f1d-01425d8b7bef/</t>
  </si>
  <si>
    <t>d5a4caf3-5a39-4739-95b2-26a0a051b634</t>
  </si>
  <si>
    <t>https://www.commcarehq.org/a/demo-18/reports/form_data/d5a4caf3-5a39-4739-95b2-26a0a051b634/</t>
  </si>
  <si>
    <t>415eedcf-c3bb-4c87-965e-ca2dac17b1be</t>
  </si>
  <si>
    <t>https://www.commcarehq.org/a/demo-18/reports/form_data/415eedcf-c3bb-4c87-965e-ca2dac17b1be/</t>
  </si>
  <si>
    <t>crinkled cracked stained</t>
  </si>
  <si>
    <t>2b596f19-fc5e-4578-90ad-9f1b33ded051</t>
  </si>
  <si>
    <t>https://www.commcarehq.org/a/demo-18/reports/form_data/2b596f19-fc5e-4578-90ad-9f1b33ded051/</t>
  </si>
  <si>
    <t>a4214c8c-68d6-4a14-8e12-245781213421</t>
  </si>
  <si>
    <t>https://www.commcarehq.org/a/demo-18/reports/form_data/a4214c8c-68d6-4a14-8e12-245781213421/</t>
  </si>
  <si>
    <t>4f70ef8a-06d8-4152-b9e4-8f188d7a9894</t>
  </si>
  <si>
    <t>https://www.commcarehq.org/a/demo-18/reports/form_data/4f70ef8a-06d8-4152-b9e4-8f188d7a9894/</t>
  </si>
  <si>
    <t>1a90b3b8-3991-4e06-84cf-8345dccaf188</t>
  </si>
  <si>
    <t>https://www.commcarehq.org/a/demo-18/reports/form_data/1a90b3b8-3991-4e06-84cf-8345dccaf188/</t>
  </si>
  <si>
    <t>1975b72e-ebc8-4eee-960c-ec4f5ed5ab14</t>
  </si>
  <si>
    <t>https://www.commcarehq.org/a/demo-18/reports/form_data/1975b72e-ebc8-4eee-960c-ec4f5ed5ab14/</t>
  </si>
  <si>
    <t>ff612325-a591-4e54-90da-e4d635f86024</t>
  </si>
  <si>
    <t>https://www.commcarehq.org/a/demo-18/reports/form_data/ff612325-a591-4e54-90da-e4d635f86024/</t>
  </si>
  <si>
    <t>07b55077-4ea3-4b3c-9340-faa29269b589</t>
  </si>
  <si>
    <t>https://www.commcarehq.org/a/demo-18/reports/form_data/07b55077-4ea3-4b3c-9340-faa29269b589/</t>
  </si>
  <si>
    <t>e5053cd1-97e5-4559-8764-50d9adb3de85</t>
  </si>
  <si>
    <t>https://www.commcarehq.org/a/demo-18/reports/form_data/e5053cd1-97e5-4559-8764-50d9adb3de85/</t>
  </si>
  <si>
    <t>15b37045-107d-4f61-b589-58092c2298ad</t>
  </si>
  <si>
    <t>https://www.commcarehq.org/a/demo-18/reports/form_data/15b37045-107d-4f61-b589-58092c2298ad/</t>
  </si>
  <si>
    <t>5b333152-3428-4c27-81c3-73bcbaeadc52</t>
  </si>
  <si>
    <t>https://www.commcarehq.org/a/demo-18/reports/form_data/5b333152-3428-4c27-81c3-73bcbaeadc52/</t>
  </si>
  <si>
    <t>85a814a4-42f4-49bb-b42b-e028c36dc893</t>
  </si>
  <si>
    <t>https://www.commcarehq.org/a/demo-18/reports/form_data/85a814a4-42f4-49bb-b42b-e028c36dc893/</t>
  </si>
  <si>
    <t>d80f5bc2-699f-44ac-911a-af7c2d11d8be</t>
  </si>
  <si>
    <t>https://www.commcarehq.org/a/demo-18/reports/form_data/d80f5bc2-699f-44ac-911a-af7c2d11d8be/</t>
  </si>
  <si>
    <t>ac6439b6-23fb-444f-8551-e55dde9ce736</t>
  </si>
  <si>
    <t>https://www.commcarehq.org/a/demo-18/reports/form_data/ac6439b6-23fb-444f-8551-e55dde9ce736/</t>
  </si>
  <si>
    <t>3a8202e9-8e8a-4f1e-968e-58cc21a5522c</t>
  </si>
  <si>
    <t>https://www.commcarehq.org/a/demo-18/reports/form_data/3a8202e9-8e8a-4f1e-968e-58cc21a5522c/</t>
  </si>
  <si>
    <t>7a958ab4-3e4b-4f2b-9dbe-ff30b59adb87</t>
  </si>
  <si>
    <t>https://www.commcarehq.org/a/demo-18/reports/form_data/7a958ab4-3e4b-4f2b-9dbe-ff30b59adb87/</t>
  </si>
  <si>
    <t>86fd2f6f-b62a-48d6-81cd-f45e9165448a</t>
  </si>
  <si>
    <t>https://www.commcarehq.org/a/demo-18/reports/form_data/86fd2f6f-b62a-48d6-81cd-f45e9165448a/</t>
  </si>
  <si>
    <t>08f331f4-78ca-47b3-a7fc-9c1e74c0f32b</t>
  </si>
  <si>
    <t>https://www.commcarehq.org/a/demo-18/reports/form_data/08f331f4-78ca-47b3-a7fc-9c1e74c0f32b/</t>
  </si>
  <si>
    <t>b49012b1-dc15-4152-a9de-5bf88c153b53</t>
  </si>
  <si>
    <t>https://www.commcarehq.org/a/demo-18/reports/form_data/b49012b1-dc15-4152-a9de-5bf88c153b53/</t>
  </si>
  <si>
    <t>95601f3b-4f8a-4b8e-afe7-47fddee8aea0</t>
  </si>
  <si>
    <t>https://www.commcarehq.org/a/demo-18/reports/form_data/95601f3b-4f8a-4b8e-afe7-47fddee8aea0/</t>
  </si>
  <si>
    <t>67dcff4c-7a19-4324-a826-930e8611fa24</t>
  </si>
  <si>
    <t>https://www.commcarehq.org/a/demo-18/reports/form_data/67dcff4c-7a19-4324-a826-930e8611fa24/</t>
  </si>
  <si>
    <t>e239816e-b860-4f20-9bc1-7d7edecf7979</t>
  </si>
  <si>
    <t>https://www.commcarehq.org/a/demo-18/reports/form_data/e239816e-b860-4f20-9bc1-7d7edecf7979/</t>
  </si>
  <si>
    <t>652c6970-6998-4283-9174-03629d9fbed3</t>
  </si>
  <si>
    <t>https://www.commcarehq.org/a/demo-18/reports/form_data/652c6970-6998-4283-9174-03629d9fbed3/</t>
  </si>
  <si>
    <t>6bc19aff-c269-4429-87ba-32455c46ad0f</t>
  </si>
  <si>
    <t>https://www.commcarehq.org/a/demo-18/reports/form_data/6bc19aff-c269-4429-87ba-32455c46ad0f/</t>
  </si>
  <si>
    <t>bc747d5e-3e45-4699-94d2-44051fdc0266</t>
  </si>
  <si>
    <t>https://www.commcarehq.org/a/demo-18/reports/form_data/bc747d5e-3e45-4699-94d2-44051fdc0266/</t>
  </si>
  <si>
    <t>6666d85e-9f74-4e07-8ab2-4f5116139c47</t>
  </si>
  <si>
    <t>https://www.commcarehq.org/a/demo-18/reports/form_data/6666d85e-9f74-4e07-8ab2-4f5116139c47/</t>
  </si>
  <si>
    <t>49bc24f0-d2ca-45be-8f1f-73a9e3a7ca76</t>
  </si>
  <si>
    <t>https://www.commcarehq.org/a/demo-18/reports/form_data/49bc24f0-d2ca-45be-8f1f-73a9e3a7ca76/</t>
  </si>
  <si>
    <t>9ff0ed09-f894-4815-a443-3c7af20964d6</t>
  </si>
  <si>
    <t>https://www.commcarehq.org/a/demo-18/reports/form_data/9ff0ed09-f894-4815-a443-3c7af20964d6/</t>
  </si>
  <si>
    <t>crinkled cracked rippedtorn faded</t>
  </si>
  <si>
    <t>db2c71c4-820b-4f99-8bfa-8c5eae8b76b8</t>
  </si>
  <si>
    <t>https://www.commcarehq.org/a/demo-18/reports/form_data/db2c71c4-820b-4f99-8bfa-8c5eae8b76b8/</t>
  </si>
  <si>
    <t>9f00e0ee-5cc9-4f5c-9c33-e078f65fc8cd</t>
  </si>
  <si>
    <t>https://www.commcarehq.org/a/demo-18/reports/form_data/9f00e0ee-5cc9-4f5c-9c33-e078f65fc8cd/</t>
  </si>
  <si>
    <t>d4c61fd2-f950-4c80-99ba-75178a9b7e44</t>
  </si>
  <si>
    <t>https://www.commcarehq.org/a/demo-18/reports/form_data/d4c61fd2-f950-4c80-99ba-75178a9b7e44/</t>
  </si>
  <si>
    <t>5c28a041-aff6-43c6-8784-8135e67ba919</t>
  </si>
  <si>
    <t>https://www.commcarehq.org/a/demo-18/reports/form_data/5c28a041-aff6-43c6-8784-8135e67ba919/</t>
  </si>
  <si>
    <t>21fd2f4f-c4e4-4fd4-b36f-642e626c2384</t>
  </si>
  <si>
    <t>https://www.commcarehq.org/a/demo-18/reports/form_data/21fd2f4f-c4e4-4fd4-b36f-642e626c2384/</t>
  </si>
  <si>
    <t>f006fe1a-3189-4077-9b90-f61894a5caeb</t>
  </si>
  <si>
    <t>https://www.commcarehq.org/a/demo-18/reports/form_data/f006fe1a-3189-4077-9b90-f61894a5caeb/</t>
  </si>
  <si>
    <t>5dab97d9-bde0-4fe3-b19e-68f564f1195a</t>
  </si>
  <si>
    <t>https://www.commcarehq.org/a/demo-18/reports/form_data/5dab97d9-bde0-4fe3-b19e-68f564f1195a/</t>
  </si>
  <si>
    <t>c677ba2c-315a-49ac-a3e2-6029bc26382f</t>
  </si>
  <si>
    <t>https://www.commcarehq.org/a/demo-18/reports/form_data/c677ba2c-315a-49ac-a3e2-6029bc26382f/</t>
  </si>
  <si>
    <t>cracked faded stained</t>
  </si>
  <si>
    <t>a05993cc-7f01-4269-a14a-b2b177d3ae76</t>
  </si>
  <si>
    <t>https://www.commcarehq.org/a/demo-18/reports/form_data/a05993cc-7f01-4269-a14a-b2b177d3ae76/</t>
  </si>
  <si>
    <t>96506ea5-bee7-476b-8954-b88df2e6f61a</t>
  </si>
  <si>
    <t>https://www.commcarehq.org/a/demo-18/reports/form_data/96506ea5-bee7-476b-8954-b88df2e6f61a/</t>
  </si>
  <si>
    <t>ce51b51c-01ff-4bda-bfcf-8d0d630300de</t>
  </si>
  <si>
    <t>https://www.commcarehq.org/a/demo-18/reports/form_data/ce51b51c-01ff-4bda-bfcf-8d0d630300de/</t>
  </si>
  <si>
    <t>4f3cf50c-da8c-4fe4-8bf7-e3f1c0a533b8</t>
  </si>
  <si>
    <t>https://www.commcarehq.org/a/demo-18/reports/form_data/4f3cf50c-da8c-4fe4-8bf7-e3f1c0a533b8/</t>
  </si>
  <si>
    <t>7e0cf31f-619d-475b-b2dd-e76faa79c678</t>
  </si>
  <si>
    <t>https://www.commcarehq.org/a/demo-18/reports/form_data/7e0cf31f-619d-475b-b2dd-e76faa79c678/</t>
  </si>
  <si>
    <t>f2675d63-e412-48e9-8fa8-53070c93c746</t>
  </si>
  <si>
    <t>https://www.commcarehq.org/a/demo-18/reports/form_data/f2675d63-e412-48e9-8fa8-53070c93c746/</t>
  </si>
  <si>
    <t>6e6caf14-b734-422d-b1d1-732c23fb67e3</t>
  </si>
  <si>
    <t>https://www.commcarehq.org/a/demo-18/reports/form_data/6e6caf14-b734-422d-b1d1-732c23fb67e3/</t>
  </si>
  <si>
    <t>cracked rippedtorn faded</t>
  </si>
  <si>
    <t>e17b42cf-397e-4994-934e-7185ba1b09b4</t>
  </si>
  <si>
    <t>https://www.commcarehq.org/a/demo-18/reports/form_data/e17b42cf-397e-4994-934e-7185ba1b09b4/</t>
  </si>
  <si>
    <t>ff1ff339-1b38-4a65-b869-3f989f35091d</t>
  </si>
  <si>
    <t>https://www.commcarehq.org/a/demo-18/reports/form_data/ff1ff339-1b38-4a65-b869-3f989f35091d/</t>
  </si>
  <si>
    <t>32cf8db1-8276-40e4-b60f-9f55b0284f06</t>
  </si>
  <si>
    <t>https://www.commcarehq.org/a/demo-18/reports/form_data/32cf8db1-8276-40e4-b60f-9f55b0284f06/</t>
  </si>
  <si>
    <t>6bd0bd9c-6e64-4718-b8ff-8d68647ddbf9</t>
  </si>
  <si>
    <t>https://www.commcarehq.org/a/demo-18/reports/form_data/6bd0bd9c-6e64-4718-b8ff-8d68647ddbf9/</t>
  </si>
  <si>
    <t>a869c7f1-1691-489f-bd22-be6558143035</t>
  </si>
  <si>
    <t>https://www.commcarehq.org/a/demo-18/reports/form_data/a869c7f1-1691-489f-bd22-be6558143035/</t>
  </si>
  <si>
    <t>abe5b2ce-9bdb-4b11-a099-d88b5c244251</t>
  </si>
  <si>
    <t>https://www.commcarehq.org/a/demo-18/reports/form_data/abe5b2ce-9bdb-4b11-a099-d88b5c244251/</t>
  </si>
  <si>
    <t>47f369df-689e-4586-b4a9-c8fa50c8883b</t>
  </si>
  <si>
    <t>https://www.commcarehq.org/a/demo-18/reports/form_data/47f369df-689e-4586-b4a9-c8fa50c8883b/</t>
  </si>
  <si>
    <t>617830de-52a8-45da-a1ed-de9e02c34168</t>
  </si>
  <si>
    <t>https://www.commcarehq.org/a/demo-18/reports/form_data/617830de-52a8-45da-a1ed-de9e02c34168/</t>
  </si>
  <si>
    <t>65869ff5-9346-4689-94a4-288bd80ede80</t>
  </si>
  <si>
    <t>https://www.commcarehq.org/a/demo-18/reports/form_data/65869ff5-9346-4689-94a4-288bd80ede80/</t>
  </si>
  <si>
    <t>141d899c-2a58-4075-8c84-2869f02a570d</t>
  </si>
  <si>
    <t>https://www.commcarehq.org/a/demo-18/reports/form_data/141d899c-2a58-4075-8c84-2869f02a570d/</t>
  </si>
  <si>
    <t>759610cb-49dd-4f81-8862-cff100c7e145</t>
  </si>
  <si>
    <t>https://www.commcarehq.org/a/demo-18/reports/form_data/759610cb-49dd-4f81-8862-cff100c7e145/</t>
  </si>
  <si>
    <t>0872be31-aed2-437c-916f-dd41d3a05135</t>
  </si>
  <si>
    <t>https://www.commcarehq.org/a/demo-18/reports/form_data/0872be31-aed2-437c-916f-dd41d3a05135/</t>
  </si>
  <si>
    <t>49fc8f44-48b2-408f-83d7-c4f671c8e27c</t>
  </si>
  <si>
    <t>https://www.commcarehq.org/a/demo-18/reports/form_data/49fc8f44-48b2-408f-83d7-c4f671c8e27c/</t>
  </si>
  <si>
    <t>ee226d38-e52f-4d9d-814a-b18803a3233d</t>
  </si>
  <si>
    <t>https://www.commcarehq.org/a/demo-18/reports/form_data/ee226d38-e52f-4d9d-814a-b18803a3233d/</t>
  </si>
  <si>
    <t>09b785a1-c97f-4563-9068-d3cb729e8cf1</t>
  </si>
  <si>
    <t>https://www.commcarehq.org/a/demo-18/reports/form_data/09b785a1-c97f-4563-9068-d3cb729e8cf1/</t>
  </si>
  <si>
    <t>100fc457-0f34-409d-be00-1bdde50d39af</t>
  </si>
  <si>
    <t>https://www.commcarehq.org/a/demo-18/reports/form_data/100fc457-0f34-409d-be00-1bdde50d39af/</t>
  </si>
  <si>
    <t>ba48f439-9ae9-4a93-bcf6-e5ebfe97a48b</t>
  </si>
  <si>
    <t>https://www.commcarehq.org/a/demo-18/reports/form_data/ba48f439-9ae9-4a93-bcf6-e5ebfe97a48b/</t>
  </si>
  <si>
    <t>f066c7cd-28e2-4e1e-b67f-0e5071156370</t>
  </si>
  <si>
    <t>https://www.commcarehq.org/a/demo-18/reports/form_data/f066c7cd-28e2-4e1e-b67f-0e5071156370/</t>
  </si>
  <si>
    <t>8564bf0c-26c6-4adc-be28-7cb10b8aaae8</t>
  </si>
  <si>
    <t>https://www.commcarehq.org/a/demo-18/reports/form_data/8564bf0c-26c6-4adc-be28-7cb10b8aaae8/</t>
  </si>
  <si>
    <t>7e4a5b25-6e29-48d0-bbdb-8f4f7b26c463</t>
  </si>
  <si>
    <t>https://www.commcarehq.org/a/demo-18/reports/form_data/7e4a5b25-6e29-48d0-bbdb-8f4f7b26c463/</t>
  </si>
  <si>
    <t>crinkled cracked rippedtorn water-damaged stained</t>
  </si>
  <si>
    <t>a80af71f-5898-432e-ba6c-191c0a359ba9</t>
  </si>
  <si>
    <t>https://www.commcarehq.org/a/demo-18/reports/form_data/a80af71f-5898-432e-ba6c-191c0a359ba9/</t>
  </si>
  <si>
    <t>6abdcb04-be98-4ce4-8015-d8416328fed6</t>
  </si>
  <si>
    <t>https://www.commcarehq.org/a/demo-18/reports/form_data/6abdcb04-be98-4ce4-8015-d8416328fed6/</t>
  </si>
  <si>
    <t>c1a7a9d9-772e-4406-b9b8-f3feec46e19e</t>
  </si>
  <si>
    <t>https://www.commcarehq.org/a/demo-18/reports/form_data/c1a7a9d9-772e-4406-b9b8-f3feec46e19e/</t>
  </si>
  <si>
    <t>a7530f83-4fc8-47d4-85c7-fc2b0a3e9b63</t>
  </si>
  <si>
    <t>https://www.commcarehq.org/a/demo-18/reports/form_data/a7530f83-4fc8-47d4-85c7-fc2b0a3e9b63/</t>
  </si>
  <si>
    <t>fe8dc7ba-5e03-4e76-a167-ff7224fb3413</t>
  </si>
  <si>
    <t>https://www.commcarehq.org/a/demo-18/reports/form_data/fe8dc7ba-5e03-4e76-a167-ff7224fb3413/</t>
  </si>
  <si>
    <t>b2eb82d8-ae31-4471-84d8-8b35f59caff9</t>
  </si>
  <si>
    <t>https://www.commcarehq.org/a/demo-18/reports/form_data/b2eb82d8-ae31-4471-84d8-8b35f59caff9/</t>
  </si>
  <si>
    <t>2301d170-f177-46ed-b940-d28d279ac05a</t>
  </si>
  <si>
    <t>https://www.commcarehq.org/a/demo-18/reports/form_data/2301d170-f177-46ed-b940-d28d279ac05a/</t>
  </si>
  <si>
    <t>f6fe2c77-ee5a-43c8-963b-4f4c513d2f2f</t>
  </si>
  <si>
    <t>https://www.commcarehq.org/a/demo-18/reports/form_data/f6fe2c77-ee5a-43c8-963b-4f4c513d2f2f/</t>
  </si>
  <si>
    <t>1e3a6ef3-96fe-449c-add6-27fff3d80df9</t>
  </si>
  <si>
    <t>https://www.commcarehq.org/a/demo-18/reports/form_data/1e3a6ef3-96fe-449c-add6-27fff3d80df9/</t>
  </si>
  <si>
    <t>5793e96e-5c2b-41af-882d-86f166a2c354</t>
  </si>
  <si>
    <t>https://www.commcarehq.org/a/demo-18/reports/form_data/5793e96e-5c2b-41af-882d-86f166a2c354/</t>
  </si>
  <si>
    <t>c3478b8e-b7d2-4149-91ba-0819996d8d1e</t>
  </si>
  <si>
    <t>https://www.commcarehq.org/a/demo-18/reports/form_data/c3478b8e-b7d2-4149-91ba-0819996d8d1e/</t>
  </si>
  <si>
    <t>6D104</t>
  </si>
  <si>
    <t>d96cf1ca-f2e2-4393-bf81-8e337ca785ce</t>
  </si>
  <si>
    <t>https://www.commcarehq.org/a/demo-18/reports/form_data/d96cf1ca-f2e2-4393-bf81-8e337ca785ce/</t>
  </si>
  <si>
    <t>4fbe2b35-d1de-4ba8-a095-220787815fa8</t>
  </si>
  <si>
    <t>https://www.commcarehq.org/a/demo-18/reports/form_data/4fbe2b35-d1de-4ba8-a095-220787815fa8/</t>
  </si>
  <si>
    <t>yes</t>
  </si>
  <si>
    <t>a_new_under_five_card_was_issued</t>
  </si>
  <si>
    <t>dda53d6b-c43c-4309-a3d5-0b00be81fbe7</t>
  </si>
  <si>
    <t>https://www.commcarehq.org/a/demo-18/reports/form_data/dda53d6b-c43c-4309-a3d5-0b00be81fbe7/</t>
  </si>
  <si>
    <t>60609dee-e024-4008-bc32-6b4f23b748a6</t>
  </si>
  <si>
    <t>https://www.commcarehq.org/a/demo-18/reports/form_data/60609dee-e024-4008-bc32-6b4f23b748a6/</t>
  </si>
  <si>
    <t>37228b01-f1c4-407f-b9b2-a083dac4848d</t>
  </si>
  <si>
    <t>https://www.commcarehq.org/a/demo-18/reports/form_data/37228b01-f1c4-407f-b9b2-a083dac4848d/</t>
  </si>
  <si>
    <t>d4f42a81-a38f-4055-ac95-195ed6323be2</t>
  </si>
  <si>
    <t>https://www.commcarehq.org/a/demo-18/reports/form_data/d4f42a81-a38f-4055-ac95-195ed6323be2/</t>
  </si>
  <si>
    <t>d2d3c539-ec20-4ff2-9348-57d9120d2fb2</t>
  </si>
  <si>
    <t>https://www.commcarehq.org/a/demo-18/reports/form_data/d2d3c539-ec20-4ff2-9348-57d9120d2fb2/</t>
  </si>
  <si>
    <t>6186921f-9406-4177-bab5-cd2e439c108c</t>
  </si>
  <si>
    <t>https://www.commcarehq.org/a/demo-18/reports/form_data/6186921f-9406-4177-bab5-cd2e439c108c/</t>
  </si>
  <si>
    <t>aeff77a8-b85e-4173-9086-ba1c2938d929</t>
  </si>
  <si>
    <t>https://www.commcarehq.org/a/demo-18/reports/form_data/aeff77a8-b85e-4173-9086-ba1c2938d929/</t>
  </si>
  <si>
    <t>9487d3d8-2e66-4345-b478-0a45e59938f8</t>
  </si>
  <si>
    <t>https://www.commcarehq.org/a/demo-18/reports/form_data/9487d3d8-2e66-4345-b478-0a45e59938f8/</t>
  </si>
  <si>
    <t>2254306f-170c-41b1-bc61-7dda377669e9</t>
  </si>
  <si>
    <t>https://www.commcarehq.org/a/demo-18/reports/form_data/2254306f-170c-41b1-bc61-7dda377669e9/</t>
  </si>
  <si>
    <t>1c9d2916-3479-46da-8360-1c21bca7ac42</t>
  </si>
  <si>
    <t>https://www.commcarehq.org/a/demo-18/reports/form_data/1c9d2916-3479-46da-8360-1c21bca7ac42/</t>
  </si>
  <si>
    <t>75bcfc74-c6f4-42f6-a7f3-b874713935a5</t>
  </si>
  <si>
    <t>https://www.commcarehq.org/a/demo-18/reports/form_data/75bcfc74-c6f4-42f6-a7f3-b874713935a5/</t>
  </si>
  <si>
    <t>4e69d2f4-04c3-4797-aa17-24f6500d3abe</t>
  </si>
  <si>
    <t>https://www.commcarehq.org/a/demo-18/reports/form_data/4e69d2f4-04c3-4797-aa17-24f6500d3abe/</t>
  </si>
  <si>
    <t>8a2bdc86-f10d-47c1-a500-a72bfda551cb</t>
  </si>
  <si>
    <t>https://www.commcarehq.org/a/demo-18/reports/form_data/8a2bdc86-f10d-47c1-a500-a72bfda551cb/</t>
  </si>
  <si>
    <t>fd7056d2-939e-48c7-be7a-bc15f2b3078b</t>
  </si>
  <si>
    <t>https://www.commcarehq.org/a/demo-18/reports/form_data/fd7056d2-939e-48c7-be7a-bc15f2b3078b/</t>
  </si>
  <si>
    <t>e239ddbf-e0eb-4297-b409-eccb45d0abb6</t>
  </si>
  <si>
    <t>https://www.commcarehq.org/a/demo-18/reports/form_data/e239ddbf-e0eb-4297-b409-eccb45d0abb6/</t>
  </si>
  <si>
    <t>76351440-206a-4f3e-8b5c-8307be32cf89</t>
  </si>
  <si>
    <t>https://www.commcarehq.org/a/demo-18/reports/form_data/76351440-206a-4f3e-8b5c-8307be32cf89/</t>
  </si>
  <si>
    <t>c40a3210-9a43-4bef-a35b-5b9bda22c8c7</t>
  </si>
  <si>
    <t>https://www.commcarehq.org/a/demo-18/reports/form_data/c40a3210-9a43-4bef-a35b-5b9bda22c8c7/</t>
  </si>
  <si>
    <t>d3c828f4-581b-4584-aa5d-2718492b7347</t>
  </si>
  <si>
    <t>https://www.commcarehq.org/a/demo-18/reports/form_data/d3c828f4-581b-4584-aa5d-2718492b7347/</t>
  </si>
  <si>
    <t>f9a732a0-6822-4579-b4ff-1423ef386cc3</t>
  </si>
  <si>
    <t>https://www.commcarehq.org/a/demo-18/reports/form_data/f9a732a0-6822-4579-b4ff-1423ef386cc3/</t>
  </si>
  <si>
    <t>crinkled cracked rippedtorn faded water-damaged stained</t>
  </si>
  <si>
    <t>fa3031db-f65e-43f1-b47e-2a85477024b4</t>
  </si>
  <si>
    <t>https://www.commcarehq.org/a/demo-18/reports/form_data/fa3031db-f65e-43f1-b47e-2a85477024b4/</t>
  </si>
  <si>
    <t>0f79f4c3-3256-4f1b-a482-7bb26fa22a85</t>
  </si>
  <si>
    <t>https://www.commcarehq.org/a/demo-18/reports/form_data/0f79f4c3-3256-4f1b-a482-7bb26fa22a85/</t>
  </si>
  <si>
    <t>d1dde4ad-454a-4760-a22a-6a4272dd2514</t>
  </si>
  <si>
    <t>https://www.commcarehq.org/a/demo-18/reports/form_data/d1dde4ad-454a-4760-a22a-6a4272dd2514/</t>
  </si>
  <si>
    <t>cc7c3397-0306-4de6-895f-be47deb292f5</t>
  </si>
  <si>
    <t>https://www.commcarehq.org/a/demo-18/reports/form_data/cc7c3397-0306-4de6-895f-be47deb292f5/</t>
  </si>
  <si>
    <t>5d2fe091-b3d7-4c77-9004-0f7b52e1ec82</t>
  </si>
  <si>
    <t>https://www.commcarehq.org/a/demo-18/reports/form_data/5d2fe091-b3d7-4c77-9004-0f7b52e1ec82/</t>
  </si>
  <si>
    <t>d728ff25-9d85-419b-ad70-ece05f082a8d</t>
  </si>
  <si>
    <t>https://www.commcarehq.org/a/demo-18/reports/form_data/d728ff25-9d85-419b-ad70-ece05f082a8d/</t>
  </si>
  <si>
    <t>33827249-7b13-4814-b958-df7b15696187</t>
  </si>
  <si>
    <t>https://www.commcarehq.org/a/demo-18/reports/form_data/33827249-7b13-4814-b958-df7b15696187/</t>
  </si>
  <si>
    <t>c3b552f1-60aa-441d-9331-a31ea3dcc947</t>
  </si>
  <si>
    <t>https://www.commcarehq.org/a/demo-18/reports/form_data/c3b552f1-60aa-441d-9331-a31ea3dcc947/</t>
  </si>
  <si>
    <t>ed09e7c8-dc89-4f17-a965-c55ab3fe8388</t>
  </si>
  <si>
    <t>https://www.commcarehq.org/a/demo-18/reports/form_data/ed09e7c8-dc89-4f17-a965-c55ab3fe8388/</t>
  </si>
  <si>
    <t>45c272ba-a1ae-4aef-ad63-8b2d64bd2d87</t>
  </si>
  <si>
    <t>https://www.commcarehq.org/a/demo-18/reports/form_data/45c272ba-a1ae-4aef-ad63-8b2d64bd2d87/</t>
  </si>
  <si>
    <t>ef6520a8-1474-4222-8ee9-7a10008a609e</t>
  </si>
  <si>
    <t>https://www.commcarehq.org/a/demo-18/reports/form_data/ef6520a8-1474-4222-8ee9-7a10008a609e/</t>
  </si>
  <si>
    <t>5671040a-e003-49d4-befd-5c2505f7cb2f</t>
  </si>
  <si>
    <t>https://www.commcarehq.org/a/demo-18/reports/form_data/5671040a-e003-49d4-befd-5c2505f7cb2f/</t>
  </si>
  <si>
    <t>91e5b131-5568-48da-a47d-cbe83ad9b036</t>
  </si>
  <si>
    <t>https://www.commcarehq.org/a/demo-18/reports/form_data/91e5b131-5568-48da-a47d-cbe83ad9b036/</t>
  </si>
  <si>
    <t>8fb172b3-8465-47d2-b14a-0269072661a6</t>
  </si>
  <si>
    <t>https://www.commcarehq.org/a/demo-18/reports/form_data/8fb172b3-8465-47d2-b14a-0269072661a6/</t>
  </si>
  <si>
    <t>1c3a6760-e2bc-49b6-9936-9a63dce43d9a</t>
  </si>
  <si>
    <t>https://www.commcarehq.org/a/demo-18/reports/form_data/1c3a6760-e2bc-49b6-9936-9a63dce43d9a/</t>
  </si>
  <si>
    <t>16087406-44a5-4f09-9f0e-46c664c2f4b0</t>
  </si>
  <si>
    <t>https://www.commcarehq.org/a/demo-18/reports/form_data/16087406-44a5-4f09-9f0e-46c664c2f4b0/</t>
  </si>
  <si>
    <t>d7292136-f46a-487e-a87d-2f3f5a8102cf</t>
  </si>
  <si>
    <t>https://www.commcarehq.org/a/demo-18/reports/form_data/d7292136-f46a-487e-a87d-2f3f5a8102cf/</t>
  </si>
  <si>
    <t>9af902d0-3a2f-4832-b0fe-9093a20e4d5f</t>
  </si>
  <si>
    <t>https://www.commcarehq.org/a/demo-18/reports/form_data/9af902d0-3a2f-4832-b0fe-9093a20e4d5f/</t>
  </si>
  <si>
    <t>a12891db-347c-425d-8366-931590710143</t>
  </si>
  <si>
    <t>https://www.commcarehq.org/a/demo-18/reports/form_data/a12891db-347c-425d-8366-931590710143/</t>
  </si>
  <si>
    <t>Damage Ranking</t>
  </si>
  <si>
    <t>3 or more</t>
  </si>
  <si>
    <t>Minor</t>
  </si>
  <si>
    <t>Moderate</t>
  </si>
  <si>
    <t>Extreme</t>
  </si>
  <si>
    <t>82a55fd7-7701-46e5-ac4c-a7d45311fb4b</t>
  </si>
  <si>
    <t>https://www.commcarehq.org/a/demo-18/reports/form_data/82a55fd7-7701-46e5-ac4c-a7d45311fb4b/</t>
  </si>
  <si>
    <t>6f9f41c2-f560-4d91-a1ad-758709ce1f08</t>
  </si>
  <si>
    <t>https://www.commcarehq.org/a/demo-18/reports/form_data/6f9f41c2-f560-4d91-a1ad-758709ce1f08/</t>
  </si>
  <si>
    <t>0fc1fd0d-8ea0-48ab-89cb-f8ef24e6eea5</t>
  </si>
  <si>
    <t>https://www.commcarehq.org/a/demo-18/reports/form_data/0fc1fd0d-8ea0-48ab-89cb-f8ef24e6eea5/</t>
  </si>
  <si>
    <t>card_was_severely_damaged</t>
  </si>
  <si>
    <t>search</t>
  </si>
  <si>
    <t>clinic_shortage</t>
  </si>
  <si>
    <t>fa404d60-6f6d-4e65-849e-b9583cdbe831</t>
  </si>
  <si>
    <t>https://www.commcarehq.org/a/demo-18/reports/form_data/fa404d60-6f6d-4e65-849e-b9583cdbe831/</t>
  </si>
  <si>
    <t>08208155-9cd6-464f-b59e-d8094e351039</t>
  </si>
  <si>
    <t>https://www.commcarehq.org/a/demo-18/reports/form_data/08208155-9cd6-464f-b59e-d8094e351039/</t>
  </si>
  <si>
    <t>8cc3d570-0cd8-4b53-a23d-afbf6222ca25</t>
  </si>
  <si>
    <t>https://www.commcarehq.org/a/demo-18/reports/form_data/8cc3d570-0cd8-4b53-a23d-afbf6222ca25/</t>
  </si>
  <si>
    <t>folded_corners crinkled cracked rippedtorn</t>
  </si>
  <si>
    <t>526c37cd-8c92-4acd-9aad-a75cc9dc0692</t>
  </si>
  <si>
    <t>https://www.commcarehq.org/a/demo-18/reports/form_data/526c37cd-8c92-4acd-9aad-a75cc9dc0692/</t>
  </si>
  <si>
    <t>eb5f7188-6f3f-44ee-bebd-0fb30f643280</t>
  </si>
  <si>
    <t>https://www.commcarehq.org/a/demo-18/reports/form_data/eb5f7188-6f3f-44ee-bebd-0fb30f643280/</t>
  </si>
  <si>
    <t>8fbc670e-b70b-4d39-ad9c-1ad5c479e183</t>
  </si>
  <si>
    <t>https://www.commcarehq.org/a/demo-18/reports/form_data/8fbc670e-b70b-4d39-ad9c-1ad5c479e183/</t>
  </si>
  <si>
    <t>6cf71d63-d034-4b95-9b17-2732b9f3d6a7</t>
  </si>
  <si>
    <t>https://www.commcarehq.org/a/demo-18/reports/form_data/6cf71d63-d034-4b95-9b17-2732b9f3d6a7/</t>
  </si>
  <si>
    <t>edd64b78-e04e-4f90-ba37-5dc55cb26818</t>
  </si>
  <si>
    <t>https://www.commcarehq.org/a/demo-18/reports/form_data/edd64b78-e04e-4f90-ba37-5dc55cb26818/</t>
  </si>
  <si>
    <t>folded_corners crinkled cracked</t>
  </si>
  <si>
    <t>312044be-619b-4406-8f88-592930eb611c</t>
  </si>
  <si>
    <t>https://www.commcarehq.org/a/demo-18/reports/form_data/312044be-619b-4406-8f88-592930eb611c/</t>
  </si>
  <si>
    <t>6d6d5732-19f9-4f80-8d9b-78a45366442a</t>
  </si>
  <si>
    <t>https://www.commcarehq.org/a/demo-18/reports/form_data/6d6d5732-19f9-4f80-8d9b-78a45366442a/</t>
  </si>
  <si>
    <t>fdd938ab-d506-44f4-8d80-cd4cab586d7e</t>
  </si>
  <si>
    <t>https://www.commcarehq.org/a/demo-18/reports/form_data/fdd938ab-d506-44f4-8d80-cd4cab586d7e/</t>
  </si>
  <si>
    <t>977b9ec0-1f73-4279-8b45-79ec006d8a72</t>
  </si>
  <si>
    <t>https://www.commcarehq.org/a/demo-18/reports/form_data/977b9ec0-1f73-4279-8b45-79ec006d8a72/</t>
  </si>
  <si>
    <t>e8da5d8e-2b65-427e-8bcd-7561ec2500a6</t>
  </si>
  <si>
    <t>https://www.commcarehq.org/a/demo-18/reports/form_data/e8da5d8e-2b65-427e-8bcd-7561ec2500a6/</t>
  </si>
  <si>
    <t>1c07bf5d-5f69-4686-9e97-dd37a3fc7fca</t>
  </si>
  <si>
    <t>https://www.commcarehq.org/a/demo-18/reports/form_data/1c07bf5d-5f69-4686-9e97-dd37a3fc7fca/</t>
  </si>
  <si>
    <t>cracked rippedtorn faded water-damaged stained</t>
  </si>
  <si>
    <t>a8300ede-931a-49b3-a8c5-4b955d7f6a2c</t>
  </si>
  <si>
    <t>https://www.commcarehq.org/a/demo-18/reports/form_data/a8300ede-931a-49b3-a8c5-4b955d7f6a2c/</t>
  </si>
  <si>
    <t>e2ffeadc-b8af-42b2-b3a0-b1596d4c8782</t>
  </si>
  <si>
    <t>https://www.commcarehq.org/a/demo-18/reports/form_data/e2ffeadc-b8af-42b2-b3a0-b1596d4c8782/</t>
  </si>
  <si>
    <t>72e7a26f-fbc7-4c78-a3dc-fa11be4faf41</t>
  </si>
  <si>
    <t>https://www.commcarehq.org/a/demo-18/reports/form_data/72e7a26f-fbc7-4c78-a3dc-fa11be4faf41/</t>
  </si>
  <si>
    <t>e4de1e5a-fd37-487b-8fd2-5b426d21c0d5</t>
  </si>
  <si>
    <t>https://www.commcarehq.org/a/demo-18/reports/form_data/e4de1e5a-fd37-487b-8fd2-5b426d21c0d5/</t>
  </si>
  <si>
    <t>c3c60898-adfc-4138-9336-fbd49115d009</t>
  </si>
  <si>
    <t>https://www.commcarehq.org/a/demo-18/reports/form_data/c3c60898-adfc-4138-9336-fbd49115d009/</t>
  </si>
  <si>
    <t>94eb3575-d0b2-46c0-87f6-75ceb086a9b2</t>
  </si>
  <si>
    <t>https://www.commcarehq.org/a/demo-18/reports/form_data/94eb3575-d0b2-46c0-87f6-75ceb086a9b2/</t>
  </si>
  <si>
    <t>b771defe-b240-4889-81b6-4672c5214ce7</t>
  </si>
  <si>
    <t>https://www.commcarehq.org/a/demo-18/reports/form_data/b771defe-b240-4889-81b6-4672c5214ce7/</t>
  </si>
  <si>
    <t>folded_corners crinkled cracked rippedtorn water-damaged stained</t>
  </si>
  <si>
    <t>b91e0efd-38e3-4039-8e16-c7829780f7ac</t>
  </si>
  <si>
    <t>https://www.commcarehq.org/a/demo-18/reports/form_data/b91e0efd-38e3-4039-8e16-c7829780f7ac/</t>
  </si>
  <si>
    <t>a09ceeeb-bbe2-49a5-94be-947cf6097dff</t>
  </si>
  <si>
    <t>https://www.commcarehq.org/a/demo-18/reports/form_data/a09ceeeb-bbe2-49a5-94be-947cf6097dff/</t>
  </si>
  <si>
    <t>folded_corners crinkled cracked rippedtorn faded water-damaged stained</t>
  </si>
  <si>
    <t>4b201776-d4b3-4bdb-8c6d-5a4c9cb2ff52</t>
  </si>
  <si>
    <t>https://www.commcarehq.org/a/demo-18/reports/form_data/4b201776-d4b3-4bdb-8c6d-5a4c9cb2ff52/</t>
  </si>
  <si>
    <t>3074335a-db8c-47eb-b4e2-c999726fbd15</t>
  </si>
  <si>
    <t>https://www.commcarehq.org/a/demo-18/reports/form_data/3074335a-db8c-47eb-b4e2-c999726fbd15/</t>
  </si>
  <si>
    <t>2c51e4cf-7172-4ce3-a9a7-6fd48e55a824</t>
  </si>
  <si>
    <t>https://www.commcarehq.org/a/demo-18/reports/form_data/2c51e4cf-7172-4ce3-a9a7-6fd48e55a824/</t>
  </si>
  <si>
    <t>56a647c7-759d-40e2-8c9e-3da99f441f42</t>
  </si>
  <si>
    <t>https://www.commcarehq.org/a/demo-18/reports/form_data/56a647c7-759d-40e2-8c9e-3da99f441f42/</t>
  </si>
  <si>
    <t>20c6afdd-c665-4699-8cac-ab316ce9ccbd</t>
  </si>
  <si>
    <t>https://www.commcarehq.org/a/demo-18/reports/form_data/20c6afdd-c665-4699-8cac-ab316ce9ccbd/</t>
  </si>
  <si>
    <t>782d9cc1-55f1-44e7-896e-f309f348c64b</t>
  </si>
  <si>
    <t>https://www.commcarehq.org/a/demo-18/reports/form_data/782d9cc1-55f1-44e7-896e-f309f348c64b/</t>
  </si>
  <si>
    <t>1dd59edf-2922-4624-b53e-8c251ffffea6</t>
  </si>
  <si>
    <t>https://www.commcarehq.org/a/demo-18/reports/form_data/1dd59edf-2922-4624-b53e-8c251ffffea6/</t>
  </si>
  <si>
    <t>0585d3e7-a5e9-45c7-b182-c44e65fa7889</t>
  </si>
  <si>
    <t>https://www.commcarehq.org/a/demo-18/reports/form_data/0585d3e7-a5e9-45c7-b182-c44e65fa7889/</t>
  </si>
  <si>
    <t>ea923db8-af7e-4614-9fa6-621614c60c7f</t>
  </si>
  <si>
    <t>https://www.commcarehq.org/a/demo-18/reports/form_data/ea923db8-af7e-4614-9fa6-621614c60c7f/</t>
  </si>
  <si>
    <t>647c1f52-8eaf-47db-89f5-cfab3ede7076</t>
  </si>
  <si>
    <t>https://www.commcarehq.org/a/demo-18/reports/form_data/647c1f52-8eaf-47db-89f5-cfab3ede7076/</t>
  </si>
  <si>
    <t>dd91e468-7ba6-46ad-8853-f4bc4497aba1</t>
  </si>
  <si>
    <t>https://www.commcarehq.org/a/demo-18/reports/form_data/dd91e468-7ba6-46ad-8853-f4bc4497aba1/</t>
  </si>
  <si>
    <t>59428a7f-2625-4ee6-a58c-c0d276df09f5</t>
  </si>
  <si>
    <t>https://www.commcarehq.org/a/demo-18/reports/form_data/59428a7f-2625-4ee6-a58c-c0d276df09f5/</t>
  </si>
  <si>
    <t>c341b218-395f-4a48-9614-bab55ef0c74c</t>
  </si>
  <si>
    <t>https://www.commcarehq.org/a/demo-18/reports/form_data/c341b218-395f-4a48-9614-bab55ef0c74c/</t>
  </si>
  <si>
    <t>dd528639-4851-49fd-8932-9b782bc4cd03</t>
  </si>
  <si>
    <t>https://www.commcarehq.org/a/demo-18/reports/form_data/dd528639-4851-49fd-8932-9b782bc4cd03/</t>
  </si>
  <si>
    <t>b11f721c-40b5-4f94-a5db-653b302f12ed</t>
  </si>
  <si>
    <t>https://www.commcarehq.org/a/demo-18/reports/form_data/b11f721c-40b5-4f94-a5db-653b302f12ed/</t>
  </si>
  <si>
    <t>bdebe167-cf1a-406c-ac92-98f341078e3c</t>
  </si>
  <si>
    <t>https://www.commcarehq.org/a/demo-18/reports/form_data/bdebe167-cf1a-406c-ac92-98f341078e3c/</t>
  </si>
  <si>
    <t>bd230a75-d5a6-4855-b075-3f4866f498c2</t>
  </si>
  <si>
    <t>https://www.commcarehq.org/a/demo-18/reports/form_data/bd230a75-d5a6-4855-b075-3f4866f498c2/</t>
  </si>
  <si>
    <t>c5669842-dd95-467b-8226-d31783bbf484</t>
  </si>
  <si>
    <t>https://www.commcarehq.org/a/demo-18/reports/form_data/c5669842-dd95-467b-8226-d31783bbf484/</t>
  </si>
  <si>
    <t>c712e2ea-04da-4895-9691-ec496733abfa</t>
  </si>
  <si>
    <t>https://www.commcarehq.org/a/demo-18/reports/form_data/c712e2ea-04da-4895-9691-ec496733abfa/</t>
  </si>
  <si>
    <t>be5891cb-57f0-4e83-b8de-dd3e9fd1d211</t>
  </si>
  <si>
    <t>https://www.commcarehq.org/a/demo-18/reports/form_data/be5891cb-57f0-4e83-b8de-dd3e9fd1d211/</t>
  </si>
  <si>
    <t>0647eb06-07f6-46f2-a288-681ddc673fdb</t>
  </si>
  <si>
    <t>https://www.commcarehq.org/a/demo-18/reports/form_data/0647eb06-07f6-46f2-a288-681ddc673fdb/</t>
  </si>
  <si>
    <t>30a50d6f-6fa3-45ba-bb50-3eb22c4f429c</t>
  </si>
  <si>
    <t>https://www.commcarehq.org/a/demo-18/reports/form_data/30a50d6f-6fa3-45ba-bb50-3eb22c4f429c/</t>
  </si>
  <si>
    <t>7328ac3d-7509-4c67-8e04-91fbaf540c26</t>
  </si>
  <si>
    <t>https://www.commcarehq.org/a/demo-18/reports/form_data/7328ac3d-7509-4c67-8e04-91fbaf540c26/</t>
  </si>
  <si>
    <t>e27af5af-9675-441f-956e-f9f890cb98c6</t>
  </si>
  <si>
    <t>https://www.commcarehq.org/a/demo-18/reports/form_data/e27af5af-9675-441f-956e-f9f890cb98c6/</t>
  </si>
  <si>
    <t>dfce7e49-b85c-4f5e-9c80-5786d89d41bf</t>
  </si>
  <si>
    <t>https://www.commcarehq.org/a/demo-18/reports/form_data/dfce7e49-b85c-4f5e-9c80-5786d89d41bf/</t>
  </si>
  <si>
    <t>20cd8493-7cb0-4fd3-87ea-430d455a1699</t>
  </si>
  <si>
    <t>https://www.commcarehq.org/a/demo-18/reports/form_data/20cd8493-7cb0-4fd3-87ea-430d455a1699/</t>
  </si>
  <si>
    <t>1be5db78-7903-4c45-b1fd-4bf262da16e0</t>
  </si>
  <si>
    <t>https://www.commcarehq.org/a/demo-18/reports/form_data/1be5db78-7903-4c45-b1fd-4bf262da16e0/</t>
  </si>
  <si>
    <t>c446789d-4b97-403e-a4df-d7cab5c4965c</t>
  </si>
  <si>
    <t>https://www.commcarehq.org/a/demo-18/reports/form_data/c446789d-4b97-403e-a4df-d7cab5c4965c/</t>
  </si>
  <si>
    <t>57291ccb-a687-4110-9755-998f9c4be179</t>
  </si>
  <si>
    <t>https://www.commcarehq.org/a/demo-18/reports/form_data/57291ccb-a687-4110-9755-998f9c4be179/</t>
  </si>
  <si>
    <t>a5d36cf0-8245-4f29-9a97-d77b7c5319af</t>
  </si>
  <si>
    <t>https://www.commcarehq.org/a/demo-18/reports/form_data/a5d36cf0-8245-4f29-9a97-d77b7c5319af/</t>
  </si>
  <si>
    <t>0b49ba41-e77e-4602-be99-927efdd8fe63</t>
  </si>
  <si>
    <t>https://www.commcarehq.org/a/demo-18/reports/form_data/0b49ba41-e77e-4602-be99-927efdd8fe63/</t>
  </si>
  <si>
    <t>f02096a6-d407-41dd-8911-ac09942f9fb5</t>
  </si>
  <si>
    <t>https://www.commcarehq.org/a/demo-18/reports/form_data/f02096a6-d407-41dd-8911-ac09942f9fb5/</t>
  </si>
  <si>
    <t>aff5634c-bc49-4259-94bf-6cb6ebd5ea36</t>
  </si>
  <si>
    <t>https://www.commcarehq.org/a/demo-18/reports/form_data/aff5634c-bc49-4259-94bf-6cb6ebd5ea36/</t>
  </si>
  <si>
    <t>1bfcc2fe-fe3a-4a14-8e88-84786cbf707a</t>
  </si>
  <si>
    <t>https://www.commcarehq.org/a/demo-18/reports/form_data/1bfcc2fe-fe3a-4a14-8e88-84786cbf707a/</t>
  </si>
  <si>
    <t>872bc9b0-7653-43ce-872c-1e162aee67ae</t>
  </si>
  <si>
    <t>https://www.commcarehq.org/a/demo-18/reports/form_data/872bc9b0-7653-43ce-872c-1e162aee67ae/</t>
  </si>
  <si>
    <t>36f5a946-71f6-4696-b237-f28ee837930b</t>
  </si>
  <si>
    <t>https://www.commcarehq.org/a/demo-18/reports/form_data/36f5a946-71f6-4696-b237-f28ee837930b/</t>
  </si>
  <si>
    <t>6bf389d2-8a37-463d-81d2-0e3308a34ade</t>
  </si>
  <si>
    <t>https://www.commcarehq.org/a/demo-18/reports/form_data/6bf389d2-8a37-463d-81d2-0e3308a34ade/</t>
  </si>
  <si>
    <t>079f89ca-2d9b-45fd-af81-6a1543d47f3e</t>
  </si>
  <si>
    <t>https://www.commcarehq.org/a/demo-18/reports/form_data/079f89ca-2d9b-45fd-af81-6a1543d47f3e/</t>
  </si>
  <si>
    <t>26505b36-f12f-45dc-b056-81cddfed7f3e</t>
  </si>
  <si>
    <t>https://www.commcarehq.org/a/demo-18/reports/form_data/26505b36-f12f-45dc-b056-81cddfed7f3e/</t>
  </si>
  <si>
    <t>b080bddf-d4e2-4429-9c93-a5248283f66b</t>
  </si>
  <si>
    <t>https://www.commcarehq.org/a/demo-18/reports/form_data/b080bddf-d4e2-4429-9c93-a5248283f66b/</t>
  </si>
  <si>
    <t>6c3f41ce-8e90-4246-8c49-f2a93cee67ef</t>
  </si>
  <si>
    <t>https://www.commcarehq.org/a/demo-18/reports/form_data/6c3f41ce-8e90-4246-8c49-f2a93cee67ef/</t>
  </si>
  <si>
    <t>0d2c61da-559d-4c0c-b9cc-bc1840fb3906</t>
  </si>
  <si>
    <t>https://www.commcarehq.org/a/demo-18/reports/form_data/0d2c61da-559d-4c0c-b9cc-bc1840fb3906/</t>
  </si>
  <si>
    <t>408d32ee-3551-477c-a596-f8d771c4ffa7</t>
  </si>
  <si>
    <t>https://www.commcarehq.org/a/demo-18/reports/form_data/408d32ee-3551-477c-a596-f8d771c4ffa7/</t>
  </si>
  <si>
    <t>df2113c7-8284-4cc7-9937-2533c02d1286</t>
  </si>
  <si>
    <t>https://www.commcarehq.org/a/demo-18/reports/form_data/df2113c7-8284-4cc7-9937-2533c02d1286/</t>
  </si>
  <si>
    <t>e1453ab0-53df-4ee0-91df-9c93c044cd3e</t>
  </si>
  <si>
    <t>https://www.commcarehq.org/a/demo-18/reports/form_data/e1453ab0-53df-4ee0-91df-9c93c044cd3e/</t>
  </si>
  <si>
    <t>e6de9ab8-e0f4-4428-a3a0-fe5fe059c211</t>
  </si>
  <si>
    <t>https://www.commcarehq.org/a/demo-18/reports/form_data/e6de9ab8-e0f4-4428-a3a0-fe5fe059c211/</t>
  </si>
  <si>
    <t>639eb1e1-743e-4a7d-9f1a-c2505fdb3675</t>
  </si>
  <si>
    <t>https://www.commcarehq.org/a/demo-18/reports/form_data/639eb1e1-743e-4a7d-9f1a-c2505fdb3675/</t>
  </si>
  <si>
    <t>b898e8fe-c20b-43d1-9f2b-8baae8d9f87c</t>
  </si>
  <si>
    <t>https://www.commcarehq.org/a/demo-18/reports/form_data/b898e8fe-c20b-43d1-9f2b-8baae8d9f87c/</t>
  </si>
  <si>
    <t>28493741-5b35-4585-9362-640a0f6702f0</t>
  </si>
  <si>
    <t>https://www.commcarehq.org/a/demo-18/reports/form_data/28493741-5b35-4585-9362-640a0f6702f0/</t>
  </si>
  <si>
    <t>0ac56b1b-92bd-4275-8878-b73976d5da1f</t>
  </si>
  <si>
    <t>https://www.commcarehq.org/a/demo-18/reports/form_data/0ac56b1b-92bd-4275-8878-b73976d5da1f/</t>
  </si>
  <si>
    <t>5ff78580-e8c9-424f-bc64-912230d44e28</t>
  </si>
  <si>
    <t>https://www.commcarehq.org/a/demo-18/reports/form_data/5ff78580-e8c9-424f-bc64-912230d44e28/</t>
  </si>
  <si>
    <t>e3e0933f-1c68-4773-b6ee-1ab1072204b1</t>
  </si>
  <si>
    <t>https://www.commcarehq.org/a/demo-18/reports/form_data/e3e0933f-1c68-4773-b6ee-1ab1072204b1/</t>
  </si>
  <si>
    <t>5681fc41-2390-43a3-be4d-5eecea4555ca</t>
  </si>
  <si>
    <t>https://www.commcarehq.org/a/demo-18/reports/form_data/5681fc41-2390-43a3-be4d-5eecea4555ca/</t>
  </si>
  <si>
    <t>10561c9d-d95e-42e3-8d47-b0cfa65f96ba</t>
  </si>
  <si>
    <t>https://www.commcarehq.org/a/demo-18/reports/form_data/10561c9d-d95e-42e3-8d47-b0cfa65f96ba/</t>
  </si>
  <si>
    <t>091ac47c-fd29-483c-83c5-d020e2040582</t>
  </si>
  <si>
    <t>https://www.commcarehq.org/a/demo-18/reports/form_data/091ac47c-fd29-483c-83c5-d020e2040582/</t>
  </si>
  <si>
    <t>630af412-478d-415b-9470-25563d6a09af</t>
  </si>
  <si>
    <t>https://www.commcarehq.org/a/demo-18/reports/form_data/630af412-478d-415b-9470-25563d6a09af/</t>
  </si>
  <si>
    <t>a92bcc8d-9f42-4d5f-9f9e-d270fe5cfda4</t>
  </si>
  <si>
    <t>https://www.commcarehq.org/a/demo-18/reports/form_data/a92bcc8d-9f42-4d5f-9f9e-d270fe5cfda4/</t>
  </si>
  <si>
    <t>38f488ce-a198-4ef1-9aad-a6f214590801</t>
  </si>
  <si>
    <t>https://www.commcarehq.org/a/demo-18/reports/form_data/38f488ce-a198-4ef1-9aad-a6f214590801/</t>
  </si>
  <si>
    <t>191d42da-f59a-4023-97bb-4416fdc07ac1</t>
  </si>
  <si>
    <t>https://www.commcarehq.org/a/demo-18/reports/form_data/191d42da-f59a-4023-97bb-4416fdc07ac1/</t>
  </si>
  <si>
    <t>db69d85d-9286-4f2b-9fc5-b92a1784241b</t>
  </si>
  <si>
    <t>https://www.commcarehq.org/a/demo-18/reports/form_data/db69d85d-9286-4f2b-9fc5-b92a1784241b/</t>
  </si>
  <si>
    <t>9cfdf76c-1a88-4a74-8bbf-94d39b5e113e</t>
  </si>
  <si>
    <t>https://www.commcarehq.org/a/demo-18/reports/form_data/9cfdf76c-1a88-4a74-8bbf-94d39b5e113e/</t>
  </si>
  <si>
    <t>04782940-9eae-4e6f-8219-b254419ed9a4</t>
  </si>
  <si>
    <t>https://www.commcarehq.org/a/demo-18/reports/form_data/04782940-9eae-4e6f-8219-b254419ed9a4/</t>
  </si>
  <si>
    <t>e4c3725c-2a37-434f-b45f-9bafe0003263</t>
  </si>
  <si>
    <t>https://www.commcarehq.org/a/demo-18/reports/form_data/e4c3725c-2a37-434f-b45f-9bafe0003263/</t>
  </si>
  <si>
    <t>1a31c4bc-1f2f-4d3e-b21c-6fba0ab684e6</t>
  </si>
  <si>
    <t>https://www.commcarehq.org/a/demo-18/reports/form_data/1a31c4bc-1f2f-4d3e-b21c-6fba0ab684e6/</t>
  </si>
  <si>
    <t>59e00ec6-60e3-4a8b-8566-a1b9e03734d8</t>
  </si>
  <si>
    <t>https://www.commcarehq.org/a/demo-18/reports/form_data/59e00ec6-60e3-4a8b-8566-a1b9e03734d8/</t>
  </si>
  <si>
    <t>761a64a2-8b99-47b3-8dcd-9b3071fcc0d0</t>
  </si>
  <si>
    <t>https://www.commcarehq.org/a/demo-18/reports/form_data/761a64a2-8b99-47b3-8dcd-9b3071fcc0d0/</t>
  </si>
  <si>
    <t>6a6989fa-baa6-4774-b494-df3131058d3e</t>
  </si>
  <si>
    <t>https://www.commcarehq.org/a/demo-18/reports/form_data/6a6989fa-baa6-4774-b494-df3131058d3e/</t>
  </si>
  <si>
    <t>cc87304a-4ba1-41d4-937a-0ef70bbe52ab</t>
  </si>
  <si>
    <t>https://www.commcarehq.org/a/demo-18/reports/form_data/cc87304a-4ba1-41d4-937a-0ef70bbe52ab/</t>
  </si>
  <si>
    <t>91ccb3a6-26cd-48a9-a3e9-52d6236da71a</t>
  </si>
  <si>
    <t>https://www.commcarehq.org/a/demo-18/reports/form_data/91ccb3a6-26cd-48a9-a3e9-52d6236da71a/</t>
  </si>
  <si>
    <t>fdd10f78-b922-4873-bd2a-71ad251c2063</t>
  </si>
  <si>
    <t>https://www.commcarehq.org/a/demo-18/reports/form_data/fdd10f78-b922-4873-bd2a-71ad251c2063/</t>
  </si>
  <si>
    <t>94c1f564-459e-4f4b-8db4-12220c86df38</t>
  </si>
  <si>
    <t>https://www.commcarehq.org/a/demo-18/reports/form_data/94c1f564-459e-4f4b-8db4-12220c86df38/</t>
  </si>
  <si>
    <t>19c266af-4b93-4d0d-bd7f-de38ffe79745</t>
  </si>
  <si>
    <t>https://www.commcarehq.org/a/demo-18/reports/form_data/19c266af-4b93-4d0d-bd7f-de38ffe79745/</t>
  </si>
  <si>
    <t>93810e56-d3a2-4878-8771-2f96a518dbc1</t>
  </si>
  <si>
    <t>https://www.commcarehq.org/a/demo-18/reports/form_data/93810e56-d3a2-4878-8771-2f96a518dbc1/</t>
  </si>
  <si>
    <t>c97de56e-95db-417b-abe1-50f8ce1e0485</t>
  </si>
  <si>
    <t>https://www.commcarehq.org/a/demo-18/reports/form_data/c97de56e-95db-417b-abe1-50f8ce1e0485/</t>
  </si>
  <si>
    <t>9dfd3733-0e65-4bbe-8bf7-7782ae0774bf</t>
  </si>
  <si>
    <t>https://www.commcarehq.org/a/demo-18/reports/form_data/9dfd3733-0e65-4bbe-8bf7-7782ae0774bf/</t>
  </si>
  <si>
    <t>5c212663-04d6-463d-a3ac-315ff2c51403</t>
  </si>
  <si>
    <t>https://www.commcarehq.org/a/demo-18/reports/form_data/5c212663-04d6-463d-a3ac-315ff2c51403/</t>
  </si>
  <si>
    <t>cf8cce0f-ca6d-446b-b6e5-c9300fb57ae7</t>
  </si>
  <si>
    <t>https://www.commcarehq.org/a/demo-18/reports/form_data/cf8cce0f-ca6d-446b-b6e5-c9300fb57ae7/</t>
  </si>
  <si>
    <t>6cff6f7e-0337-43f5-af4f-4223d6062a55</t>
  </si>
  <si>
    <t>https://www.commcarehq.org/a/demo-18/reports/form_data/6cff6f7e-0337-43f5-af4f-4223d6062a55/</t>
  </si>
  <si>
    <t>6a1b38a4-5bd3-4b74-a929-70c32a8372f6</t>
  </si>
  <si>
    <t>https://www.commcarehq.org/a/demo-18/reports/form_data/6a1b38a4-5bd3-4b74-a929-70c32a8372f6/</t>
  </si>
  <si>
    <t>dafd7a04-06eb-4ed3-b436-7b74fca226e2</t>
  </si>
  <si>
    <t>https://www.commcarehq.org/a/demo-18/reports/form_data/dafd7a04-06eb-4ed3-b436-7b74fca226e2/</t>
  </si>
  <si>
    <t>291f0a55-86c0-4591-83e8-7674fd8c83a2</t>
  </si>
  <si>
    <t>https://www.commcarehq.org/a/demo-18/reports/form_data/291f0a55-86c0-4591-83e8-7674fd8c83a2/</t>
  </si>
  <si>
    <t>c6c4f1db-405e-403a-b09b-5add1d8f7494</t>
  </si>
  <si>
    <t>https://www.commcarehq.org/a/demo-18/reports/form_data/c6c4f1db-405e-403a-b09b-5add1d8f7494/</t>
  </si>
  <si>
    <t>e198d237-ddc1-4c67-891c-fcd2c6e6950f</t>
  </si>
  <si>
    <t>https://www.commcarehq.org/a/demo-18/reports/form_data/e198d237-ddc1-4c67-891c-fcd2c6e6950f/</t>
  </si>
  <si>
    <t>1bbe54a6-d19f-4374-9b87-683d4247d92f</t>
  </si>
  <si>
    <t>https://www.commcarehq.org/a/demo-18/reports/form_data/1bbe54a6-d19f-4374-9b87-683d4247d92f/</t>
  </si>
  <si>
    <t>fbfe23ba-37c6-4067-b7e6-da0e1907be47</t>
  </si>
  <si>
    <t>https://www.commcarehq.org/a/demo-18/reports/form_data/fbfe23ba-37c6-4067-b7e6-da0e1907be47/</t>
  </si>
  <si>
    <t>TOTAL</t>
  </si>
  <si>
    <t>1 condition</t>
  </si>
  <si>
    <t>2 conditions</t>
  </si>
  <si>
    <t>abb685e7-5ae0-49fb-94e1-f3b3eb5da2f1</t>
  </si>
  <si>
    <t>https://www.commcarehq.org/a/demo-18/reports/form_data/abb685e7-5ae0-49fb-94e1-f3b3eb5da2f1/</t>
  </si>
  <si>
    <t>11414e9a-ec3c-4756-b8ef-0a15e73a2225</t>
  </si>
  <si>
    <t>https://www.commcarehq.org/a/demo-18/reports/form_data/11414e9a-ec3c-4756-b8ef-0a15e73a2225/</t>
  </si>
  <si>
    <t>ef36eb7a-e14c-485a-b7b5-8e007563d36e</t>
  </si>
  <si>
    <t>https://www.commcarehq.org/a/demo-18/reports/form_data/ef36eb7a-e14c-485a-b7b5-8e007563d36e/</t>
  </si>
  <si>
    <t>6cad4b31-4b0a-4585-9258-a4a64c64efc1</t>
  </si>
  <si>
    <t>https://www.commcarehq.org/a/demo-18/reports/form_data/6cad4b31-4b0a-4585-9258-a4a64c64efc1/</t>
  </si>
  <si>
    <t>a20b3a0e-4143-427c-85ab-d88131ef0b15</t>
  </si>
  <si>
    <t>https://www.commcarehq.org/a/demo-18/reports/form_data/a20b3a0e-4143-427c-85ab-d88131ef0b15/</t>
  </si>
  <si>
    <t>01d9699f-9398-41d5-aa4e-1193482ba895</t>
  </si>
  <si>
    <t>https://www.commcarehq.org/a/demo-18/reports/form_data/01d9699f-9398-41d5-aa4e-1193482ba895/</t>
  </si>
  <si>
    <t>aee05eb4-54e3-4313-a062-0bb16795f0c8</t>
  </si>
  <si>
    <t>https://www.commcarehq.org/a/demo-18/reports/form_data/aee05eb4-54e3-4313-a062-0bb16795f0c8/</t>
  </si>
  <si>
    <t>75801e05-a5d9-4a7f-a4a7-8f9483633dcf</t>
  </si>
  <si>
    <t>https://www.commcarehq.org/a/demo-18/reports/form_data/75801e05-a5d9-4a7f-a4a7-8f9483633dcf/</t>
  </si>
  <si>
    <t>300902fe-7ec7-4c56-95b2-629b9fc96d6d</t>
  </si>
  <si>
    <t>https://www.commcarehq.org/a/demo-18/reports/form_data/300902fe-7ec7-4c56-95b2-629b9fc96d6d/</t>
  </si>
  <si>
    <t>aa3e702f-31c5-4e0b-ae9e-33bf069f1f6b</t>
  </si>
  <si>
    <t>https://www.commcarehq.org/a/demo-18/reports/form_data/aa3e702f-31c5-4e0b-ae9e-33bf069f1f6b/</t>
  </si>
  <si>
    <t>06ef3e81-ec19-4ba6-bc53-fd0d8f8a87cc</t>
  </si>
  <si>
    <t>https://www.commcarehq.org/a/demo-18/reports/form_data/06ef3e81-ec19-4ba6-bc53-fd0d8f8a87cc/</t>
  </si>
  <si>
    <t>3a8f2118-3070-4153-8fd6-ffe79f1e6054</t>
  </si>
  <si>
    <t>https://www.commcarehq.org/a/demo-18/reports/form_data/3a8f2118-3070-4153-8fd6-ffe79f1e6054/</t>
  </si>
  <si>
    <t>ba72f878-6c00-45dc-8819-7b3c7ddb7a06</t>
  </si>
  <si>
    <t>https://www.commcarehq.org/a/demo-18/reports/form_data/ba72f878-6c00-45dc-8819-7b3c7ddb7a06/</t>
  </si>
  <si>
    <t>263a4a59-5785-413a-8ed9-abde2ef07aeb</t>
  </si>
  <si>
    <t>https://www.commcarehq.org/a/demo-18/reports/form_data/263a4a59-5785-413a-8ed9-abde2ef07aeb/</t>
  </si>
  <si>
    <t>431bf2a6-8657-4bcf-9a77-1d834442ba3a</t>
  </si>
  <si>
    <t>https://www.commcarehq.org/a/demo-18/reports/form_data/431bf2a6-8657-4bcf-9a77-1d834442ba3a/</t>
  </si>
  <si>
    <t>83b60e3c-5c6a-44cf-9797-43aac8445f4e</t>
  </si>
  <si>
    <t>https://www.commcarehq.org/a/demo-18/reports/form_data/83b60e3c-5c6a-44cf-9797-43aac8445f4e/</t>
  </si>
  <si>
    <t>82980344-bf4a-4b77-9dbb-3f4aacab4d16</t>
  </si>
  <si>
    <t>https://www.commcarehq.org/a/demo-18/reports/form_data/82980344-bf4a-4b77-9dbb-3f4aacab4d16/</t>
  </si>
  <si>
    <t>aab38e10-6b14-4301-a350-3e23c5019f7f</t>
  </si>
  <si>
    <t>https://www.commcarehq.org/a/demo-18/reports/form_data/aab38e10-6b14-4301-a350-3e23c5019f7f/</t>
  </si>
  <si>
    <t>2d925c48-ba77-4cb3-a31a-e397d883c10f</t>
  </si>
  <si>
    <t>https://www.commcarehq.org/a/demo-18/reports/form_data/2d925c48-ba77-4cb3-a31a-e397d883c10f/</t>
  </si>
  <si>
    <t>3c1f0f36-cf8a-4ea8-aac9-ac9b7b0a7e81</t>
  </si>
  <si>
    <t>https://www.commcarehq.org/a/demo-18/reports/form_data/3c1f0f36-cf8a-4ea8-aac9-ac9b7b0a7e81/</t>
  </si>
  <si>
    <t>14a704a4-fa00-4999-b2b4-57916b3f5107</t>
  </si>
  <si>
    <t>https://www.commcarehq.org/a/demo-18/reports/form_data/14a704a4-fa00-4999-b2b4-57916b3f5107/</t>
  </si>
  <si>
    <t>18c03192-eb72-4caa-aabf-aab7ee7cd688</t>
  </si>
  <si>
    <t>https://www.commcarehq.org/a/demo-18/reports/form_data/18c03192-eb72-4caa-aabf-aab7ee7cd688/</t>
  </si>
  <si>
    <t>ffd0b407-a113-4ece-aa3e-a61fbeb22f31</t>
  </si>
  <si>
    <t>https://www.commcarehq.org/a/demo-18/reports/form_data/ffd0b407-a113-4ece-aa3e-a61fbeb22f31/</t>
  </si>
  <si>
    <t>4e697f9b-f8f9-466a-93ab-d3198faca0c7</t>
  </si>
  <si>
    <t>https://www.commcarehq.org/a/demo-18/reports/form_data/4e697f9b-f8f9-466a-93ab-d3198faca0c7/</t>
  </si>
  <si>
    <t>3e0f2825-9bda-4318-8d2c-29863bf0e01f</t>
  </si>
  <si>
    <t>https://www.commcarehq.org/a/demo-18/reports/form_data/3e0f2825-9bda-4318-8d2c-29863bf0e01f/</t>
  </si>
  <si>
    <t>10f35b97-0e4f-42e4-957d-817b91b47d5d</t>
  </si>
  <si>
    <t>https://www.commcarehq.org/a/demo-18/reports/form_data/10f35b97-0e4f-42e4-957d-817b91b47d5d/</t>
  </si>
  <si>
    <t>a5f3be2c-ea7f-4c24-8bee-6304674a526f</t>
  </si>
  <si>
    <t>https://www.commcarehq.org/a/demo-18/reports/form_data/a5f3be2c-ea7f-4c24-8bee-6304674a526f/</t>
  </si>
  <si>
    <t>f6d44e61-2703-41a8-a3e5-7c66bf917925</t>
  </si>
  <si>
    <t>https://www.commcarehq.org/a/demo-18/reports/form_data/f6d44e61-2703-41a8-a3e5-7c66bf917925/</t>
  </si>
  <si>
    <t>f5cb52b4-6487-45f3-a2e3-e5b4ef01c18d</t>
  </si>
  <si>
    <t>https://www.commcarehq.org/a/demo-18/reports/form_data/f5cb52b4-6487-45f3-a2e3-e5b4ef01c18d/</t>
  </si>
  <si>
    <t>ba3dbe09-bdeb-4ef6-bbd8-0d9a9b60a8c3</t>
  </si>
  <si>
    <t>https://www.commcarehq.org/a/demo-18/reports/form_data/ba3dbe09-bdeb-4ef6-bbd8-0d9a9b60a8c3/</t>
  </si>
  <si>
    <t>10e36e58-e9b1-457a-8149-a9c7606b121d</t>
  </si>
  <si>
    <t>https://www.commcarehq.org/a/demo-18/reports/form_data/10e36e58-e9b1-457a-8149-a9c7606b121d/</t>
  </si>
  <si>
    <t>e3f71360-cd7e-435f-b135-88f13cc22bd3</t>
  </si>
  <si>
    <t>https://www.commcarehq.org/a/demo-18/reports/form_data/e3f71360-cd7e-435f-b135-88f13cc22bd3/</t>
  </si>
  <si>
    <t>4b21ffb1-fdc7-45a4-813e-34b797b4b07b</t>
  </si>
  <si>
    <t>https://www.commcarehq.org/a/demo-18/reports/form_data/4b21ffb1-fdc7-45a4-813e-34b797b4b07b/</t>
  </si>
  <si>
    <t>3cbe21cc-6fa2-4a44-9a7c-9ab7f77e67f8</t>
  </si>
  <si>
    <t>https://www.commcarehq.org/a/demo-18/reports/form_data/3cbe21cc-6fa2-4a44-9a7c-9ab7f77e67f8/</t>
  </si>
  <si>
    <t>7211ec8d-2c60-4184-b3d9-5badf47aae7e</t>
  </si>
  <si>
    <t>https://www.commcarehq.org/a/demo-18/reports/form_data/7211ec8d-2c60-4184-b3d9-5badf47aae7e/</t>
  </si>
  <si>
    <t>9a6cb4b1-a51b-4765-9d41-e80732f15aea</t>
  </si>
  <si>
    <t>https://www.commcarehq.org/a/demo-18/reports/form_data/9a6cb4b1-a51b-4765-9d41-e80732f15aea/</t>
  </si>
  <si>
    <t>c4a6122c-8edb-4254-86c6-27b7a4bfe9ba</t>
  </si>
  <si>
    <t>https://www.commcarehq.org/a/demo-18/reports/form_data/c4a6122c-8edb-4254-86c6-27b7a4bfe9ba/</t>
  </si>
  <si>
    <t>925b6902-641b-4427-882e-a5053aa990e7</t>
  </si>
  <si>
    <t>https://www.commcarehq.org/a/demo-18/reports/form_data/925b6902-641b-4427-882e-a5053aa990e7/</t>
  </si>
  <si>
    <t>db08f7b2-483a-4d5b-a309-0ea36dbb238d</t>
  </si>
  <si>
    <t>https://www.commcarehq.org/a/demo-18/reports/form_data/db08f7b2-483a-4d5b-a309-0ea36dbb238d/</t>
  </si>
  <si>
    <t>d2e423a7-10e3-41ae-9495-eaa311b2d461</t>
  </si>
  <si>
    <t>https://www.commcarehq.org/a/demo-18/reports/form_data/d2e423a7-10e3-41ae-9495-eaa311b2d461/</t>
  </si>
  <si>
    <t>e25f9b91-aaf1-4b68-98fb-887d8b362eaa</t>
  </si>
  <si>
    <t>https://www.commcarehq.org/a/demo-18/reports/form_data/e25f9b91-aaf1-4b68-98fb-887d8b362eaa/</t>
  </si>
  <si>
    <t>other</t>
  </si>
  <si>
    <t>5229dc3a-a45b-452e-9744-5f1bb04f939e</t>
  </si>
  <si>
    <t>https://www.commcarehq.org/a/demo-18/reports/form_data/5229dc3a-a45b-452e-9744-5f1bb04f939e/</t>
  </si>
  <si>
    <t>ea95691e-6169-4e91-978b-d04aea358dac</t>
  </si>
  <si>
    <t>https://www.commcarehq.org/a/demo-18/reports/form_data/ea95691e-6169-4e91-978b-d04aea358dac/</t>
  </si>
  <si>
    <t>b06c0a4d-ee63-4b90-9694-0572dc9042b8</t>
  </si>
  <si>
    <t>https://www.commcarehq.org/a/demo-18/reports/form_data/b06c0a4d-ee63-4b90-9694-0572dc9042b8/</t>
  </si>
  <si>
    <t>86d5f123-839b-48b4-9cea-6d0e4c21f643</t>
  </si>
  <si>
    <t>https://www.commcarehq.org/a/demo-18/reports/form_data/86d5f123-839b-48b4-9cea-6d0e4c21f643/</t>
  </si>
  <si>
    <t>02e02601-8fea-4636-a1e7-87b8125c80be</t>
  </si>
  <si>
    <t>https://www.commcarehq.org/a/demo-18/reports/form_data/02e02601-8fea-4636-a1e7-87b8125c80be/</t>
  </si>
  <si>
    <t>88697a95-a8d2-4ef4-b95f-4d4de77553e9</t>
  </si>
  <si>
    <t>https://www.commcarehq.org/a/demo-18/reports/form_data/88697a95-a8d2-4ef4-b95f-4d4de77553e9/</t>
  </si>
  <si>
    <t>aa33037e-1d85-4325-8e4f-1f259a8d3399</t>
  </si>
  <si>
    <t>https://www.commcarehq.org/a/demo-18/reports/form_data/aa33037e-1d85-4325-8e4f-1f259a8d3399/</t>
  </si>
  <si>
    <t>5b4193ef-ad5f-4cb5-a35d-2935aad89ad6</t>
  </si>
  <si>
    <t>https://www.commcarehq.org/a/demo-18/reports/form_data/5b4193ef-ad5f-4cb5-a35d-2935aad89ad6/</t>
  </si>
  <si>
    <t>c251d942-cd2f-492c-8e68-5b776d5f5a34</t>
  </si>
  <si>
    <t>https://www.commcarehq.org/a/demo-18/reports/form_data/c251d942-cd2f-492c-8e68-5b776d5f5a34/</t>
  </si>
  <si>
    <t>17403fd4-fc4c-4d94-a5f0-9de9bec33cdd</t>
  </si>
  <si>
    <t>https://www.commcarehq.org/a/demo-18/reports/form_data/17403fd4-fc4c-4d94-a5f0-9de9bec33cdd/</t>
  </si>
  <si>
    <t>4c874fc2-7d81-4651-8ca0-8711e5a3d7fc</t>
  </si>
  <si>
    <t>https://www.commcarehq.org/a/demo-18/reports/form_data/4c874fc2-7d81-4651-8ca0-8711e5a3d7fc/</t>
  </si>
  <si>
    <t>67a82269-3236-43fa-a762-0a18ac0006bc</t>
  </si>
  <si>
    <t>https://www.commcarehq.org/a/demo-18/reports/form_data/67a82269-3236-43fa-a762-0a18ac0006bc/</t>
  </si>
  <si>
    <t>ee5c22a4-93ed-453d-bcda-87ed07cdc389</t>
  </si>
  <si>
    <t>https://www.commcarehq.org/a/demo-18/reports/form_data/ee5c22a4-93ed-453d-bcda-87ed07cdc389/</t>
  </si>
  <si>
    <t>15e48f1c-daff-4985-bab4-b218717852a0</t>
  </si>
  <si>
    <t>https://www.commcarehq.org/a/demo-18/reports/form_data/15e48f1c-daff-4985-bab4-b218717852a0/</t>
  </si>
  <si>
    <t>folded_corners crinkled cracked rippedtorn faded water-damaged</t>
  </si>
  <si>
    <t>c07955b8-87e5-4d9b-a091-2c6cea3b2681</t>
  </si>
  <si>
    <t>https://www.commcarehq.org/a/demo-18/reports/form_data/c07955b8-87e5-4d9b-a091-2c6cea3b2681/</t>
  </si>
  <si>
    <t>031b7901-1ea9-4b79-a57b-0364fbbaa7e2</t>
  </si>
  <si>
    <t>https://www.commcarehq.org/a/demo-18/reports/form_data/031b7901-1ea9-4b79-a57b-0364fbbaa7e2/</t>
  </si>
  <si>
    <t>3a21d909-ecd2-4078-a169-56fdb88e7fca</t>
  </si>
  <si>
    <t>https://www.commcarehq.org/a/demo-18/reports/form_data/3a21d909-ecd2-4078-a169-56fdb88e7fca/</t>
  </si>
  <si>
    <t>113d7f04-dfd9-4efa-9ce8-75c8706e722b</t>
  </si>
  <si>
    <t>https://www.commcarehq.org/a/demo-18/reports/form_data/113d7f04-dfd9-4efa-9ce8-75c8706e722b/</t>
  </si>
  <si>
    <t>b1ab9db6-0799-4135-94ee-959f26275fe5</t>
  </si>
  <si>
    <t>https://www.commcarehq.org/a/demo-18/reports/form_data/b1ab9db6-0799-4135-94ee-959f26275fe5/</t>
  </si>
  <si>
    <t>8f31aabc-4b91-4fc3-8206-d430e487de2d</t>
  </si>
  <si>
    <t>https://www.commcarehq.org/a/demo-18/reports/form_data/8f31aabc-4b91-4fc3-8206-d430e487de2d/</t>
  </si>
  <si>
    <t>918f9aea-7b86-49f8-abc6-ae7ac273c1b5</t>
  </si>
  <si>
    <t>https://www.commcarehq.org/a/demo-18/reports/form_data/918f9aea-7b86-49f8-abc6-ae7ac273c1b5/</t>
  </si>
  <si>
    <t>34a584be-a985-4189-aece-779aa5fe8755</t>
  </si>
  <si>
    <t>https://www.commcarehq.org/a/demo-18/reports/form_data/34a584be-a985-4189-aece-779aa5fe8755/</t>
  </si>
  <si>
    <t>4ce31dcc-d46c-46c6-933d-98544c82580c</t>
  </si>
  <si>
    <t>https://www.commcarehq.org/a/demo-18/reports/form_data/4ce31dcc-d46c-46c6-933d-98544c82580c/</t>
  </si>
  <si>
    <t>e7e79a9c-0675-4438-b76b-2463823fb830</t>
  </si>
  <si>
    <t>https://www.commcarehq.org/a/demo-18/reports/form_data/e7e79a9c-0675-4438-b76b-2463823fb830/</t>
  </si>
  <si>
    <t>folded_corners crinkled cracked rippedtorn faded</t>
  </si>
  <si>
    <t>0f0a84e1-9f50-4ef6-8665-2c4677f86fc7</t>
  </si>
  <si>
    <t>https://www.commcarehq.org/a/demo-18/reports/form_data/0f0a84e1-9f50-4ef6-8665-2c4677f86fc7/</t>
  </si>
  <si>
    <t>9bd879ce-aadd-456d-9c1c-4ba6e6b86ec0</t>
  </si>
  <si>
    <t>https://www.commcarehq.org/a/demo-18/reports/form_data/9bd879ce-aadd-456d-9c1c-4ba6e6b86ec0/</t>
  </si>
  <si>
    <t>2c278530-f6f4-498b-a0e1-0ddd0929d5e4</t>
  </si>
  <si>
    <t>https://www.commcarehq.org/a/demo-18/reports/form_data/2c278530-f6f4-498b-a0e1-0ddd0929d5e4/</t>
  </si>
  <si>
    <t>123b7b01-a514-4346-b63e-1d05ed70eb8f</t>
  </si>
  <si>
    <t>https://www.commcarehq.org/a/demo-18/reports/form_data/123b7b01-a514-4346-b63e-1d05ed70eb8f/</t>
  </si>
  <si>
    <t>8905c821-c4e2-4cf8-a0ce-ac4d9ae46632</t>
  </si>
  <si>
    <t>https://www.commcarehq.org/a/demo-18/reports/form_data/8905c821-c4e2-4cf8-a0ce-ac4d9ae46632/</t>
  </si>
  <si>
    <t>1aa3eeb4-1350-43c2-8027-8d411684996d</t>
  </si>
  <si>
    <t>https://www.commcarehq.org/a/demo-18/reports/form_data/1aa3eeb4-1350-43c2-8027-8d411684996d/</t>
  </si>
  <si>
    <t>cdb17104-b565-45c6-9b1b-662cadbeec39</t>
  </si>
  <si>
    <t>https://www.commcarehq.org/a/demo-18/reports/form_data/cdb17104-b565-45c6-9b1b-662cadbeec39/</t>
  </si>
  <si>
    <t>f049a3e3-524a-4dea-b733-9a8e2757fae0</t>
  </si>
  <si>
    <t>https://www.commcarehq.org/a/demo-18/reports/form_data/f049a3e3-524a-4dea-b733-9a8e2757fae0/</t>
  </si>
  <si>
    <t>c3293ba0-5731-421c-81e6-a8c36a4a77a4</t>
  </si>
  <si>
    <t>https://www.commcarehq.org/a/demo-18/reports/form_data/c3293ba0-5731-421c-81e6-a8c36a4a77a4/</t>
  </si>
  <si>
    <t>898b2e17-2f4a-4cf2-b0cf-34b427ec60d2</t>
  </si>
  <si>
    <t>https://www.commcarehq.org/a/demo-18/reports/form_data/898b2e17-2f4a-4cf2-b0cf-34b427ec60d2/</t>
  </si>
  <si>
    <t>ab640af2-5b64-4bc2-8e4c-dabe4e1fe7a7</t>
  </si>
  <si>
    <t>https://www.commcarehq.org/a/demo-18/reports/form_data/ab640af2-5b64-4bc2-8e4c-dabe4e1fe7a7/</t>
  </si>
  <si>
    <t>ac91d439-7ac3-4c3a-88d5-60da1c64e17a</t>
  </si>
  <si>
    <t>https://www.commcarehq.org/a/demo-18/reports/form_data/ac91d439-7ac3-4c3a-88d5-60da1c64e17a/</t>
  </si>
  <si>
    <t>0578627a-d894-433a-835a-460a4a13702d</t>
  </si>
  <si>
    <t>https://www.commcarehq.org/a/demo-18/reports/form_data/0578627a-d894-433a-835a-460a4a13702d/</t>
  </si>
  <si>
    <t>18919d42-1a95-41e0-bb18-6f64f900e3e5</t>
  </si>
  <si>
    <t>https://www.commcarehq.org/a/demo-18/reports/form_data/18919d42-1a95-41e0-bb18-6f64f900e3e5/</t>
  </si>
  <si>
    <t>ee99375f-8318-4e78-aa90-23157de0b767</t>
  </si>
  <si>
    <t>https://www.commcarehq.org/a/demo-18/reports/form_data/ee99375f-8318-4e78-aa90-23157de0b767/</t>
  </si>
  <si>
    <t>48393226-4161-450d-a5a7-4808cc2a22f1</t>
  </si>
  <si>
    <t>https://www.commcarehq.org/a/demo-18/reports/form_data/48393226-4161-450d-a5a7-4808cc2a22f1/</t>
  </si>
  <si>
    <t>c47e2566-4853-4a47-b51d-22d12e747410</t>
  </si>
  <si>
    <t>https://www.commcarehq.org/a/demo-18/reports/form_data/c47e2566-4853-4a47-b51d-22d12e747410/</t>
  </si>
  <si>
    <t>4567f3b5-46bc-4a4b-89dd-cbc1aa0badb7</t>
  </si>
  <si>
    <t>https://www.commcarehq.org/a/demo-18/reports/form_data/4567f3b5-46bc-4a4b-89dd-cbc1aa0badb7/</t>
  </si>
  <si>
    <t>3d93f3b7-22d3-461b-b65a-e816d3f54cd0</t>
  </si>
  <si>
    <t>https://www.commcarehq.org/a/demo-18/reports/form_data/3d93f3b7-22d3-461b-b65a-e816d3f54cd0/</t>
  </si>
  <si>
    <t>90cf2f97-1711-4875-9db0-e7925d3d0cea</t>
  </si>
  <si>
    <t>https://www.commcarehq.org/a/demo-18/reports/form_data/90cf2f97-1711-4875-9db0-e7925d3d0cea/</t>
  </si>
  <si>
    <t>ba267639-9a8f-4fb7-866e-294d071754b2</t>
  </si>
  <si>
    <t>https://www.commcarehq.org/a/demo-18/reports/form_data/ba267639-9a8f-4fb7-866e-294d071754b2/</t>
  </si>
  <si>
    <t>671ceac0-ca1d-4f12-af22-75b3c5977734</t>
  </si>
  <si>
    <t>https://www.commcarehq.org/a/demo-18/reports/form_data/671ceac0-ca1d-4f12-af22-75b3c5977734/</t>
  </si>
  <si>
    <t>c5f783fb-a393-4a90-bb43-9e17245f3525</t>
  </si>
  <si>
    <t>https://www.commcarehq.org/a/demo-18/reports/form_data/c5f783fb-a393-4a90-bb43-9e17245f3525/</t>
  </si>
  <si>
    <t>6b7407f2-7000-468d-b080-74e8cc382548</t>
  </si>
  <si>
    <t>https://www.commcarehq.org/a/demo-18/reports/form_data/6b7407f2-7000-468d-b080-74e8cc382548/</t>
  </si>
  <si>
    <t>folded_corners cracked rippedtorn</t>
  </si>
  <si>
    <t>7670055d-4880-49e0-a71a-291fc6044b17</t>
  </si>
  <si>
    <t>https://www.commcarehq.org/a/demo-18/reports/form_data/7670055d-4880-49e0-a71a-291fc6044b17/</t>
  </si>
  <si>
    <t>35bb03cc-ddba-478b-a93d-e7293c3e09ca</t>
  </si>
  <si>
    <t>https://www.commcarehq.org/a/demo-18/reports/form_data/35bb03cc-ddba-478b-a93d-e7293c3e09ca/</t>
  </si>
  <si>
    <t>6e0fc8fa-5976-4791-9214-7f68f6ae9d73</t>
  </si>
  <si>
    <t>https://www.commcarehq.org/a/demo-18/reports/form_data/6e0fc8fa-5976-4791-9214-7f68f6ae9d73/</t>
  </si>
  <si>
    <t>4994a9c8-3f2b-47ce-8a07-7ff8425ba476</t>
  </si>
  <si>
    <t>https://www.commcarehq.org/a/demo-18/reports/form_data/4994a9c8-3f2b-47ce-8a07-7ff8425ba476/</t>
  </si>
  <si>
    <t>aa498f90-7777-4a47-ae20-e2b964471970</t>
  </si>
  <si>
    <t>https://www.commcarehq.org/a/demo-18/reports/form_data/aa498f90-7777-4a47-ae20-e2b964471970/</t>
  </si>
  <si>
    <t>4ac9ca69-9b33-4cb6-9259-76c42df7229f</t>
  </si>
  <si>
    <t>https://www.commcarehq.org/a/demo-18/reports/form_data/4ac9ca69-9b33-4cb6-9259-76c42df7229f/</t>
  </si>
  <si>
    <t>32927eff-dcac-4522-b10a-2e339e56d2dd</t>
  </si>
  <si>
    <t>https://www.commcarehq.org/a/demo-18/reports/form_data/32927eff-dcac-4522-b10a-2e339e56d2dd/</t>
  </si>
  <si>
    <t>9fbccb1f-6c7f-4b05-b7bb-4a946f8f9c27</t>
  </si>
  <si>
    <t>https://www.commcarehq.org/a/demo-18/reports/form_data/9fbccb1f-6c7f-4b05-b7bb-4a946f8f9c27/</t>
  </si>
  <si>
    <t>8c4e9ccd-ca79-4c69-8540-0c57658a196b</t>
  </si>
  <si>
    <t>https://www.commcarehq.org/a/demo-18/reports/form_data/8c4e9ccd-ca79-4c69-8540-0c57658a196b/</t>
  </si>
  <si>
    <t>c2012c8b-a8b8-4ed3-8b01-3392b15811b9</t>
  </si>
  <si>
    <t>https://www.commcarehq.org/a/demo-18/reports/form_data/c2012c8b-a8b8-4ed3-8b01-3392b15811b9/</t>
  </si>
  <si>
    <t>ca53fcfc-3a76-4e2c-816e-9b79543e4f64</t>
  </si>
  <si>
    <t>https://www.commcarehq.org/a/demo-18/reports/form_data/ca53fcfc-3a76-4e2c-816e-9b79543e4f64/</t>
  </si>
  <si>
    <t>6985b479-fe67-4078-8803-de9ab9bf0b3f</t>
  </si>
  <si>
    <t>https://www.commcarehq.org/a/demo-18/reports/form_data/6985b479-fe67-4078-8803-de9ab9bf0b3f/</t>
  </si>
  <si>
    <t>9f3208bf-09a8-4a6f-a0a6-0266bc9acdd8</t>
  </si>
  <si>
    <t>https://www.commcarehq.org/a/demo-18/reports/form_data/9f3208bf-09a8-4a6f-a0a6-0266bc9acdd8/</t>
  </si>
  <si>
    <t>06e48154-661f-413f-b86c-4b7b5695f281</t>
  </si>
  <si>
    <t>https://www.commcarehq.org/a/demo-18/reports/form_data/06e48154-661f-413f-b86c-4b7b5695f281/</t>
  </si>
  <si>
    <t>5cedaf3e-efd5-4a86-8e61-29eaae168708</t>
  </si>
  <si>
    <t>https://www.commcarehq.org/a/demo-18/reports/form_data/5cedaf3e-efd5-4a86-8e61-29eaae168708/</t>
  </si>
  <si>
    <t>dc62959c-f81a-483e-8cfc-32222758fdec</t>
  </si>
  <si>
    <t>https://www.commcarehq.org/a/demo-18/reports/form_data/dc62959c-f81a-483e-8cfc-32222758fdec/</t>
  </si>
  <si>
    <t>5977f98d-5e95-4c7b-943f-c80d0b7b5cf2</t>
  </si>
  <si>
    <t>https://www.commcarehq.org/a/demo-18/reports/form_data/5977f98d-5e95-4c7b-943f-c80d0b7b5cf2/</t>
  </si>
  <si>
    <t>57d3227c-4e30-436a-bb1c-4258a9131175</t>
  </si>
  <si>
    <t>https://www.commcarehq.org/a/demo-18/reports/form_data/57d3227c-4e30-436a-bb1c-4258a9131175/</t>
  </si>
  <si>
    <t>f6e2c1c7-755a-4539-b655-22dbd825b46e</t>
  </si>
  <si>
    <t>https://www.commcarehq.org/a/demo-18/reports/form_data/f6e2c1c7-755a-4539-b655-22dbd825b46e/</t>
  </si>
  <si>
    <t>873fa31d-b740-427a-b759-bba678b0c826</t>
  </si>
  <si>
    <t>https://www.commcarehq.org/a/demo-18/reports/form_data/873fa31d-b740-427a-b759-bba678b0c826/</t>
  </si>
  <si>
    <t>efe20106-7253-4c1b-9bbd-c3b05994f699</t>
  </si>
  <si>
    <t>https://www.commcarehq.org/a/demo-18/reports/form_data/efe20106-7253-4c1b-9bbd-c3b05994f699/</t>
  </si>
  <si>
    <t>671a8d86-d11b-41d0-b7b8-46e7533ebc93</t>
  </si>
  <si>
    <t>https://www.commcarehq.org/a/demo-18/reports/form_data/671a8d86-d11b-41d0-b7b8-46e7533ebc93/</t>
  </si>
  <si>
    <t>dfc99f9a-d7ce-448d-a98c-910d3166b259</t>
  </si>
  <si>
    <t>https://www.commcarehq.org/a/demo-18/reports/form_data/dfc99f9a-d7ce-448d-a98c-910d3166b259/</t>
  </si>
  <si>
    <t>5fadc398-68fe-4ba7-9daa-603bbe61b8fd</t>
  </si>
  <si>
    <t>https://www.commcarehq.org/a/demo-18/reports/form_data/5fadc398-68fe-4ba7-9daa-603bbe61b8fd/</t>
  </si>
  <si>
    <t>c677f8bd-8863-4401-8ee1-afc1ed759aa6</t>
  </si>
  <si>
    <t>https://www.commcarehq.org/a/demo-18/reports/form_data/c677f8bd-8863-4401-8ee1-afc1ed759aa6/</t>
  </si>
  <si>
    <t>folded_corners crinkled cracked rippedtorn faded stained</t>
  </si>
  <si>
    <t>e50c51ab-7b79-4f3d-b21a-cf909e0d7b6a</t>
  </si>
  <si>
    <t>https://www.commcarehq.org/a/demo-18/reports/form_data/e50c51ab-7b79-4f3d-b21a-cf909e0d7b6a/</t>
  </si>
  <si>
    <t>f8766490-31b9-4be7-801b-0292c23ce80c</t>
  </si>
  <si>
    <t>https://www.commcarehq.org/a/demo-18/reports/form_data/f8766490-31b9-4be7-801b-0292c23ce80c/</t>
  </si>
  <si>
    <t>1c32a415-81b8-45d9-a096-c9812c87ba87</t>
  </si>
  <si>
    <t>https://www.commcarehq.org/a/demo-18/reports/form_data/1c32a415-81b8-45d9-a096-c9812c87ba87/</t>
  </si>
  <si>
    <t>b722f65a-a208-41ce-b491-caf555c398ae</t>
  </si>
  <si>
    <t>https://www.commcarehq.org/a/demo-18/reports/form_data/b722f65a-a208-41ce-b491-caf555c398ae/</t>
  </si>
  <si>
    <t>798b2e08-62f3-458d-a5f1-c1ee0edc9ef9</t>
  </si>
  <si>
    <t>https://www.commcarehq.org/a/demo-18/reports/form_data/798b2e08-62f3-458d-a5f1-c1ee0edc9ef9/</t>
  </si>
  <si>
    <t>91c14cd3-eae7-4d99-9169-968657224bd3</t>
  </si>
  <si>
    <t>https://www.commcarehq.org/a/demo-18/reports/form_data/91c14cd3-eae7-4d99-9169-968657224bd3/</t>
  </si>
  <si>
    <t>9cb5da21-a782-443a-9715-0c475a59b446</t>
  </si>
  <si>
    <t>https://www.commcarehq.org/a/demo-18/reports/form_data/9cb5da21-a782-443a-9715-0c475a59b446/</t>
  </si>
  <si>
    <t>92302752-62b0-4efc-99fa-a560f017cf3a</t>
  </si>
  <si>
    <t>https://www.commcarehq.org/a/demo-18/reports/form_data/92302752-62b0-4efc-99fa-a560f017cf3a/</t>
  </si>
  <si>
    <t>facef337-da87-49a3-9e59-8cfcb8e4c7d7</t>
  </si>
  <si>
    <t>https://www.commcarehq.org/a/demo-18/reports/form_data/facef337-da87-49a3-9e59-8cfcb8e4c7d7/</t>
  </si>
  <si>
    <t>13bf22c4-9ef4-4094-90c9-d5d1f4047516</t>
  </si>
  <si>
    <t>https://www.commcarehq.org/a/demo-18/reports/form_data/13bf22c4-9ef4-4094-90c9-d5d1f4047516/</t>
  </si>
  <si>
    <t>a2924310-dc81-4d35-b3a7-2f247b19d1a0</t>
  </si>
  <si>
    <t>https://www.commcarehq.org/a/demo-18/reports/form_data/a2924310-dc81-4d35-b3a7-2f247b19d1a0/</t>
  </si>
  <si>
    <t>ac5fcbc3-e59f-4f8a-bb15-726752fd1fe0</t>
  </si>
  <si>
    <t>https://www.commcarehq.org/a/demo-18/reports/form_data/ac5fcbc3-e59f-4f8a-bb15-726752fd1fe0/</t>
  </si>
  <si>
    <t>folded_corners crinkled cracked faded stained</t>
  </si>
  <si>
    <t>256c6860-8211-467c-87b1-7cdb26f8508d</t>
  </si>
  <si>
    <t>https://www.commcarehq.org/a/demo-18/reports/form_data/256c6860-8211-467c-87b1-7cdb26f8508d/</t>
  </si>
  <si>
    <t>3c5524c0-eadd-46ca-9687-21aba8ea26e2</t>
  </si>
  <si>
    <t>https://www.commcarehq.org/a/demo-18/reports/form_data/3c5524c0-eadd-46ca-9687-21aba8ea26e2/</t>
  </si>
  <si>
    <t>00e17bfe-6f78-435c-bc09-b944b5be25c3</t>
  </si>
  <si>
    <t>https://www.commcarehq.org/a/demo-18/reports/form_data/00e17bfe-6f78-435c-bc09-b944b5be25c3/</t>
  </si>
  <si>
    <t>9f8afcd1-7b2b-459a-89df-1a4b9a7af48a</t>
  </si>
  <si>
    <t>https://www.commcarehq.org/a/demo-18/reports/form_data/9f8afcd1-7b2b-459a-89df-1a4b9a7af48a/</t>
  </si>
  <si>
    <t>c6072725-c5d0-4cc1-96b5-b0e440a7cf9b</t>
  </si>
  <si>
    <t>https://www.commcarehq.org/a/demo-18/reports/form_data/c6072725-c5d0-4cc1-96b5-b0e440a7cf9b/</t>
  </si>
  <si>
    <t>85f072c5-8b5e-4dcc-a48d-a286bdc55adf</t>
  </si>
  <si>
    <t>https://www.commcarehq.org/a/demo-18/reports/form_data/85f072c5-8b5e-4dcc-a48d-a286bdc55adf/</t>
  </si>
  <si>
    <t>86c232f4-efb9-43d0-a9ed-9209464d1b04</t>
  </si>
  <si>
    <t>https://www.commcarehq.org/a/demo-18/reports/form_data/86c232f4-efb9-43d0-a9ed-9209464d1b04/</t>
  </si>
  <si>
    <t>ed884cea-0b60-4942-a3ee-ab79ed3c5ff5</t>
  </si>
  <si>
    <t>https://www.commcarehq.org/a/demo-18/reports/form_data/ed884cea-0b60-4942-a3ee-ab79ed3c5ff5/</t>
  </si>
  <si>
    <t>4f0dff3d-251b-40bd-ae81-8602d95d9b40</t>
  </si>
  <si>
    <t>https://www.commcarehq.org/a/demo-18/reports/form_data/4f0dff3d-251b-40bd-ae81-8602d95d9b40/</t>
  </si>
  <si>
    <t>da43925b-59e4-4297-aa7f-ddad3e5fe54b</t>
  </si>
  <si>
    <t>https://www.commcarehq.org/a/demo-18/reports/form_data/da43925b-59e4-4297-aa7f-ddad3e5fe54b/</t>
  </si>
  <si>
    <t>2b8ac6cd-0041-4219-8cd7-ae157962905e</t>
  </si>
  <si>
    <t>https://www.commcarehq.org/a/demo-18/reports/form_data/2b8ac6cd-0041-4219-8cd7-ae157962905e/</t>
  </si>
  <si>
    <t>a390e7ee-91a7-4a7b-98d9-6017639d7e67</t>
  </si>
  <si>
    <t>https://www.commcarehq.org/a/demo-18/reports/form_data/a390e7ee-91a7-4a7b-98d9-6017639d7e67/</t>
  </si>
  <si>
    <t>be0d4690-8ed2-41d9-904b-f3685d47a4c6</t>
  </si>
  <si>
    <t>https://www.commcarehq.org/a/demo-18/reports/form_data/be0d4690-8ed2-41d9-904b-f3685d47a4c6/</t>
  </si>
  <si>
    <t>bc98a61d-0e5c-45f5-a492-0116ee7e4705</t>
  </si>
  <si>
    <t>https://www.commcarehq.org/a/demo-18/reports/form_data/bc98a61d-0e5c-45f5-a492-0116ee7e4705/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</si>
</sst>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2" fontId="0" fillId="0" borderId="0" xfId="0" applyNumberFormat="1"/>
    <xf numFmtId="1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7.xml"/><Relationship Id="rId10" Type="http://schemas.openxmlformats.org/officeDocument/2006/relationships/pivotCacheDefinition" Target="pivotCache/pivotCacheDefinition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pivotCacheDefinition" Target="pivotCache/pivotCacheDefinition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UFC Condition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Damaged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'UFC Condition'!$O$22:$O$27</c:f>
              <c:strCache>
                <c:ptCount val="6"/>
                <c:pt idx="0">
                  <c:v>6W</c:v>
                </c:pt>
                <c:pt idx="1">
                  <c:v>10W</c:v>
                </c:pt>
                <c:pt idx="2">
                  <c:v>14W</c:v>
                </c:pt>
                <c:pt idx="3">
                  <c:v>4M</c:v>
                </c:pt>
                <c:pt idx="4">
                  <c:v>5M</c:v>
                </c:pt>
                <c:pt idx="5">
                  <c:v>6M</c:v>
                </c:pt>
              </c:strCache>
            </c:strRef>
          </c:cat>
          <c:val>
            <c:numRef>
              <c:f>'UFC Condition'!$P$22:$P$27</c:f>
              <c:numCache>
                <c:formatCode>General</c:formatCode>
                <c:ptCount val="6"/>
                <c:pt idx="0">
                  <c:v>28</c:v>
                </c:pt>
                <c:pt idx="1">
                  <c:v>97</c:v>
                </c:pt>
                <c:pt idx="2">
                  <c:v>94</c:v>
                </c:pt>
                <c:pt idx="3">
                  <c:v>94</c:v>
                </c:pt>
                <c:pt idx="4">
                  <c:v>42</c:v>
                </c:pt>
                <c:pt idx="5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95-4066-8C9F-7096F3EFD1E9}"/>
            </c:ext>
          </c:extLst>
        </c:ser>
        <c:ser>
          <c:idx val="1"/>
          <c:order val="1"/>
          <c:tx>
            <c:v>Like New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'UFC Condition'!$O$22:$O$27</c:f>
              <c:strCache>
                <c:ptCount val="6"/>
                <c:pt idx="0">
                  <c:v>6W</c:v>
                </c:pt>
                <c:pt idx="1">
                  <c:v>10W</c:v>
                </c:pt>
                <c:pt idx="2">
                  <c:v>14W</c:v>
                </c:pt>
                <c:pt idx="3">
                  <c:v>4M</c:v>
                </c:pt>
                <c:pt idx="4">
                  <c:v>5M</c:v>
                </c:pt>
                <c:pt idx="5">
                  <c:v>6M</c:v>
                </c:pt>
              </c:strCache>
            </c:strRef>
          </c:cat>
          <c:val>
            <c:numRef>
              <c:f>'UFC Condition'!$Q$22:$Q$27</c:f>
              <c:numCache>
                <c:formatCode>General</c:formatCode>
                <c:ptCount val="6"/>
                <c:pt idx="0">
                  <c:v>81</c:v>
                </c:pt>
                <c:pt idx="1">
                  <c:v>10</c:v>
                </c:pt>
                <c:pt idx="2">
                  <c:v>19</c:v>
                </c:pt>
                <c:pt idx="3">
                  <c:v>17</c:v>
                </c:pt>
                <c:pt idx="4">
                  <c:v>13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5-4066-8C9F-7096F3EFD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6838703"/>
        <c:axId val="736847855"/>
      </c:barChart>
      <c:catAx>
        <c:axId val="736838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847855"/>
        <c:crosses val="autoZero"/>
        <c:auto val="1"/>
        <c:lblAlgn val="ctr"/>
        <c:lblOffset val="100"/>
        <c:noMultiLvlLbl val="0"/>
      </c:catAx>
      <c:valAx>
        <c:axId val="73684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838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Under Five Card Condition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'UFC Condition'!$B$38</c:f>
              <c:strCache>
                <c:ptCount val="1"/>
                <c:pt idx="0">
                  <c:v>Like New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'UFC Condition'!$C$37:$H$37</c:f>
              <c:strCache>
                <c:ptCount val="6"/>
                <c:pt idx="0">
                  <c:v>6W</c:v>
                </c:pt>
                <c:pt idx="1">
                  <c:v>10W</c:v>
                </c:pt>
                <c:pt idx="2">
                  <c:v>14W</c:v>
                </c:pt>
                <c:pt idx="3">
                  <c:v>4M</c:v>
                </c:pt>
                <c:pt idx="4">
                  <c:v>5M</c:v>
                </c:pt>
                <c:pt idx="5">
                  <c:v>6M</c:v>
                </c:pt>
              </c:strCache>
            </c:strRef>
          </c:cat>
          <c:val>
            <c:numRef>
              <c:f>'UFC Condition'!$C$38:$H$38</c:f>
              <c:numCache>
                <c:formatCode>General</c:formatCode>
                <c:ptCount val="6"/>
                <c:pt idx="0">
                  <c:v>81</c:v>
                </c:pt>
                <c:pt idx="1">
                  <c:v>10</c:v>
                </c:pt>
                <c:pt idx="2">
                  <c:v>19</c:v>
                </c:pt>
                <c:pt idx="3">
                  <c:v>17</c:v>
                </c:pt>
                <c:pt idx="4">
                  <c:v>13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8F-4E5B-ABB9-E618B55A7E96}"/>
            </c:ext>
          </c:extLst>
        </c:ser>
        <c:ser>
          <c:idx val="1"/>
          <c:order val="1"/>
          <c:tx>
            <c:strRef>
              <c:f>'UFC Condition'!$B$39</c:f>
              <c:strCache>
                <c:ptCount val="1"/>
                <c:pt idx="0">
                  <c:v>Minor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'UFC Condition'!$C$37:$H$37</c:f>
              <c:strCache>
                <c:ptCount val="6"/>
                <c:pt idx="0">
                  <c:v>6W</c:v>
                </c:pt>
                <c:pt idx="1">
                  <c:v>10W</c:v>
                </c:pt>
                <c:pt idx="2">
                  <c:v>14W</c:v>
                </c:pt>
                <c:pt idx="3">
                  <c:v>4M</c:v>
                </c:pt>
                <c:pt idx="4">
                  <c:v>5M</c:v>
                </c:pt>
                <c:pt idx="5">
                  <c:v>6M</c:v>
                </c:pt>
              </c:strCache>
            </c:strRef>
          </c:cat>
          <c:val>
            <c:numRef>
              <c:f>'UFC Condition'!$C$39:$H$39</c:f>
              <c:numCache>
                <c:formatCode>General</c:formatCode>
                <c:ptCount val="6"/>
                <c:pt idx="0">
                  <c:v>19</c:v>
                </c:pt>
                <c:pt idx="1">
                  <c:v>41</c:v>
                </c:pt>
                <c:pt idx="2">
                  <c:v>43</c:v>
                </c:pt>
                <c:pt idx="3">
                  <c:v>26</c:v>
                </c:pt>
                <c:pt idx="4">
                  <c:v>20</c:v>
                </c:pt>
                <c:pt idx="5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8F-4E5B-ABB9-E618B55A7E96}"/>
            </c:ext>
          </c:extLst>
        </c:ser>
        <c:ser>
          <c:idx val="2"/>
          <c:order val="2"/>
          <c:tx>
            <c:strRef>
              <c:f>'UFC Condition'!$B$40</c:f>
              <c:strCache>
                <c:ptCount val="1"/>
                <c:pt idx="0">
                  <c:v>Moderate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'UFC Condition'!$C$37:$H$37</c:f>
              <c:strCache>
                <c:ptCount val="6"/>
                <c:pt idx="0">
                  <c:v>6W</c:v>
                </c:pt>
                <c:pt idx="1">
                  <c:v>10W</c:v>
                </c:pt>
                <c:pt idx="2">
                  <c:v>14W</c:v>
                </c:pt>
                <c:pt idx="3">
                  <c:v>4M</c:v>
                </c:pt>
                <c:pt idx="4">
                  <c:v>5M</c:v>
                </c:pt>
                <c:pt idx="5">
                  <c:v>6M</c:v>
                </c:pt>
              </c:strCache>
            </c:strRef>
          </c:cat>
          <c:val>
            <c:numRef>
              <c:f>'UFC Condition'!$C$40:$H$40</c:f>
              <c:numCache>
                <c:formatCode>General</c:formatCode>
                <c:ptCount val="6"/>
                <c:pt idx="0">
                  <c:v>9</c:v>
                </c:pt>
                <c:pt idx="1">
                  <c:v>47</c:v>
                </c:pt>
                <c:pt idx="2">
                  <c:v>32</c:v>
                </c:pt>
                <c:pt idx="3">
                  <c:v>42</c:v>
                </c:pt>
                <c:pt idx="4">
                  <c:v>7</c:v>
                </c:pt>
                <c:pt idx="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8F-4E5B-ABB9-E618B55A7E96}"/>
            </c:ext>
          </c:extLst>
        </c:ser>
        <c:ser>
          <c:idx val="3"/>
          <c:order val="3"/>
          <c:tx>
            <c:strRef>
              <c:f>'UFC Condition'!$B$41</c:f>
              <c:strCache>
                <c:ptCount val="1"/>
                <c:pt idx="0">
                  <c:v>Extreme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'UFC Condition'!$C$37:$H$37</c:f>
              <c:strCache>
                <c:ptCount val="6"/>
                <c:pt idx="0">
                  <c:v>6W</c:v>
                </c:pt>
                <c:pt idx="1">
                  <c:v>10W</c:v>
                </c:pt>
                <c:pt idx="2">
                  <c:v>14W</c:v>
                </c:pt>
                <c:pt idx="3">
                  <c:v>4M</c:v>
                </c:pt>
                <c:pt idx="4">
                  <c:v>5M</c:v>
                </c:pt>
                <c:pt idx="5">
                  <c:v>6M</c:v>
                </c:pt>
              </c:strCache>
            </c:strRef>
          </c:cat>
          <c:val>
            <c:numRef>
              <c:f>'UFC Condition'!$C$41:$H$41</c:f>
              <c:numCache>
                <c:formatCode>General</c:formatCode>
                <c:ptCount val="6"/>
                <c:pt idx="0">
                  <c:v>0</c:v>
                </c:pt>
                <c:pt idx="1">
                  <c:v>9</c:v>
                </c:pt>
                <c:pt idx="2">
                  <c:v>19</c:v>
                </c:pt>
                <c:pt idx="3">
                  <c:v>26</c:v>
                </c:pt>
                <c:pt idx="4">
                  <c:v>15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8F-4E5B-ABB9-E618B55A7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0425280"/>
        <c:axId val="2130430272"/>
      </c:barChart>
      <c:catAx>
        <c:axId val="21304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430272"/>
        <c:crosses val="autoZero"/>
        <c:auto val="1"/>
        <c:lblAlgn val="ctr"/>
        <c:lblOffset val="100"/>
        <c:noMultiLvlLbl val="0"/>
      </c:catAx>
      <c:valAx>
        <c:axId val="213043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42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263743540284157"/>
          <c:y val="0.89660963565994933"/>
          <c:w val="0.51616308473323835"/>
          <c:h val="8.53112682948529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171450</xdr:rowOff>
    </xdr:from>
    <xdr:to>
      <xdr:col>8</xdr:col>
      <xdr:colOff>590550</xdr:colOff>
      <xdr:row>32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295275</xdr:colOff>
      <xdr:row>43</xdr:row>
      <xdr:rowOff>47625</xdr:rowOff>
    </xdr:from>
    <xdr:to>
      <xdr:col>8</xdr:col>
      <xdr:colOff>600075</xdr:colOff>
      <xdr:row>62</xdr:row>
      <xdr:rowOff>180974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tter, Lauren Patricia" refreshedDate="43886.589375231481" createdVersion="6" refreshedVersion="6" minRefreshableVersion="3" recordCount="134" xr:uid="{00000000-000A-0000-FFFF-FFFF62000000}">
  <cacheSource type="worksheet">
    <worksheetSource name="d6_data"/>
  </cacheSource>
  <cacheFields count="18">
    <cacheField name="Study ID" numFmtId="0">
      <sharedItems containsBlank="1" count="134">
        <s v="6D9"/>
        <s v="6D14"/>
        <s v="6D15"/>
        <s v="6D12"/>
        <s v="6D23"/>
        <s v="6D25"/>
        <s v="6D52"/>
        <s v="6D53"/>
        <s v="6D54"/>
        <s v="6D57"/>
        <s v="6D49"/>
        <s v="6D47"/>
        <s v="6D80"/>
        <s v="6D33"/>
        <s v="6D65"/>
        <s v="6D68"/>
        <s v="6D86"/>
        <s v="6D102"/>
        <s v="6D106"/>
        <s v="14W68"/>
        <s v="6D123"/>
        <s v="6D124"/>
        <s v="6D132"/>
        <s v="6D8"/>
        <s v="6D118"/>
        <s v="6D117"/>
        <s v="6D145"/>
        <s v="6D28"/>
        <s v="6D16"/>
        <s v="6D17"/>
        <s v="6D13"/>
        <s v="6D5"/>
        <s v="6D48"/>
        <s v="6D60"/>
        <s v="6D66"/>
        <s v="6D37"/>
        <s v="6D40"/>
        <s v="6D44"/>
        <s v="6D76"/>
        <s v="6D78"/>
        <s v="6D74"/>
        <s v="6D92"/>
        <s v="6D94"/>
        <s v="6D122"/>
        <s v="6D109"/>
        <s v="6D111"/>
        <s v="6D103"/>
        <s v="14W58"/>
        <s v="6D133"/>
        <s v="6D139"/>
        <s v="6D121"/>
        <s v="6D64"/>
        <s v="6D83"/>
        <s v="6D89"/>
        <s v="6D88"/>
        <s v="6D71"/>
        <s v="6D69"/>
        <s v="6D75"/>
        <s v="6D72"/>
        <s v="6D11"/>
        <s v="6D34"/>
        <s v="6D38"/>
        <s v="6D41"/>
        <s v="6D42"/>
        <s v="6D50"/>
        <s v="6D56"/>
        <s v="6D27"/>
        <s v="6D90"/>
        <s v="6D91"/>
        <s v="6D112"/>
        <s v="6D108"/>
        <s v="6D95"/>
        <s v="6D119"/>
        <s v="6D116"/>
        <s v="6D141"/>
        <s v="6D137"/>
        <s v="6D130"/>
        <s v="6D135"/>
        <s v="6D134"/>
        <s v="6D131"/>
        <s v="6D115"/>
        <s v="6D7"/>
        <s v="6D45"/>
        <s v="6D51"/>
        <s v="6D20"/>
        <s v="6D24"/>
        <s v="6D136"/>
        <s v="6D142"/>
        <s v="6D143"/>
        <s v="6D58"/>
        <s v="6D59"/>
        <s v="6D62"/>
        <s v="6D73"/>
        <s v="6D93"/>
        <s v="6D105"/>
        <s v="6D97"/>
        <s v="6D125"/>
        <s v="6D120"/>
        <s v="6D127"/>
        <s v="6D129"/>
        <s v="6D10"/>
        <s v="6D6"/>
        <s v="6D39"/>
        <s v="6D35"/>
        <s v="6D36"/>
        <s v="6D46"/>
        <s v="6D55"/>
        <s v="6D22"/>
        <s v="6D21"/>
        <s v="6D29"/>
        <s v="6D26"/>
        <s v="6D18"/>
        <s v="6D67"/>
        <s v="6D61"/>
        <s v="6D87"/>
        <s v="6D82"/>
        <s v="6D84"/>
        <s v="6D70"/>
        <s v="6D77"/>
        <s v="6D79"/>
        <s v="6D100"/>
        <s v="6D107"/>
        <s v="6D110"/>
        <s v="6D113"/>
        <s v="6D114"/>
        <s v="6D96"/>
        <s v="6D99"/>
        <s v="6D98"/>
        <s v="6D128"/>
        <s v="6D126"/>
        <s v="6D138"/>
        <s v="6D140"/>
        <s v="6D144"/>
        <m/>
      </sharedItems>
    </cacheField>
    <cacheField name="Who Issued UFC" numFmtId="0">
      <sharedItems containsBlank="1" count="2">
        <s v="SEARCH"/>
        <m/>
      </sharedItems>
    </cacheField>
    <cacheField name="Date Form Filed" numFmtId="0">
      <sharedItems containsNonDate="0" containsDate="1" containsString="0" containsBlank="1" minDate="2019-11-06T00:00:00" maxDate="2019-12-17T00:00:00"/>
    </cacheField>
    <cacheField name="ENV" numFmtId="0">
      <sharedItems containsNonDate="0" containsDate="1" containsString="0" containsBlank="1" minDate="2019-12-14T00:00:00" maxDate="2020-01-24T00:00:00"/>
    </cacheField>
    <cacheField name="Why SEARCH" numFmtId="0">
      <sharedItems containsBlank="1"/>
    </cacheField>
    <cacheField name="Weight (kg)" numFmtId="0">
      <sharedItems containsString="0" containsBlank="1" containsNumber="1" minValue="2.5" maxValue="4"/>
    </cacheField>
    <cacheField name="Front UFC" numFmtId="0">
      <sharedItems containsBlank="1"/>
    </cacheField>
    <cacheField name="Back UFC" numFmtId="0">
      <sharedItems containsBlank="1"/>
    </cacheField>
    <cacheField name="Left" numFmtId="0">
      <sharedItems containsBlank="1"/>
    </cacheField>
    <cacheField name="Left_30" numFmtId="0">
      <sharedItems containsBlank="1"/>
    </cacheField>
    <cacheField name="Right" numFmtId="0">
      <sharedItems containsBlank="1"/>
    </cacheField>
    <cacheField name="Right_30" numFmtId="0">
      <sharedItems containsBlank="1"/>
    </cacheField>
    <cacheField name="Time Completed" numFmtId="0">
      <sharedItems containsNonDate="0" containsDate="1" containsString="0" containsBlank="1" minDate="2019-11-06T07:12:21" maxDate="2019-12-16T09:14:19"/>
    </cacheField>
    <cacheField name="Time Started" numFmtId="0">
      <sharedItems containsNonDate="0" containsDate="1" containsString="0" containsBlank="1" minDate="2019-11-06T07:07:45" maxDate="2019-12-16T09:11:02"/>
    </cacheField>
    <cacheField name="Data Collector" numFmtId="0">
      <sharedItems containsBlank="1"/>
    </cacheField>
    <cacheField name="Date Recieved" numFmtId="0">
      <sharedItems containsNonDate="0" containsDate="1" containsString="0" containsBlank="1" minDate="2019-11-06T07:12:38" maxDate="2019-12-16T09:14:34"/>
    </cacheField>
    <cacheField name="form_link" numFmtId="0">
      <sharedItems containsBlank="1"/>
    </cacheField>
    <cacheField name="formid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tter, Lauren Patricia" refreshedDate="43888.588777314813" createdVersion="6" refreshedVersion="6" minRefreshableVersion="3" recordCount="114" xr:uid="{00000000-000A-0000-FFFF-FFFF0E010000}">
  <cacheSource type="worksheet">
    <worksheetSource name="w14_data"/>
  </cacheSource>
  <cacheFields count="23">
    <cacheField name="Study ID" numFmtId="0">
      <sharedItems containsBlank="1" count="114">
        <s v="14W16"/>
        <s v="14W13"/>
        <s v="14W23"/>
        <s v="14W28"/>
        <s v="14W33"/>
        <s v="14W96"/>
        <s v="14W89"/>
        <s v="14W83"/>
        <s v="6D13"/>
        <s v="6D45"/>
        <s v="6D48"/>
        <s v="6D67"/>
        <s v="6D47"/>
        <s v="6D59"/>
        <s v="14W78"/>
        <s v="14W63"/>
        <s v="6D29"/>
        <s v="14W22"/>
        <s v="14W75"/>
        <s v="14W39"/>
        <s v="14W47"/>
        <s v="14W59"/>
        <s v="14W98"/>
        <s v="14W27"/>
        <s v="14W31"/>
        <s v="14W34"/>
        <s v="6D27"/>
        <s v="6D40"/>
        <s v="6D42"/>
        <s v="6D65"/>
        <s v="6D61"/>
        <s v="6D79"/>
        <s v="6D73"/>
        <s v="6D64"/>
        <s v="6D50"/>
        <s v="6D87"/>
        <s v="6D78"/>
        <s v="14W87"/>
        <s v="14W91"/>
        <s v="14W93"/>
        <s v="14W85"/>
        <s v="14W95"/>
        <s v="14W74"/>
        <s v="14W15"/>
        <s v="14W11"/>
        <s v="14W17"/>
        <s v="6D26"/>
        <s v="6D37"/>
        <s v="6D39"/>
        <s v="6D66"/>
        <s v="6D8"/>
        <s v="6D17"/>
        <s v="6D55"/>
        <s v="6D49"/>
        <s v="6D53"/>
        <s v="6D54"/>
        <s v="6D56"/>
        <s v="6D90"/>
        <s v="14W18"/>
        <s v="14W19"/>
        <s v="14W79"/>
        <s v="14W60"/>
        <s v="14W55"/>
        <s v="14W35"/>
        <s v="14W88"/>
        <s v="14W92"/>
        <s v="14W82"/>
        <s v="14W97"/>
        <s v="14W46"/>
        <s v="6D1"/>
        <s v="14W26"/>
        <s v="14W32"/>
        <s v="6D94"/>
        <s v="6D10"/>
        <s v="6D62"/>
        <s v="6D80"/>
        <s v="6D44"/>
        <s v="6D36"/>
        <s v="6D35"/>
        <s v="6D33"/>
        <s v="6D38"/>
        <s v="6D57"/>
        <s v="6D51"/>
        <s v="6D77"/>
        <s v="6D93"/>
        <s v="6D91"/>
        <s v="6D132"/>
        <s v="14W64"/>
        <s v="14W66"/>
        <s v="14W37"/>
        <s v="14W42"/>
        <s v="14W81"/>
        <s v="14W80"/>
        <s v="14W90"/>
        <s v="14W30"/>
        <s v="14W29"/>
        <s v="14W36"/>
        <s v="14W8"/>
        <s v="14W21"/>
        <s v="14W14"/>
        <s v="6D46"/>
        <s v="6D76"/>
        <s v="6D9"/>
        <s v="6D15"/>
        <s v="6D89"/>
        <s v="6D74"/>
        <s v="6D72"/>
        <s v="6D20"/>
        <s v="6D22"/>
        <s v="6D86"/>
        <s v="6D75"/>
        <s v="6D88"/>
        <s v="6D52"/>
        <m/>
      </sharedItems>
    </cacheField>
    <cacheField name="Weight (kg)" numFmtId="0">
      <sharedItems containsString="0" containsBlank="1" containsNumber="1" minValue="4.4000000000000004" maxValue="8.1"/>
    </cacheField>
    <cacheField name="ENV" numFmtId="0">
      <sharedItems containsNonDate="0" containsDate="1" containsString="0" containsBlank="1" minDate="2019-12-06T00:00:00" maxDate="2020-03-29T00:00:00"/>
    </cacheField>
    <cacheField name="Date Form Filed" numFmtId="0">
      <sharedItems containsNonDate="0" containsDate="1" containsString="0" containsBlank="1" minDate="2019-11-06T00:00:00" maxDate="2020-02-28T00:00:00"/>
    </cacheField>
    <cacheField name="New UFC Issued" numFmtId="0">
      <sharedItems containsBlank="1"/>
    </cacheField>
    <cacheField name="Why?" numFmtId="0">
      <sharedItems containsBlank="1"/>
    </cacheField>
    <cacheField name="Who Issued?" numFmtId="0">
      <sharedItems containsBlank="1"/>
    </cacheField>
    <cacheField name="Why?1" numFmtId="0">
      <sharedItems containsBlank="1"/>
    </cacheField>
    <cacheField name="UFC Condition" numFmtId="0">
      <sharedItems containsBlank="1" count="16">
        <s v="cracked"/>
        <s v="likenew"/>
        <s v="crinkled cracked"/>
        <s v="folded_corners crinkled cracked rippedtorn water-damaged stained"/>
        <s v="folded_corners crinkled cracked rippedtorn faded water-damaged stained"/>
        <s v="crinkled cracked faded"/>
        <s v="cracked faded"/>
        <s v="crinkled cracked rippedtorn"/>
        <s v="faded"/>
        <s v="folded_corners cracked"/>
        <s v="folded_corners crinkled cracked"/>
        <s v="cracked rippedtorn"/>
        <s v="cracked stained"/>
        <s v="folded_corners crinkled cracked rippedtorn"/>
        <s v="cracked rippedtorn faded"/>
        <m/>
      </sharedItems>
    </cacheField>
    <cacheField name="New Barcode?" numFmtId="0">
      <sharedItems containsBlank="1"/>
    </cacheField>
    <cacheField name="Why?2" numFmtId="0">
      <sharedItems containsBlank="1"/>
    </cacheField>
    <cacheField name="Front UFC" numFmtId="0">
      <sharedItems containsBlank="1"/>
    </cacheField>
    <cacheField name="Back UFC" numFmtId="0">
      <sharedItems containsBlank="1"/>
    </cacheField>
    <cacheField name="Left" numFmtId="0">
      <sharedItems containsBlank="1"/>
    </cacheField>
    <cacheField name="Left_30" numFmtId="0">
      <sharedItems containsBlank="1"/>
    </cacheField>
    <cacheField name="Right" numFmtId="0">
      <sharedItems containsBlank="1"/>
    </cacheField>
    <cacheField name="Right_30" numFmtId="0">
      <sharedItems containsBlank="1"/>
    </cacheField>
    <cacheField name="Time Completed" numFmtId="0">
      <sharedItems containsNonDate="0" containsDate="1" containsString="0" containsBlank="1" minDate="2019-11-06T09:17:15" maxDate="2020-02-27T09:07:22"/>
    </cacheField>
    <cacheField name="Time Started" numFmtId="0">
      <sharedItems containsNonDate="0" containsDate="1" containsString="0" containsBlank="1" minDate="2019-11-06T09:12:58" maxDate="2020-02-27T09:04:17"/>
    </cacheField>
    <cacheField name="Data Collector" numFmtId="0">
      <sharedItems containsBlank="1"/>
    </cacheField>
    <cacheField name="Date Received" numFmtId="0">
      <sharedItems containsNonDate="0" containsDate="1" containsString="0" containsBlank="1" minDate="2019-11-06T09:17:31" maxDate="2020-02-27T09:07:41"/>
    </cacheField>
    <cacheField name="formid" numFmtId="0">
      <sharedItems containsBlank="1"/>
    </cacheField>
    <cacheField name="form_link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tter, Lauren Patricia" refreshedDate="43888.589143634257" createdVersion="6" refreshedVersion="6" minRefreshableVersion="3" recordCount="110" xr:uid="{00000000-000A-0000-FFFF-FFFF16010000}">
  <cacheSource type="worksheet">
    <worksheetSource name="w6_data"/>
  </cacheSource>
  <cacheFields count="22">
    <cacheField name="Study ID" numFmtId="0">
      <sharedItems containsBlank="1" count="111">
        <s v="14W63"/>
        <s v="6D1"/>
        <s v="6D10"/>
        <s v="6D100"/>
        <s v="6D102"/>
        <s v="6D103"/>
        <s v="6D104"/>
        <s v="6D105"/>
        <s v="6D107"/>
        <s v="6D108"/>
        <s v="6D111"/>
        <s v="6D112"/>
        <s v="6D113"/>
        <s v="6D115"/>
        <s v="6D116"/>
        <s v="6D117"/>
        <s v="6D118"/>
        <s v="6D119"/>
        <s v="6D12"/>
        <s v="6D120"/>
        <s v="6D122"/>
        <s v="6D124"/>
        <s v="6D127"/>
        <s v="6D128"/>
        <s v="6D129"/>
        <s v="6D13"/>
        <s v="6D130"/>
        <s v="6D131"/>
        <s v="6D133"/>
        <s v="6D134"/>
        <s v="6D136"/>
        <s v="6D137"/>
        <s v="6D138"/>
        <s v="6D139"/>
        <s v="6D14"/>
        <s v="6D140"/>
        <s v="6D141"/>
        <s v="6D142"/>
        <s v="6D144"/>
        <s v="6D145"/>
        <s v="6D15"/>
        <s v="6D16"/>
        <s v="6D17"/>
        <s v="6D20"/>
        <s v="6D21"/>
        <s v="6D22"/>
        <s v="6D26"/>
        <s v="6D27"/>
        <s v="6D29"/>
        <s v="6D33"/>
        <s v="6D35"/>
        <s v="6D36"/>
        <s v="6D37"/>
        <s v="6D38"/>
        <s v="6D39"/>
        <s v="6D41"/>
        <s v="6D42"/>
        <s v="6D44"/>
        <s v="6D45"/>
        <s v="6D46"/>
        <s v="6D47"/>
        <s v="6D48"/>
        <s v="6D49"/>
        <s v="6D5"/>
        <s v="6D50"/>
        <s v="6D51"/>
        <s v="6D52"/>
        <s v="6D53"/>
        <s v="6D54"/>
        <s v="6D55"/>
        <s v="6D56"/>
        <s v="6D57"/>
        <s v="6D59"/>
        <s v="6D6"/>
        <s v="6D61"/>
        <s v="6D62"/>
        <s v="6D64"/>
        <s v="6D65"/>
        <s v="6D66"/>
        <s v="6D67"/>
        <s v="6D68"/>
        <s v="6D69"/>
        <s v="6D70"/>
        <s v="6D71"/>
        <s v="6D72"/>
        <s v="6D73"/>
        <s v="6D74"/>
        <s v="6D75"/>
        <s v="6D77"/>
        <s v="6D78"/>
        <s v="6D79"/>
        <s v="6D8"/>
        <s v="6D80"/>
        <s v="6D82"/>
        <s v="6D83"/>
        <s v="6D86"/>
        <s v="6D87"/>
        <s v="6D88"/>
        <s v="6D89"/>
        <s v="6D9"/>
        <s v="6D90"/>
        <s v="6D91"/>
        <s v="6D92"/>
        <s v="6D93"/>
        <s v="6D94"/>
        <s v="6D95"/>
        <s v="6D96"/>
        <s v="6D98"/>
        <s v="6D99"/>
        <m/>
        <s v="14W58" u="1"/>
      </sharedItems>
    </cacheField>
    <cacheField name="Weight (kg)" numFmtId="0">
      <sharedItems containsString="0" containsBlank="1" containsNumber="1" minValue="3" maxValue="6.4"/>
    </cacheField>
    <cacheField name="ENV" numFmtId="0">
      <sharedItems containsNonDate="0" containsDate="1" containsString="0" containsBlank="1" minDate="2019-12-28T00:00:00" maxDate="2020-02-24T00:00:00"/>
    </cacheField>
    <cacheField name="Date Form Filed" numFmtId="0">
      <sharedItems containsNonDate="0" containsDate="1" containsString="0" containsBlank="1" minDate="2019-11-28T00:00:00" maxDate="2020-01-25T00:00:00"/>
    </cacheField>
    <cacheField name="New UFC?" numFmtId="0">
      <sharedItems containsBlank="1"/>
    </cacheField>
    <cacheField name="Why?" numFmtId="0">
      <sharedItems containsBlank="1"/>
    </cacheField>
    <cacheField name="Who Issued?" numFmtId="0">
      <sharedItems containsBlank="1"/>
    </cacheField>
    <cacheField name="UFC Condition" numFmtId="0">
      <sharedItems containsBlank="1" count="7">
        <s v="likenew"/>
        <s v="crinkled cracked"/>
        <s v="cracked"/>
        <s v="cracked faded"/>
        <s v="crinkled"/>
        <s v="crinkled stained"/>
        <m/>
      </sharedItems>
    </cacheField>
    <cacheField name="New Barcode?" numFmtId="0">
      <sharedItems containsBlank="1"/>
    </cacheField>
    <cacheField name="Why?1" numFmtId="0">
      <sharedItems containsBlank="1"/>
    </cacheField>
    <cacheField name="Front UFC" numFmtId="0">
      <sharedItems containsBlank="1"/>
    </cacheField>
    <cacheField name="Back UFC" numFmtId="0">
      <sharedItems containsBlank="1"/>
    </cacheField>
    <cacheField name="Left" numFmtId="0">
      <sharedItems containsBlank="1"/>
    </cacheField>
    <cacheField name="Left_30" numFmtId="0">
      <sharedItems containsBlank="1"/>
    </cacheField>
    <cacheField name="Right" numFmtId="0">
      <sharedItems containsBlank="1"/>
    </cacheField>
    <cacheField name="Right_30" numFmtId="0">
      <sharedItems containsBlank="1"/>
    </cacheField>
    <cacheField name="Time Completed" numFmtId="0">
      <sharedItems containsNonDate="0" containsDate="1" containsString="0" containsBlank="1" minDate="2019-11-28T08:45:41" maxDate="2020-01-24T07:26:54"/>
    </cacheField>
    <cacheField name="Time Started" numFmtId="0">
      <sharedItems containsNonDate="0" containsDate="1" containsString="0" containsBlank="1" minDate="2019-11-28T08:43:17" maxDate="2020-01-24T07:24:24"/>
    </cacheField>
    <cacheField name="Data Collector" numFmtId="0">
      <sharedItems containsBlank="1"/>
    </cacheField>
    <cacheField name="Date Recieved" numFmtId="0">
      <sharedItems containsNonDate="0" containsDate="1" containsString="0" containsBlank="1" minDate="2019-11-28T08:46:00" maxDate="2020-01-24T07:27:11"/>
    </cacheField>
    <cacheField name="formid" numFmtId="0">
      <sharedItems containsBlank="1"/>
    </cacheField>
    <cacheField name="form_link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3993.761554976852" createdVersion="6" refreshedVersion="6" minRefreshableVersion="3" recordCount="108" xr:uid="{00000000-000A-0000-FFFF-FFFF12010000}">
  <cacheSource type="worksheet">
    <worksheetSource name="w10_data"/>
  </cacheSource>
  <cacheFields count="23">
    <cacheField name="Study ID" numFmtId="0">
      <sharedItems containsBlank="1" count="108">
        <s v="6D29"/>
        <s v="6D26"/>
        <s v="6D22"/>
        <s v="6D92"/>
        <s v="6D135"/>
        <s v="6D80"/>
        <s v="6D55"/>
        <s v="6D54"/>
        <s v="6D47"/>
        <s v="6D49"/>
        <s v="6D78"/>
        <s v="6D122"/>
        <s v="6D124"/>
        <s v="6D128"/>
        <s v="6D138"/>
        <s v="6D133"/>
        <s v="6D137"/>
        <s v="6D131"/>
        <s v="6D119"/>
        <s v="6D107"/>
        <s v="6D66"/>
        <s v="6D36"/>
        <s v="6D35"/>
        <s v="6D42"/>
        <s v="6D115"/>
        <s v="6D118"/>
        <s v="6D117"/>
        <s v="6D102"/>
        <s v="6D112"/>
        <s v="6D87"/>
        <s v="6D51"/>
        <s v="6D91"/>
        <s v="6D93"/>
        <s v="6D73"/>
        <s v="6D12"/>
        <s v="6D64"/>
        <s v="6D61"/>
        <s v="6D67"/>
        <s v="6D5"/>
        <s v="6D16"/>
        <s v="6D14"/>
        <s v="6D37"/>
        <s v="6D113"/>
        <s v="6D142"/>
        <s v="6D139"/>
        <s v="6D134"/>
        <s v="6D144"/>
        <s v="6D145"/>
        <s v="6D1"/>
        <s v="6D40"/>
        <s v="6D104"/>
        <s v="6D83"/>
        <s v="6D95"/>
        <s v="6D103"/>
        <s v="6D100"/>
        <s v="6D127"/>
        <s v="6D129"/>
        <s v="6D50"/>
        <s v="6D65"/>
        <s v="6D44"/>
        <s v="6D74"/>
        <s v="6D59"/>
        <s v="6D53"/>
        <s v="6D6"/>
        <s v="6D17"/>
        <s v="6D8"/>
        <s v="6D27"/>
        <s v="6D82"/>
        <s v="6D56"/>
        <s v="6D71"/>
        <s v="14W57"/>
        <s v="6D10"/>
        <s v="6D45"/>
        <s v="6D39"/>
        <s v="6D62"/>
        <s v="6D33"/>
        <s v="6D79"/>
        <s v="6D15"/>
        <s v="6D72"/>
        <s v="14W63"/>
        <s v="6D111"/>
        <s v="6D96"/>
        <s v="6D98"/>
        <s v="6D105"/>
        <s v="6D99"/>
        <s v="6D77"/>
        <s v="6D21"/>
        <s v="6D52"/>
        <s v="6D86"/>
        <s v="6D75"/>
        <s v="6D89"/>
        <s v="6D9"/>
        <s v="6D20"/>
        <s v="6D76"/>
        <s v="6D48"/>
        <s v="6D88"/>
        <s v="6D41"/>
        <s v="6D38"/>
        <s v="6D70"/>
        <s v="6D90"/>
        <s v="6D108"/>
        <s v="6D141"/>
        <s v="6D116"/>
        <s v="6D126"/>
        <s v="6D130"/>
        <s v="6D136"/>
        <s v="6D120"/>
        <m/>
      </sharedItems>
    </cacheField>
    <cacheField name="Weight (kg)" numFmtId="0">
      <sharedItems containsString="0" containsBlank="1" containsNumber="1" minValue="4" maxValue="7.2"/>
    </cacheField>
    <cacheField name="ENV" numFmtId="0">
      <sharedItems containsNonDate="0" containsDate="1" containsString="0" containsBlank="1" minDate="2019-12-28T00:00:00" maxDate="2020-03-26T00:00:00"/>
    </cacheField>
    <cacheField name="Date Form Filed" numFmtId="0">
      <sharedItems containsNonDate="0" containsDate="1" containsString="0" containsBlank="1" minDate="2019-11-28T00:00:00" maxDate="2020-02-25T00:00:00"/>
    </cacheField>
    <cacheField name="New UFC Issued" numFmtId="0">
      <sharedItems containsBlank="1"/>
    </cacheField>
    <cacheField name="Why?" numFmtId="0">
      <sharedItems containsBlank="1"/>
    </cacheField>
    <cacheField name="Who Issued?" numFmtId="0">
      <sharedItems containsBlank="1"/>
    </cacheField>
    <cacheField name="Why?1" numFmtId="0">
      <sharedItems containsBlank="1"/>
    </cacheField>
    <cacheField name="UFC Condition" numFmtId="0">
      <sharedItems containsBlank="1" count="11">
        <s v="crinkled cracked"/>
        <s v="cracked"/>
        <s v="folded_corners crinkled cracked"/>
        <s v="crinkled cracked rippedtorn"/>
        <s v="crinkled cracked rippedtorn faded"/>
        <s v="likenew"/>
        <s v="crinkled cracked rippedtorn water-damaged stained"/>
        <s v="crinkled cracked stained"/>
        <s v="cracked stained"/>
        <s v="cracked faded stained"/>
        <m/>
      </sharedItems>
    </cacheField>
    <cacheField name="New Barcode?" numFmtId="0">
      <sharedItems containsBlank="1"/>
    </cacheField>
    <cacheField name="Why?2" numFmtId="0">
      <sharedItems containsBlank="1"/>
    </cacheField>
    <cacheField name="Front UFC" numFmtId="0">
      <sharedItems containsBlank="1"/>
    </cacheField>
    <cacheField name="Back UFC" numFmtId="0">
      <sharedItems containsBlank="1"/>
    </cacheField>
    <cacheField name="Left" numFmtId="0">
      <sharedItems containsBlank="1"/>
    </cacheField>
    <cacheField name="Left_30" numFmtId="0">
      <sharedItems containsBlank="1"/>
    </cacheField>
    <cacheField name="Right" numFmtId="0">
      <sharedItems containsBlank="1"/>
    </cacheField>
    <cacheField name="Right_30" numFmtId="0">
      <sharedItems containsBlank="1"/>
    </cacheField>
    <cacheField name="Time Completed" numFmtId="0">
      <sharedItems containsNonDate="0" containsDate="1" containsString="0" containsBlank="1" minDate="2019-11-28T08:57:19" maxDate="2020-02-24T08:22:40"/>
    </cacheField>
    <cacheField name="Time Started" numFmtId="0">
      <sharedItems containsNonDate="0" containsDate="1" containsString="0" containsBlank="1" minDate="2019-11-28T08:54:18" maxDate="2020-02-24T08:18:46"/>
    </cacheField>
    <cacheField name="Data Collector" numFmtId="0">
      <sharedItems containsBlank="1"/>
    </cacheField>
    <cacheField name="Date Recieved" numFmtId="0">
      <sharedItems containsNonDate="0" containsDate="1" containsString="0" containsBlank="1" minDate="2019-11-28T08:57:50" maxDate="2020-02-24T08:22:58"/>
    </cacheField>
    <cacheField name="formid" numFmtId="0">
      <sharedItems containsBlank="1"/>
    </cacheField>
    <cacheField name="form_link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3993.762389930554" createdVersion="6" refreshedVersion="6" minRefreshableVersion="3" recordCount="112" xr:uid="{00000000-000A-0000-FFFF-FFFF1A010000}">
  <cacheSource type="worksheet">
    <worksheetSource name="m4_data"/>
  </cacheSource>
  <cacheFields count="23">
    <cacheField name="Study ID" numFmtId="0">
      <sharedItems containsBlank="1" count="112">
        <s v="14W31"/>
        <s v="14W84"/>
        <s v="14W15"/>
        <s v="14W70"/>
        <s v="14W51"/>
        <s v="14W1"/>
        <s v="6D13"/>
        <s v="6D6"/>
        <s v="6D22"/>
        <s v="6D36"/>
        <s v="6D64"/>
        <s v="6D77"/>
        <s v="6D66"/>
        <s v="6D87"/>
        <s v="6D29"/>
        <s v="6D48"/>
        <s v="6D27"/>
        <s v="6D20"/>
        <s v="6D61"/>
        <s v="6D9"/>
        <s v="14W10"/>
        <s v="14W12"/>
        <s v="14W6"/>
        <s v="14W73"/>
        <s v="14W76"/>
        <s v="14W14"/>
        <s v="14W11"/>
        <s v="14W50"/>
        <s v="14W45"/>
        <s v="14W86"/>
        <s v="14W39"/>
        <s v="6D40"/>
        <s v="6D46"/>
        <s v="6D80"/>
        <s v="6D26"/>
        <s v="6D72"/>
        <s v="6D42"/>
        <s v="6D56"/>
        <s v="6D57"/>
        <s v="6D55"/>
        <s v="6D126"/>
        <s v="6D75"/>
        <s v="6D74"/>
        <s v="6D38"/>
        <s v="6D67"/>
        <s v="6D50"/>
        <s v="6D51"/>
        <s v="6D62"/>
        <s v="6D35"/>
        <s v="6D71"/>
        <s v="14W42"/>
        <s v="14W35"/>
        <s v="14W21"/>
        <s v="14W22"/>
        <s v="14W4"/>
        <s v="14W56"/>
        <s v="14W62"/>
        <s v="6D14"/>
        <s v="6D21"/>
        <s v="6D54"/>
        <s v="6D89"/>
        <s v="6D88"/>
        <s v="6D53"/>
        <s v="6D65"/>
        <s v="6D44"/>
        <s v="6D73"/>
        <s v="6D102"/>
        <s v="6D10"/>
        <s v="6D17"/>
        <s v="6D15"/>
        <s v="6D116"/>
        <s v="6D94"/>
        <s v="14W20"/>
        <s v="14W77"/>
        <s v="14W17"/>
        <s v="14W16"/>
        <s v="14W36"/>
        <s v="14W30"/>
        <s v="14W29"/>
        <s v="14W43"/>
        <s v="14W48"/>
        <s v="6D96"/>
        <s v="6D78"/>
        <s v="6D132"/>
        <s v="6D82"/>
        <s v="6D70"/>
        <s v="6D47"/>
        <s v="6D24"/>
        <s v="14W0"/>
        <s v="14W53"/>
        <s v="14W54"/>
        <s v="14W52"/>
        <s v="14W23"/>
        <s v="14W8"/>
        <s v="14W38"/>
        <s v="14W44"/>
        <s v="14W41"/>
        <s v="14W9"/>
        <s v="6D45"/>
        <s v="6D79"/>
        <s v="6D59"/>
        <s v="6D37"/>
        <s v="6D33"/>
        <s v="6D93"/>
        <s v="6D52"/>
        <s v="6D86"/>
        <s v="6D76"/>
        <s v="6D1"/>
        <s v="6D112"/>
        <s v="6D90"/>
        <s v="6D91"/>
        <m/>
      </sharedItems>
    </cacheField>
    <cacheField name="Weight (kg)" numFmtId="0">
      <sharedItems containsString="0" containsBlank="1" containsNumber="1" minValue="4.8" maxValue="9.1"/>
    </cacheField>
    <cacheField name="ENV" numFmtId="0">
      <sharedItems containsNonDate="0" containsDate="1" containsString="0" containsBlank="1" minDate="2019-12-06T00:00:00" maxDate="2020-04-30T00:00:00"/>
    </cacheField>
    <cacheField name="Date Form Filed" numFmtId="0">
      <sharedItems containsNonDate="0" containsDate="1" containsString="0" containsBlank="1" minDate="2019-11-06T00:00:00" maxDate="2020-03-31T00:00:00"/>
    </cacheField>
    <cacheField name="New UFC Issued?" numFmtId="0">
      <sharedItems containsBlank="1"/>
    </cacheField>
    <cacheField name="Why?" numFmtId="0">
      <sharedItems containsBlank="1"/>
    </cacheField>
    <cacheField name="Who Issued?" numFmtId="0">
      <sharedItems containsBlank="1"/>
    </cacheField>
    <cacheField name="Why?1" numFmtId="0">
      <sharedItems containsBlank="1"/>
    </cacheField>
    <cacheField name="UFC Condition" numFmtId="0">
      <sharedItems containsBlank="1" count="17">
        <s v="cracked faded"/>
        <s v="likenew"/>
        <s v="cracked"/>
        <s v="crinkled cracked"/>
        <s v="crinkled cracked faded"/>
        <s v="folded_corners crinkled cracked"/>
        <s v="folded_corners crinkled cracked rippedtorn faded water-damaged"/>
        <s v="folded_corners crinkled cracked rippedtorn"/>
        <s v="folded_corners cracked"/>
        <s v="cracked stained"/>
        <s v="ink-bleeding cracked"/>
        <s v="folded_corners crinkled cracked rippedtorn faded"/>
        <s v="folded_corners crinkled cracked rippedtorn faded water-damaged stained"/>
        <s v="faded"/>
        <s v="folded_corners cracked rippedtorn"/>
        <s v="cracked rippedtorn"/>
        <m/>
      </sharedItems>
    </cacheField>
    <cacheField name="New Barcode?" numFmtId="0">
      <sharedItems containsBlank="1"/>
    </cacheField>
    <cacheField name="Why?2" numFmtId="0">
      <sharedItems containsBlank="1"/>
    </cacheField>
    <cacheField name="Front UFC" numFmtId="0">
      <sharedItems containsBlank="1"/>
    </cacheField>
    <cacheField name="Back UFC" numFmtId="0">
      <sharedItems containsBlank="1"/>
    </cacheField>
    <cacheField name="Left" numFmtId="0">
      <sharedItems containsBlank="1"/>
    </cacheField>
    <cacheField name="Left_30" numFmtId="0">
      <sharedItems containsBlank="1"/>
    </cacheField>
    <cacheField name="Right" numFmtId="0">
      <sharedItems containsBlank="1"/>
    </cacheField>
    <cacheField name="Right_30" numFmtId="0">
      <sharedItems containsBlank="1"/>
    </cacheField>
    <cacheField name="Time Completed" numFmtId="0">
      <sharedItems containsNonDate="0" containsDate="1" containsString="0" containsBlank="1" minDate="2019-11-06T09:07:00" maxDate="2020-03-30T07:56:44"/>
    </cacheField>
    <cacheField name="Time Started" numFmtId="0">
      <sharedItems containsNonDate="0" containsDate="1" containsString="0" containsBlank="1" minDate="2019-11-06T09:01:55" maxDate="2020-03-30T07:52:09"/>
    </cacheField>
    <cacheField name="Data Collector" numFmtId="0">
      <sharedItems containsBlank="1"/>
    </cacheField>
    <cacheField name="Date Recieved" numFmtId="0">
      <sharedItems containsNonDate="0" containsDate="1" containsString="0" containsBlank="1" minDate="2019-11-06T09:13:13" maxDate="2020-03-30T07:57:07"/>
    </cacheField>
    <cacheField name="formid" numFmtId="0">
      <sharedItems containsBlank="1"/>
    </cacheField>
    <cacheField name="form_link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3993.767627314817" createdVersion="6" refreshedVersion="6" minRefreshableVersion="3" recordCount="56" xr:uid="{00000000-000A-0000-FFFF-FFFF1E010000}">
  <cacheSource type="worksheet">
    <worksheetSource name="m5_data"/>
  </cacheSource>
  <cacheFields count="23">
    <cacheField name="Study ID" numFmtId="0">
      <sharedItems containsBlank="1" count="55">
        <s v="14W59"/>
        <s v="14W6"/>
        <s v="14W13"/>
        <s v="14W96"/>
        <s v="14W52"/>
        <s v="6D13"/>
        <s v="14W90"/>
        <s v="14W24"/>
        <s v="14W85"/>
        <s v="14W73"/>
        <s v="14W40"/>
        <s v="14W19"/>
        <s v="14W32"/>
        <s v="6D46"/>
        <s v="6D145"/>
        <s v="14W41"/>
        <s v="14W34"/>
        <s v="14W45"/>
        <s v="14W20"/>
        <s v="14W54"/>
        <s v="14W49"/>
        <s v="14W2"/>
        <s v="14W61"/>
        <s v="14W91"/>
        <s v="14W93"/>
        <s v="14W51"/>
        <s v="14W89"/>
        <s v="6D12"/>
        <s v="14W12"/>
        <s v="14W94"/>
        <s v="14W67"/>
        <s v="14W47"/>
        <s v="14W80"/>
        <s v="14W55"/>
        <s v="14W50"/>
        <s v="14W66"/>
        <s v="14W74"/>
        <s v="14W64"/>
        <s v="14W63"/>
        <s v="6D1"/>
        <s v="6D14"/>
        <s v="6D131"/>
        <s v="14W7"/>
        <s v="14W69"/>
        <s v="14W71"/>
        <s v="14W5"/>
        <s v="14W31"/>
        <s v="14W86"/>
        <s v="14W77"/>
        <s v="14W84"/>
        <s v="14W98"/>
        <s v="14W88"/>
        <s v="14W37"/>
        <s v="6D24"/>
        <m/>
      </sharedItems>
    </cacheField>
    <cacheField name="Weight (kg)" numFmtId="0">
      <sharedItems containsString="0" containsBlank="1" containsNumber="1" minValue="5.2" maxValue="8.4"/>
    </cacheField>
    <cacheField name="ENV" numFmtId="0">
      <sharedItems containsNonDate="0" containsDate="1" containsString="0" containsBlank="1" minDate="2019-12-06T00:00:00" maxDate="2020-06-21T00:00:00"/>
    </cacheField>
    <cacheField name="Date Form Filed" numFmtId="0">
      <sharedItems containsNonDate="0" containsDate="1" containsString="0" containsBlank="1" minDate="2019-11-06T00:00:00" maxDate="2020-05-22T00:00:00"/>
    </cacheField>
    <cacheField name="New UFC Issued?" numFmtId="0">
      <sharedItems containsBlank="1"/>
    </cacheField>
    <cacheField name="Why?" numFmtId="0">
      <sharedItems containsBlank="1"/>
    </cacheField>
    <cacheField name="Who Issued?" numFmtId="0">
      <sharedItems containsBlank="1"/>
    </cacheField>
    <cacheField name="Why?1" numFmtId="0">
      <sharedItems containsBlank="1"/>
    </cacheField>
    <cacheField name="UFC Condition" numFmtId="0">
      <sharedItems containsBlank="1" count="16">
        <s v="likenew"/>
        <s v="cracked"/>
        <s v="crinkled cracked rippedtorn"/>
        <s v="cracked faded"/>
        <s v="cracked rippedtorn stained"/>
        <s v="folded_corners crinkled cracked"/>
        <s v="folded_corners crinkled cracked rippedtorn"/>
        <s v="crinkled cracked faded"/>
        <s v="crinkled cracked"/>
        <s v="crinkled cracked rippedtorn faded"/>
        <s v="cracked rippedtorn"/>
        <s v="folded_corners crinkled cracked rippedtorn faded stained"/>
        <s v="folded_corners cracked"/>
        <s v="folded_corners cracked rippedtorn"/>
        <s v="crinkled cracked rippedtorn faded water-damaged stained"/>
        <m/>
      </sharedItems>
    </cacheField>
    <cacheField name="New Barcode?" numFmtId="0">
      <sharedItems containsBlank="1"/>
    </cacheField>
    <cacheField name="Why?2" numFmtId="0">
      <sharedItems containsBlank="1"/>
    </cacheField>
    <cacheField name="Front UFC" numFmtId="0">
      <sharedItems containsBlank="1"/>
    </cacheField>
    <cacheField name="Back UFC" numFmtId="0">
      <sharedItems containsBlank="1"/>
    </cacheField>
    <cacheField name="Left" numFmtId="0">
      <sharedItems containsBlank="1"/>
    </cacheField>
    <cacheField name="Left_30" numFmtId="0">
      <sharedItems containsBlank="1"/>
    </cacheField>
    <cacheField name="Right" numFmtId="0">
      <sharedItems containsBlank="1"/>
    </cacheField>
    <cacheField name="Right_30" numFmtId="0">
      <sharedItems containsBlank="1"/>
    </cacheField>
    <cacheField name="Time Completed" numFmtId="0">
      <sharedItems containsNonDate="0" containsDate="1" containsString="0" containsBlank="1" minDate="2019-11-06T09:06:05" maxDate="2020-05-21T08:16:12"/>
    </cacheField>
    <cacheField name="Time Started" numFmtId="0">
      <sharedItems containsNonDate="0" containsDate="1" containsString="0" containsBlank="1" minDate="2019-11-06T09:03:02" maxDate="2020-05-21T08:13:23"/>
    </cacheField>
    <cacheField name="Data Collector" numFmtId="0">
      <sharedItems containsBlank="1"/>
    </cacheField>
    <cacheField name="Date Recieved" numFmtId="0">
      <sharedItems containsNonDate="0" containsDate="1" containsString="0" containsBlank="1" minDate="2019-11-06T09:27:03" maxDate="2020-05-21T08:16:34"/>
    </cacheField>
    <cacheField name="formid" numFmtId="0">
      <sharedItems containsBlank="1"/>
    </cacheField>
    <cacheField name="form_link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3993.770298263888" createdVersion="6" refreshedVersion="6" minRefreshableVersion="3" recordCount="81" xr:uid="{00000000-000A-0000-FFFF-FFFF22010000}">
  <cacheSource type="worksheet">
    <worksheetSource name="m6_data"/>
  </cacheSource>
  <cacheFields count="23">
    <cacheField name="Study ID" numFmtId="0">
      <sharedItems containsBlank="1" count="81">
        <s v="14W24"/>
        <s v="14W44"/>
        <s v="14W38"/>
        <s v="14W65"/>
        <s v="14W8"/>
        <s v="14W11"/>
        <s v="14W55"/>
        <s v="14W47"/>
        <s v="14W45"/>
        <s v="14W94"/>
        <s v="14W16"/>
        <s v="14W39"/>
        <s v="14W59"/>
        <s v="14W98"/>
        <s v="14W77"/>
        <s v="6D52"/>
        <s v="6D61"/>
        <s v="6D29"/>
        <s v="6D22"/>
        <s v="6D144"/>
        <s v="6D134"/>
        <s v="14W64"/>
        <s v="14W74"/>
        <s v="14W66"/>
        <s v="14W0"/>
        <s v="14W1"/>
        <s v="14W67"/>
        <s v="14W32"/>
        <s v="14W42"/>
        <s v="14W41"/>
        <s v="14W30"/>
        <s v="14W29"/>
        <s v="14W14"/>
        <s v="14W52"/>
        <s v="14W90"/>
        <s v="14W85"/>
        <s v="14W88"/>
        <s v="14W80"/>
        <s v="14W96"/>
        <s v="6D36"/>
        <s v="6D90"/>
        <s v="6D111"/>
        <s v="14W2"/>
        <s v="14W73"/>
        <s v="14W84"/>
        <s v="14W23"/>
        <s v="14W21"/>
        <s v="14W36"/>
        <s v="14W34"/>
        <s v="14W17"/>
        <s v="14W69"/>
        <s v="14W37"/>
        <s v="6D141"/>
        <s v="6D108"/>
        <s v="6D122"/>
        <s v="14W7"/>
        <s v="14W10"/>
        <s v="14W40"/>
        <s v="14W13"/>
        <s v="14W6"/>
        <s v="14W4"/>
        <s v="14W35"/>
        <s v="6D124"/>
        <s v="6D119"/>
        <s v="14W50"/>
        <s v="14W22"/>
        <s v="14W15"/>
        <s v="14W54"/>
        <s v="14W49"/>
        <s v="14W70"/>
        <s v="14W5"/>
        <s v="14W19"/>
        <s v="14W86"/>
        <s v="14W89"/>
        <s v="14W93"/>
        <s v="14W91"/>
        <s v="14W51"/>
        <s v="6D73"/>
        <s v="6D27"/>
        <s v="6D59"/>
        <m/>
      </sharedItems>
    </cacheField>
    <cacheField name="Weight (kg)" numFmtId="0">
      <sharedItems containsString="0" containsBlank="1" containsNumber="1" minValue="4.8" maxValue="13"/>
    </cacheField>
    <cacheField name="ENV" numFmtId="0">
      <sharedItems containsNonDate="0" containsDate="1" containsString="0" containsBlank="1" minDate="2019-12-29T00:00:00" maxDate="2020-07-09T00:00:00"/>
    </cacheField>
    <cacheField name="Date Form Filed" numFmtId="0">
      <sharedItems containsNonDate="0" containsDate="1" containsString="0" containsBlank="1" minDate="2019-11-29T00:00:00" maxDate="2020-06-09T00:00:00"/>
    </cacheField>
    <cacheField name="New UFC Issued?" numFmtId="0">
      <sharedItems containsBlank="1"/>
    </cacheField>
    <cacheField name="Why?" numFmtId="0">
      <sharedItems containsBlank="1"/>
    </cacheField>
    <cacheField name="Who Issued?" numFmtId="0">
      <sharedItems containsBlank="1"/>
    </cacheField>
    <cacheField name="Why?1" numFmtId="0">
      <sharedItems containsBlank="1"/>
    </cacheField>
    <cacheField name="UFC Condition" numFmtId="0">
      <sharedItems containsBlank="1" count="18">
        <s v="cracked stained"/>
        <s v="cracked"/>
        <s v="likenew"/>
        <s v="cracked faded"/>
        <s v="crinkled cracked"/>
        <s v="crinkled cracked faded"/>
        <s v="---"/>
        <s v="folded_corners crinkled cracked"/>
        <s v="folded_corners cracked"/>
        <s v="crinkled cracked rippedtorn"/>
        <s v="faded"/>
        <s v="crinkled cracked rippedtorn faded"/>
        <s v="folded_corners crinkled cracked rippedtorn"/>
        <s v="folded_corners crinkled cracked faded stained"/>
        <s v="cracked rippedtorn"/>
        <s v="cracked rippedtorn faded"/>
        <s v="cracked rippedtorn faded water-damaged stained"/>
        <m/>
      </sharedItems>
    </cacheField>
    <cacheField name="New Barcode?" numFmtId="0">
      <sharedItems containsBlank="1"/>
    </cacheField>
    <cacheField name="Why?2" numFmtId="0">
      <sharedItems containsBlank="1"/>
    </cacheField>
    <cacheField name="Front UFC" numFmtId="0">
      <sharedItems containsBlank="1"/>
    </cacheField>
    <cacheField name="Back UFC" numFmtId="0">
      <sharedItems containsBlank="1"/>
    </cacheField>
    <cacheField name="Left" numFmtId="0">
      <sharedItems containsBlank="1"/>
    </cacheField>
    <cacheField name="Left_30" numFmtId="0">
      <sharedItems containsBlank="1"/>
    </cacheField>
    <cacheField name="Right" numFmtId="0">
      <sharedItems containsBlank="1"/>
    </cacheField>
    <cacheField name="Right_30" numFmtId="0">
      <sharedItems containsBlank="1"/>
    </cacheField>
    <cacheField name="Time Completed" numFmtId="0">
      <sharedItems containsNonDate="0" containsDate="1" containsString="0" containsBlank="1" minDate="2019-11-29T07:11:54" maxDate="2020-06-08T07:35:39"/>
    </cacheField>
    <cacheField name="Time Started" numFmtId="0">
      <sharedItems containsNonDate="0" containsDate="1" containsString="0" containsBlank="1" minDate="2019-11-29T07:07:26" maxDate="2020-06-08T07:32:33"/>
    </cacheField>
    <cacheField name="Data Collector" numFmtId="0">
      <sharedItems containsBlank="1"/>
    </cacheField>
    <cacheField name="Date Recieved" numFmtId="0">
      <sharedItems containsNonDate="0" containsDate="1" containsString="0" containsBlank="1" minDate="2019-11-29T08:46:39" maxDate="2020-06-08T07:38:51"/>
    </cacheField>
    <cacheField name="formid" numFmtId="0">
      <sharedItems containsBlank="1"/>
    </cacheField>
    <cacheField name="form_link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4">
  <r>
    <x v="0"/>
    <x v="0"/>
    <d v="2019-11-06T00:00:00"/>
    <d v="2019-12-14T00:00:00"/>
    <s v="clinic_ran_out_of_cards"/>
    <n v="3.1"/>
    <s v="https://www.commcarehq.org/a/demo-18/api/form/attachment/a87c69ec-c2a7-4ae2-8a17-325cd8867bf1/1573026489758.jpg"/>
    <s v="https://www.commcarehq.org/a/demo-18/api/form/attachment/a87c69ec-c2a7-4ae2-8a17-325cd8867bf1/1573026510650.jpg"/>
    <s v="https://www.commcarehq.org/a/demo-18/api/form/attachment/a87c69ec-c2a7-4ae2-8a17-325cd8867bf1/1573026586256.jpg"/>
    <s v="https://www.commcarehq.org/a/demo-18/api/form/attachment/a87c69ec-c2a7-4ae2-8a17-325cd8867bf1/1573026608928.jpg"/>
    <s v="https://www.commcarehq.org/a/demo-18/api/form/attachment/a87c69ec-c2a7-4ae2-8a17-325cd8867bf1/1573026650431.jpg"/>
    <s v="https://www.commcarehq.org/a/demo-18/api/form/attachment/a87c69ec-c2a7-4ae2-8a17-325cd8867bf1/1573026674733.jpg"/>
    <d v="2019-11-06T07:51:30"/>
    <d v="2019-11-06T07:47:38"/>
    <s v="papias"/>
    <d v="2019-11-06T07:52:03"/>
    <s v="https://www.commcarehq.org/a/demo-18/reports/form_data/a87c69ec-c2a7-4ae2-8a17-325cd8867bf1/"/>
    <s v="a87c69ec-c2a7-4ae2-8a17-325cd8867bf1"/>
  </r>
  <r>
    <x v="1"/>
    <x v="0"/>
    <d v="2019-11-06T00:00:00"/>
    <d v="2019-12-14T00:00:00"/>
    <s v="clinic_ran_out_of_cards"/>
    <n v="3.4"/>
    <s v="https://www.commcarehq.org/a/demo-18/api/form/attachment/1fd9bfe5-7604-4203-8da7-36ea943256f8/1573029610169.jpg"/>
    <s v="https://www.commcarehq.org/a/demo-18/api/form/attachment/1fd9bfe5-7604-4203-8da7-36ea943256f8/1573029629670.jpg"/>
    <s v="https://www.commcarehq.org/a/demo-18/api/form/attachment/1fd9bfe5-7604-4203-8da7-36ea943256f8/1573029687657.jpg"/>
    <s v="https://www.commcarehq.org/a/demo-18/api/form/attachment/1fd9bfe5-7604-4203-8da7-36ea943256f8/1573029706821.jpg"/>
    <s v="https://www.commcarehq.org/a/demo-18/api/form/attachment/1fd9bfe5-7604-4203-8da7-36ea943256f8/1573029743363.jpg"/>
    <s v="https://www.commcarehq.org/a/demo-18/api/form/attachment/1fd9bfe5-7604-4203-8da7-36ea943256f8/1573029757660.jpg"/>
    <d v="2019-11-06T08:42:39"/>
    <d v="2019-11-06T08:38:45"/>
    <s v="papias"/>
    <d v="2019-11-06T08:49:17"/>
    <s v="https://www.commcarehq.org/a/demo-18/reports/form_data/1fd9bfe5-7604-4203-8da7-36ea943256f8/"/>
    <s v="1fd9bfe5-7604-4203-8da7-36ea943256f8"/>
  </r>
  <r>
    <x v="2"/>
    <x v="0"/>
    <d v="2019-11-06T00:00:00"/>
    <d v="2019-12-14T00:00:00"/>
    <s v="clinic_ran_out_of_cards"/>
    <n v="3"/>
    <s v="https://www.commcarehq.org/a/demo-18/api/form/attachment/82bdbd8e-9aac-4b69-8273-7021f61ca109/1573030138746.jpg"/>
    <s v="https://www.commcarehq.org/a/demo-18/api/form/attachment/82bdbd8e-9aac-4b69-8273-7021f61ca109/1573030166650.jpg"/>
    <s v="https://www.commcarehq.org/a/demo-18/api/form/attachment/82bdbd8e-9aac-4b69-8273-7021f61ca109/1573030385474.jpg"/>
    <s v="https://www.commcarehq.org/a/demo-18/api/form/attachment/82bdbd8e-9aac-4b69-8273-7021f61ca109/1573030402963.jpg"/>
    <s v="https://www.commcarehq.org/a/demo-18/api/form/attachment/82bdbd8e-9aac-4b69-8273-7021f61ca109/1573030436656.jpg"/>
    <s v="https://www.commcarehq.org/a/demo-18/api/form/attachment/82bdbd8e-9aac-4b69-8273-7021f61ca109/1573030455101.jpg"/>
    <d v="2019-11-06T08:54:31"/>
    <d v="2019-11-06T08:48:31"/>
    <s v="papias"/>
    <d v="2019-11-06T09:02:09"/>
    <s v="https://www.commcarehq.org/a/demo-18/reports/form_data/82bdbd8e-9aac-4b69-8273-7021f61ca109/"/>
    <s v="82bdbd8e-9aac-4b69-8273-7021f61ca109"/>
  </r>
  <r>
    <x v="3"/>
    <x v="0"/>
    <d v="2019-11-06T00:00:00"/>
    <d v="2019-12-14T00:00:00"/>
    <s v="clinic_ran_out_of_cards"/>
    <n v="3"/>
    <s v="https://www.commcarehq.org/a/demo-18/api/form/attachment/2ac9befa-0601-4595-80af-acb856411929/1573028101765.jpg"/>
    <s v="https://www.commcarehq.org/a/demo-18/api/form/attachment/2ac9befa-0601-4595-80af-acb856411929/1573028119371.jpg"/>
    <s v="https://www.commcarehq.org/a/demo-18/api/form/attachment/2ac9befa-0601-4595-80af-acb856411929/1573028183394.jpg"/>
    <s v="https://www.commcarehq.org/a/demo-18/api/form/attachment/2ac9befa-0601-4595-80af-acb856411929/1573028197961.jpg"/>
    <s v="https://www.commcarehq.org/a/demo-18/api/form/attachment/2ac9befa-0601-4595-80af-acb856411929/1573028232900.jpg"/>
    <s v="https://www.commcarehq.org/a/demo-18/api/form/attachment/2ac9befa-0601-4595-80af-acb856411929/1573028248986.jpg"/>
    <d v="2019-11-06T08:17:31"/>
    <d v="2019-11-06T08:14:30"/>
    <s v="arnold"/>
    <d v="2019-11-06T09:26:34"/>
    <s v="https://www.commcarehq.org/a/demo-18/reports/form_data/2ac9befa-0601-4595-80af-acb856411929/"/>
    <s v="2ac9befa-0601-4595-80af-acb856411929"/>
  </r>
  <r>
    <x v="4"/>
    <x v="0"/>
    <d v="2019-11-08T00:00:00"/>
    <d v="2019-12-16T00:00:00"/>
    <s v="clinic_ran_out_of_cards"/>
    <n v="3"/>
    <s v="https://www.commcarehq.org/a/demo-18/api/form/attachment/1daedf5f-1c50-4ff0-a60d-8a856f2cb3fa/1573198308950.jpg"/>
    <s v="https://www.commcarehq.org/a/demo-18/api/form/attachment/1daedf5f-1c50-4ff0-a60d-8a856f2cb3fa/1573198330245.jpg"/>
    <s v="https://www.commcarehq.org/a/demo-18/api/form/attachment/1daedf5f-1c50-4ff0-a60d-8a856f2cb3fa/1573198509157.jpg"/>
    <s v="https://www.commcarehq.org/a/demo-18/api/form/attachment/1daedf5f-1c50-4ff0-a60d-8a856f2cb3fa/1573198525150.jpg"/>
    <s v="https://www.commcarehq.org/a/demo-18/api/form/attachment/1daedf5f-1c50-4ff0-a60d-8a856f2cb3fa/1573198606273.jpg"/>
    <s v="https://www.commcarehq.org/a/demo-18/api/form/attachment/1daedf5f-1c50-4ff0-a60d-8a856f2cb3fa/1573198621963.jpg"/>
    <d v="2019-11-08T07:37:06"/>
    <d v="2019-11-08T07:31:19"/>
    <s v="papias"/>
    <d v="2019-11-08T15:03:41"/>
    <s v="https://www.commcarehq.org/a/demo-18/reports/form_data/1daedf5f-1c50-4ff0-a60d-8a856f2cb3fa/"/>
    <s v="1daedf5f-1c50-4ff0-a60d-8a856f2cb3fa"/>
  </r>
  <r>
    <x v="5"/>
    <x v="0"/>
    <d v="2019-11-08T00:00:00"/>
    <d v="2019-12-16T00:00:00"/>
    <s v="clinic_ran_out_of_cards"/>
    <n v="3.1"/>
    <s v="https://www.commcarehq.org/a/demo-18/api/form/attachment/f7099ec0-9da6-4ad5-9762-0ad6cfcc8892/1573200656197.jpg"/>
    <s v="https://www.commcarehq.org/a/demo-18/api/form/attachment/f7099ec0-9da6-4ad5-9762-0ad6cfcc8892/1573200674952.jpg"/>
    <s v="https://www.commcarehq.org/a/demo-18/api/form/attachment/f7099ec0-9da6-4ad5-9762-0ad6cfcc8892/1573200749705.jpg"/>
    <s v="https://www.commcarehq.org/a/demo-18/api/form/attachment/f7099ec0-9da6-4ad5-9762-0ad6cfcc8892/1573200764517.jpg"/>
    <s v="https://www.commcarehq.org/a/demo-18/api/form/attachment/f7099ec0-9da6-4ad5-9762-0ad6cfcc8892/1573200792773.jpg"/>
    <s v="https://www.commcarehq.org/a/demo-18/api/form/attachment/f7099ec0-9da6-4ad5-9762-0ad6cfcc8892/1573200804132.jpg"/>
    <d v="2019-11-08T08:13:37"/>
    <d v="2019-11-08T08:09:54"/>
    <s v="papias"/>
    <d v="2019-11-08T15:04:22"/>
    <s v="https://www.commcarehq.org/a/demo-18/reports/form_data/f7099ec0-9da6-4ad5-9762-0ad6cfcc8892/"/>
    <s v="f7099ec0-9da6-4ad5-9762-0ad6cfcc8892"/>
  </r>
  <r>
    <x v="6"/>
    <x v="0"/>
    <d v="2019-11-15T00:00:00"/>
    <d v="2019-12-23T00:00:00"/>
    <s v="clinic_ran_out_of_cards"/>
    <n v="3"/>
    <s v="https://www.commcarehq.org/a/demo-18/api/form/attachment/c489ef63-68e4-4192-a6cb-e5b9019c22d8/1573800835312.jpg"/>
    <s v="https://www.commcarehq.org/a/demo-18/api/form/attachment/c489ef63-68e4-4192-a6cb-e5b9019c22d8/1573800850296.jpg"/>
    <s v="https://www.commcarehq.org/a/demo-18/api/form/attachment/c489ef63-68e4-4192-a6cb-e5b9019c22d8/1573800891196.jpg"/>
    <s v="https://www.commcarehq.org/a/demo-18/api/form/attachment/c489ef63-68e4-4192-a6cb-e5b9019c22d8/1573800903594.jpg"/>
    <s v="https://www.commcarehq.org/a/demo-18/api/form/attachment/c489ef63-68e4-4192-a6cb-e5b9019c22d8/1573800935057.jpg"/>
    <s v="https://www.commcarehq.org/a/demo-18/api/form/attachment/c489ef63-68e4-4192-a6cb-e5b9019c22d8/1573800946751.jpg"/>
    <d v="2019-11-15T06:55:53"/>
    <d v="2019-11-15T06:53:05"/>
    <s v="arnold"/>
    <d v="2019-11-15T06:56:08"/>
    <s v="https://www.commcarehq.org/a/demo-18/reports/form_data/c489ef63-68e4-4192-a6cb-e5b9019c22d8/"/>
    <s v="c489ef63-68e4-4192-a6cb-e5b9019c22d8"/>
  </r>
  <r>
    <x v="7"/>
    <x v="0"/>
    <d v="2019-11-15T00:00:00"/>
    <d v="2019-12-23T00:00:00"/>
    <s v="clinic_ran_out_of_cards"/>
    <n v="2.7"/>
    <s v="https://www.commcarehq.org/a/demo-18/api/form/attachment/b9f9d039-ed58-4944-b117-278fb59dac9d/1573801226992.jpg"/>
    <s v="https://www.commcarehq.org/a/demo-18/api/form/attachment/b9f9d039-ed58-4944-b117-278fb59dac9d/1573801243613.jpg"/>
    <s v="https://www.commcarehq.org/a/demo-18/api/form/attachment/b9f9d039-ed58-4944-b117-278fb59dac9d/1573801339455.jpg"/>
    <s v="https://www.commcarehq.org/a/demo-18/api/form/attachment/b9f9d039-ed58-4944-b117-278fb59dac9d/1573801350472.jpg"/>
    <s v="https://www.commcarehq.org/a/demo-18/api/form/attachment/b9f9d039-ed58-4944-b117-278fb59dac9d/1573801372593.jpg"/>
    <s v="https://www.commcarehq.org/a/demo-18/api/form/attachment/b9f9d039-ed58-4944-b117-278fb59dac9d/1573801383986.jpg"/>
    <d v="2019-11-15T07:03:05"/>
    <d v="2019-11-15T06:59:51"/>
    <s v="arnold"/>
    <d v="2019-11-15T07:03:22"/>
    <s v="https://www.commcarehq.org/a/demo-18/reports/form_data/b9f9d039-ed58-4944-b117-278fb59dac9d/"/>
    <s v="b9f9d039-ed58-4944-b117-278fb59dac9d"/>
  </r>
  <r>
    <x v="8"/>
    <x v="0"/>
    <d v="2019-11-15T00:00:00"/>
    <d v="2019-12-23T00:00:00"/>
    <s v="clinic_ran_out_of_cards"/>
    <n v="3"/>
    <s v="https://www.commcarehq.org/a/demo-18/api/form/attachment/e3ec82e9-09bd-4340-93d3-0d39dd6cdca3/1573801738536.jpg"/>
    <s v="https://www.commcarehq.org/a/demo-18/api/form/attachment/e3ec82e9-09bd-4340-93d3-0d39dd6cdca3/1573801758424.jpg"/>
    <s v="https://www.commcarehq.org/a/demo-18/api/form/attachment/e3ec82e9-09bd-4340-93d3-0d39dd6cdca3/1573801812273.jpg"/>
    <s v="https://www.commcarehq.org/a/demo-18/api/form/attachment/e3ec82e9-09bd-4340-93d3-0d39dd6cdca3/1573801824660.jpg"/>
    <s v="https://www.commcarehq.org/a/demo-18/api/form/attachment/e3ec82e9-09bd-4340-93d3-0d39dd6cdca3/1573801847504.jpg"/>
    <s v="https://www.commcarehq.org/a/demo-18/api/form/attachment/e3ec82e9-09bd-4340-93d3-0d39dd6cdca3/1573801861085.jpg"/>
    <d v="2019-11-15T07:11:03"/>
    <d v="2019-11-15T07:08:05"/>
    <s v="arnold"/>
    <d v="2019-11-15T07:11:20"/>
    <s v="https://www.commcarehq.org/a/demo-18/reports/form_data/e3ec82e9-09bd-4340-93d3-0d39dd6cdca3/"/>
    <s v="e3ec82e9-09bd-4340-93d3-0d39dd6cdca3"/>
  </r>
  <r>
    <x v="9"/>
    <x v="0"/>
    <d v="2019-11-18T00:00:00"/>
    <d v="2019-12-26T00:00:00"/>
    <s v="clinic_ran_out_of_cards"/>
    <n v="3.8"/>
    <s v="https://www.commcarehq.org/a/demo-18/api/form/attachment/3e74e463-d92b-437a-963e-902c180d44e5/1574059601080.jpg"/>
    <s v="https://www.commcarehq.org/a/demo-18/api/form/attachment/3e74e463-d92b-437a-963e-902c180d44e5/1574059615141.jpg"/>
    <s v="https://www.commcarehq.org/a/demo-18/api/form/attachment/3e74e463-d92b-437a-963e-902c180d44e5/1574059703093.jpg"/>
    <s v="https://www.commcarehq.org/a/demo-18/api/form/attachment/3e74e463-d92b-437a-963e-902c180d44e5/1574059714691.jpg"/>
    <s v="https://www.commcarehq.org/a/demo-18/api/form/attachment/3e74e463-d92b-437a-963e-902c180d44e5/1574059739405.jpg"/>
    <s v="https://www.commcarehq.org/a/demo-18/api/form/attachment/3e74e463-d92b-437a-963e-902c180d44e5/1574059754272.jpg"/>
    <d v="2019-11-18T06:49:16"/>
    <d v="2019-11-18T06:46:04"/>
    <s v="arnold"/>
    <d v="2019-11-18T06:49:34"/>
    <s v="https://www.commcarehq.org/a/demo-18/reports/form_data/3e74e463-d92b-437a-963e-902c180d44e5/"/>
    <s v="3e74e463-d92b-437a-963e-902c180d44e5"/>
  </r>
  <r>
    <x v="10"/>
    <x v="0"/>
    <d v="2019-11-13T00:00:00"/>
    <d v="2019-12-21T00:00:00"/>
    <s v="clinic_ran_out_of_cards"/>
    <n v="2.5"/>
    <s v="https://www.commcarehq.org/a/demo-18/api/form/attachment/c6e80f00-bcfd-43a9-b7e4-add207f8504d/1573635537133.jpg"/>
    <s v="https://www.commcarehq.org/a/demo-18/api/form/attachment/c6e80f00-bcfd-43a9-b7e4-add207f8504d/1573635557133.jpg"/>
    <s v="https://www.commcarehq.org/a/demo-18/api/form/attachment/c6e80f00-bcfd-43a9-b7e4-add207f8504d/1573635624099.jpg"/>
    <s v="https://www.commcarehq.org/a/demo-18/api/form/attachment/c6e80f00-bcfd-43a9-b7e4-add207f8504d/1573635638542.jpg"/>
    <s v="https://www.commcarehq.org/a/demo-18/api/form/attachment/c6e80f00-bcfd-43a9-b7e4-add207f8504d/1573635680317.jpg"/>
    <s v="https://www.commcarehq.org/a/demo-18/api/form/attachment/c6e80f00-bcfd-43a9-b7e4-add207f8504d/1573635693147.jpg"/>
    <d v="2019-11-13T09:01:35"/>
    <d v="2019-11-13T08:58:21"/>
    <s v="arnold"/>
    <d v="2019-11-13T09:07:39"/>
    <s v="https://www.commcarehq.org/a/demo-18/reports/form_data/c6e80f00-bcfd-43a9-b7e4-add207f8504d/"/>
    <s v="c6e80f00-bcfd-43a9-b7e4-add207f8504d"/>
  </r>
  <r>
    <x v="11"/>
    <x v="0"/>
    <d v="2019-11-13T00:00:00"/>
    <d v="2019-12-21T00:00:00"/>
    <s v="clinic_ran_out_of_cards"/>
    <n v="2.5"/>
    <s v="https://www.commcarehq.org/a/demo-18/api/form/attachment/56586ad5-97e4-4622-8b4f-a9420384ef01/1573632109525.jpg"/>
    <s v="https://www.commcarehq.org/a/demo-18/api/form/attachment/56586ad5-97e4-4622-8b4f-a9420384ef01/1573632125378.jpg"/>
    <s v="https://www.commcarehq.org/a/demo-18/api/form/attachment/56586ad5-97e4-4622-8b4f-a9420384ef01/1573632183534.jpg"/>
    <s v="https://www.commcarehq.org/a/demo-18/api/form/attachment/56586ad5-97e4-4622-8b4f-a9420384ef01/1573632198699.jpg"/>
    <s v="https://www.commcarehq.org/a/demo-18/api/form/attachment/56586ad5-97e4-4622-8b4f-a9420384ef01/1573632230038.jpg"/>
    <s v="https://www.commcarehq.org/a/demo-18/api/form/attachment/56586ad5-97e4-4622-8b4f-a9420384ef01/1573632250119.jpg"/>
    <d v="2019-11-13T08:04:13"/>
    <d v="2019-11-13T08:01:15"/>
    <s v="arnold"/>
    <d v="2019-11-13T09:07:03"/>
    <s v="https://www.commcarehq.org/a/demo-18/reports/form_data/56586ad5-97e4-4622-8b4f-a9420384ef01/"/>
    <s v="56586ad5-97e4-4622-8b4f-a9420384ef01"/>
  </r>
  <r>
    <x v="12"/>
    <x v="0"/>
    <d v="2019-11-20T00:00:00"/>
    <d v="2019-12-28T00:00:00"/>
    <s v="clinic_ran_out_of_cards"/>
    <n v="2.9"/>
    <s v="https://www.commcarehq.org/a/demo-18/api/form/attachment/edd7f6db-6127-49f3-8efb-6b8f171bbd21/1574242673025.jpg"/>
    <s v="https://www.commcarehq.org/a/demo-18/api/form/attachment/edd7f6db-6127-49f3-8efb-6b8f171bbd21/1574242696988.jpg"/>
    <s v="https://www.commcarehq.org/a/demo-18/api/form/attachment/edd7f6db-6127-49f3-8efb-6b8f171bbd21/1574242756572.jpg"/>
    <s v="https://www.commcarehq.org/a/demo-18/api/form/attachment/edd7f6db-6127-49f3-8efb-6b8f171bbd21/1574242767907.jpg"/>
    <s v="https://www.commcarehq.org/a/demo-18/api/form/attachment/edd7f6db-6127-49f3-8efb-6b8f171bbd21/1574242794258.jpg"/>
    <s v="https://www.commcarehq.org/a/demo-18/api/form/attachment/edd7f6db-6127-49f3-8efb-6b8f171bbd21/1574242810288.jpg"/>
    <d v="2019-11-20T09:40:12"/>
    <d v="2019-11-20T09:37:32"/>
    <s v="arnold"/>
    <d v="2019-11-20T09:40:28"/>
    <s v="https://www.commcarehq.org/a/demo-18/reports/form_data/edd7f6db-6127-49f3-8efb-6b8f171bbd21/"/>
    <s v="edd7f6db-6127-49f3-8efb-6b8f171bbd21"/>
  </r>
  <r>
    <x v="13"/>
    <x v="0"/>
    <d v="2019-11-11T00:00:00"/>
    <d v="2019-12-19T00:00:00"/>
    <s v="clinic_ran_out_of_cards"/>
    <n v="3.3"/>
    <s v="https://www.commcarehq.org/a/demo-18/api/form/attachment/1aa70d0f-df3c-42b8-88bb-ca5ef091904e/1573456633271.jpg"/>
    <s v="https://www.commcarehq.org/a/demo-18/api/form/attachment/1aa70d0f-df3c-42b8-88bb-ca5ef091904e/1573456653802.jpg"/>
    <s v="https://www.commcarehq.org/a/demo-18/api/form/attachment/1aa70d0f-df3c-42b8-88bb-ca5ef091904e/1573456714572.jpg"/>
    <s v="https://www.commcarehq.org/a/demo-18/api/form/attachment/1aa70d0f-df3c-42b8-88bb-ca5ef091904e/1573456727125.jpg"/>
    <s v="https://www.commcarehq.org/a/demo-18/api/form/attachment/1aa70d0f-df3c-42b8-88bb-ca5ef091904e/1573456744373.jpg"/>
    <s v="https://www.commcarehq.org/a/demo-18/api/form/attachment/1aa70d0f-df3c-42b8-88bb-ca5ef091904e/1573456761290.jpg"/>
    <d v="2019-11-11T07:19:23"/>
    <d v="2019-11-11T07:16:35"/>
    <s v="arnold"/>
    <d v="2019-11-11T10:05:51"/>
    <s v="https://www.commcarehq.org/a/demo-18/reports/form_data/1aa70d0f-df3c-42b8-88bb-ca5ef091904e/"/>
    <s v="1aa70d0f-df3c-42b8-88bb-ca5ef091904e"/>
  </r>
  <r>
    <x v="14"/>
    <x v="0"/>
    <d v="2019-11-18T00:00:00"/>
    <d v="2019-12-26T00:00:00"/>
    <s v="clinic_ran_out_of_cards"/>
    <n v="2.7"/>
    <s v="https://www.commcarehq.org/a/demo-18/api/form/attachment/9ca6c974-37e8-4030-a14a-7de1881a395b/1574067947545.jpg"/>
    <s v="https://www.commcarehq.org/a/demo-18/api/form/attachment/9ca6c974-37e8-4030-a14a-7de1881a395b/1574067965398.jpg"/>
    <s v="https://www.commcarehq.org/a/demo-18/api/form/attachment/9ca6c974-37e8-4030-a14a-7de1881a395b/1574068023842.jpg"/>
    <s v="https://www.commcarehq.org/a/demo-18/api/form/attachment/9ca6c974-37e8-4030-a14a-7de1881a395b/1574068038350.jpg"/>
    <s v="https://www.commcarehq.org/a/demo-18/api/form/attachment/9ca6c974-37e8-4030-a14a-7de1881a395b/1574068061422.jpg"/>
    <s v="https://www.commcarehq.org/a/demo-18/api/form/attachment/9ca6c974-37e8-4030-a14a-7de1881a395b/1574068072098.jpg"/>
    <d v="2019-11-18T09:07:53"/>
    <d v="2019-11-18T09:05:21"/>
    <s v="arnold"/>
    <d v="2019-11-18T10:20:20"/>
    <s v="https://www.commcarehq.org/a/demo-18/reports/form_data/9ca6c974-37e8-4030-a14a-7de1881a395b/"/>
    <s v="9ca6c974-37e8-4030-a14a-7de1881a395b"/>
  </r>
  <r>
    <x v="15"/>
    <x v="0"/>
    <d v="2019-11-20T00:00:00"/>
    <d v="2019-12-28T00:00:00"/>
    <s v="clinic_ran_out_of_cards"/>
    <n v="2.7"/>
    <s v="https://www.commcarehq.org/a/demo-18/api/form/attachment/3b0d1f06-24dd-481d-8081-ca882d8cb81a/1574232959644.jpg"/>
    <s v="https://www.commcarehq.org/a/demo-18/api/form/attachment/3b0d1f06-24dd-481d-8081-ca882d8cb81a/1574232981029.jpg"/>
    <s v="https://www.commcarehq.org/a/demo-18/api/form/attachment/3b0d1f06-24dd-481d-8081-ca882d8cb81a/1574233080904.jpg"/>
    <s v="https://www.commcarehq.org/a/demo-18/api/form/attachment/3b0d1f06-24dd-481d-8081-ca882d8cb81a/1574233096827.jpg"/>
    <s v="https://www.commcarehq.org/a/demo-18/api/form/attachment/3b0d1f06-24dd-481d-8081-ca882d8cb81a/1574233148830.jpg"/>
    <s v="https://www.commcarehq.org/a/demo-18/api/form/attachment/3b0d1f06-24dd-481d-8081-ca882d8cb81a/1574233158708.jpg"/>
    <d v="2019-11-20T06:59:20"/>
    <d v="2019-11-20T06:54:58"/>
    <s v="arnold"/>
    <d v="2019-11-20T06:59:35"/>
    <s v="https://www.commcarehq.org/a/demo-18/reports/form_data/3b0d1f06-24dd-481d-8081-ca882d8cb81a/"/>
    <s v="3b0d1f06-24dd-481d-8081-ca882d8cb81a"/>
  </r>
  <r>
    <x v="16"/>
    <x v="0"/>
    <d v="2019-11-21T00:00:00"/>
    <d v="2019-12-29T00:00:00"/>
    <s v="clinic_ran_out_of_cards"/>
    <n v="4"/>
    <s v="https://www.commcarehq.org/a/demo-18/api/form/attachment/b8722b5e-6465-4311-b8ff-353159d8e5de/1574326927329.jpg"/>
    <s v="https://www.commcarehq.org/a/demo-18/api/form/attachment/b8722b5e-6465-4311-b8ff-353159d8e5de/1574326943934.jpg"/>
    <s v="https://www.commcarehq.org/a/demo-18/api/form/attachment/b8722b5e-6465-4311-b8ff-353159d8e5de/1574326994550.jpg"/>
    <s v="https://www.commcarehq.org/a/demo-18/api/form/attachment/b8722b5e-6465-4311-b8ff-353159d8e5de/1574327004440.jpg"/>
    <s v="https://www.commcarehq.org/a/demo-18/api/form/attachment/b8722b5e-6465-4311-b8ff-353159d8e5de/1574327043630.jpg"/>
    <s v="https://www.commcarehq.org/a/demo-18/api/form/attachment/b8722b5e-6465-4311-b8ff-353159d8e5de/1574327053648.jpg"/>
    <d v="2019-11-21T09:04:15"/>
    <d v="2019-11-21T09:01:42"/>
    <s v="arnold"/>
    <d v="2019-11-21T09:04:55"/>
    <s v="https://www.commcarehq.org/a/demo-18/reports/form_data/b8722b5e-6465-4311-b8ff-353159d8e5de/"/>
    <s v="b8722b5e-6465-4311-b8ff-353159d8e5de"/>
  </r>
  <r>
    <x v="17"/>
    <x v="0"/>
    <d v="2019-11-28T00:00:00"/>
    <d v="2020-01-05T00:00:00"/>
    <s v="clinic_ran_out_of_cards"/>
    <n v="4"/>
    <s v="https://www.commcarehq.org/a/demo-18/api/form/attachment/887c1f63-8136-4a71-8d33-07ae369ec420/1574929983708.jpg"/>
    <s v="https://www.commcarehq.org/a/demo-18/api/form/attachment/887c1f63-8136-4a71-8d33-07ae369ec420/1574930005207.jpg"/>
    <s v="https://www.commcarehq.org/a/demo-18/api/form/attachment/887c1f63-8136-4a71-8d33-07ae369ec420/1574930125055.jpg"/>
    <s v="https://www.commcarehq.org/a/demo-18/api/form/attachment/887c1f63-8136-4a71-8d33-07ae369ec420/1574930137999.jpg"/>
    <s v="https://www.commcarehq.org/a/demo-18/api/form/attachment/887c1f63-8136-4a71-8d33-07ae369ec420/1574930179116.jpg"/>
    <s v="https://www.commcarehq.org/a/demo-18/api/form/attachment/887c1f63-8136-4a71-8d33-07ae369ec420/1574930193068.jpg"/>
    <d v="2019-11-28T08:36:34"/>
    <d v="2019-11-28T08:32:32"/>
    <s v="arnold"/>
    <d v="2019-11-28T08:36:54"/>
    <s v="https://www.commcarehq.org/a/demo-18/reports/form_data/887c1f63-8136-4a71-8d33-07ae369ec420/"/>
    <s v="887c1f63-8136-4a71-8d33-07ae369ec420"/>
  </r>
  <r>
    <x v="18"/>
    <x v="0"/>
    <d v="2019-11-29T00:00:00"/>
    <d v="2020-01-06T00:00:00"/>
    <s v="clinic_ran_out_of_cards"/>
    <n v="4"/>
    <s v="https://www.commcarehq.org/a/demo-18/api/form/attachment/b22ac502-8cd5-4364-922e-84920c5d717a/1575010169202.jpg"/>
    <s v="https://www.commcarehq.org/a/demo-18/api/form/attachment/b22ac502-8cd5-4364-922e-84920c5d717a/1575010183366.jpg"/>
    <s v="https://www.commcarehq.org/a/demo-18/api/form/attachment/b22ac502-8cd5-4364-922e-84920c5d717a/1575010305176.jpg"/>
    <s v="https://www.commcarehq.org/a/demo-18/api/form/attachment/b22ac502-8cd5-4364-922e-84920c5d717a/1575010314627.jpg"/>
    <s v="https://www.commcarehq.org/a/demo-18/api/form/attachment/b22ac502-8cd5-4364-922e-84920c5d717a/1575010339666.jpg"/>
    <s v="https://www.commcarehq.org/a/demo-18/api/form/attachment/b22ac502-8cd5-4364-922e-84920c5d717a/1575010348822.jpg"/>
    <d v="2019-11-29T06:52:30"/>
    <d v="2019-11-29T06:49:02"/>
    <s v="arnold"/>
    <d v="2019-11-29T08:46:04"/>
    <s v="https://www.commcarehq.org/a/demo-18/reports/form_data/b22ac502-8cd5-4364-922e-84920c5d717a/"/>
    <s v="b22ac502-8cd5-4364-922e-84920c5d717a"/>
  </r>
  <r>
    <x v="19"/>
    <x v="0"/>
    <d v="2019-11-29T00:00:00"/>
    <d v="2020-01-06T00:00:00"/>
    <s v="clinic_ran_out_of_cards"/>
    <n v="3.2"/>
    <s v="https://www.commcarehq.org/a/demo-18/api/form/attachment/08af5e4c-c33e-4480-9bbe-dd1ead8b8dbf/1575013045550.jpg"/>
    <s v="https://www.commcarehq.org/a/demo-18/api/form/attachment/08af5e4c-c33e-4480-9bbe-dd1ead8b8dbf/1575013059791.jpg"/>
    <s v="https://www.commcarehq.org/a/demo-18/api/form/attachment/08af5e4c-c33e-4480-9bbe-dd1ead8b8dbf/1575013139348.jpg"/>
    <s v="https://www.commcarehq.org/a/demo-18/api/form/attachment/08af5e4c-c33e-4480-9bbe-dd1ead8b8dbf/1575013148080.jpg"/>
    <s v="https://www.commcarehq.org/a/demo-18/api/form/attachment/08af5e4c-c33e-4480-9bbe-dd1ead8b8dbf/1575013186372.jpg"/>
    <s v="https://www.commcarehq.org/a/demo-18/api/form/attachment/08af5e4c-c33e-4480-9bbe-dd1ead8b8dbf/1575013196036.jpg"/>
    <d v="2019-11-29T07:39:58"/>
    <d v="2019-11-29T07:36:56"/>
    <s v="arnold"/>
    <d v="2019-11-29T08:47:47"/>
    <s v="https://www.commcarehq.org/a/demo-18/reports/form_data/08af5e4c-c33e-4480-9bbe-dd1ead8b8dbf/"/>
    <s v="08af5e4c-c33e-4480-9bbe-dd1ead8b8dbf"/>
  </r>
  <r>
    <x v="20"/>
    <x v="0"/>
    <d v="2019-12-06T00:00:00"/>
    <d v="2020-01-13T00:00:00"/>
    <s v="clinic_ran_out_of_cards"/>
    <n v="3"/>
    <s v="https://www.commcarehq.org/a/demo-18/api/form/attachment/c5edcb7e-2959-44af-9fbd-0409293ff305/1575617354030.jpg"/>
    <s v="https://www.commcarehq.org/a/demo-18/api/form/attachment/c5edcb7e-2959-44af-9fbd-0409293ff305/1575617366879.jpg"/>
    <s v="https://www.commcarehq.org/a/demo-18/api/form/attachment/c5edcb7e-2959-44af-9fbd-0409293ff305/1575617424260.jpg"/>
    <s v="https://www.commcarehq.org/a/demo-18/api/form/attachment/c5edcb7e-2959-44af-9fbd-0409293ff305/1575617434805.jpg"/>
    <s v="https://www.commcarehq.org/a/demo-18/api/form/attachment/c5edcb7e-2959-44af-9fbd-0409293ff305/1575617455541.jpg"/>
    <s v="https://www.commcarehq.org/a/demo-18/api/form/attachment/c5edcb7e-2959-44af-9fbd-0409293ff305/1575617464399.jpg"/>
    <d v="2019-12-06T07:31:06"/>
    <d v="2019-12-06T07:28:22"/>
    <s v="arnold"/>
    <d v="2019-12-06T07:31:26"/>
    <s v="https://www.commcarehq.org/a/demo-18/reports/form_data/c5edcb7e-2959-44af-9fbd-0409293ff305/"/>
    <s v="c5edcb7e-2959-44af-9fbd-0409293ff305"/>
  </r>
  <r>
    <x v="21"/>
    <x v="0"/>
    <d v="2019-12-06T00:00:00"/>
    <d v="2020-01-13T00:00:00"/>
    <s v="clinic_ran_out_of_cards"/>
    <n v="2.7"/>
    <s v="https://www.commcarehq.org/a/demo-18/api/form/attachment/bc15a362-65f8-4c6a-a677-89a8366f9e68/1575617805788.jpg"/>
    <s v="https://www.commcarehq.org/a/demo-18/api/form/attachment/bc15a362-65f8-4c6a-a677-89a8366f9e68/1575617822205.jpg"/>
    <s v="https://www.commcarehq.org/a/demo-18/api/form/attachment/bc15a362-65f8-4c6a-a677-89a8366f9e68/1575617902486.jpg"/>
    <s v="https://www.commcarehq.org/a/demo-18/api/form/attachment/bc15a362-65f8-4c6a-a677-89a8366f9e68/1575617913622.jpg"/>
    <s v="https://www.commcarehq.org/a/demo-18/api/form/attachment/bc15a362-65f8-4c6a-a677-89a8366f9e68/1575617933860.jpg"/>
    <s v="https://www.commcarehq.org/a/demo-18/api/form/attachment/bc15a362-65f8-4c6a-a677-89a8366f9e68/1575617942954.jpg"/>
    <d v="2019-12-06T07:39:04"/>
    <d v="2019-12-06T07:36:20"/>
    <s v="arnold"/>
    <d v="2019-12-06T07:39:22"/>
    <s v="https://www.commcarehq.org/a/demo-18/reports/form_data/bc15a362-65f8-4c6a-a677-89a8366f9e68/"/>
    <s v="bc15a362-65f8-4c6a-a677-89a8366f9e68"/>
  </r>
  <r>
    <x v="22"/>
    <x v="0"/>
    <d v="2019-12-11T00:00:00"/>
    <d v="2020-01-18T00:00:00"/>
    <s v="clinic_ran_out_of_cards"/>
    <n v="3.2"/>
    <s v="https://www.commcarehq.org/a/demo-18/api/form/attachment/f36fce4f-5c44-4760-a54e-08d903c243a6/1576050859445.jpg"/>
    <s v="https://www.commcarehq.org/a/demo-18/api/form/attachment/f36fce4f-5c44-4760-a54e-08d903c243a6/1576050874321.jpg"/>
    <s v="https://www.commcarehq.org/a/demo-18/api/form/attachment/f36fce4f-5c44-4760-a54e-08d903c243a6/1576050917956.jpg"/>
    <s v="https://www.commcarehq.org/a/demo-18/api/form/attachment/f36fce4f-5c44-4760-a54e-08d903c243a6/1576050927678.jpg"/>
    <s v="https://www.commcarehq.org/a/demo-18/api/form/attachment/f36fce4f-5c44-4760-a54e-08d903c243a6/1576050944930.jpg"/>
    <s v="https://www.commcarehq.org/a/demo-18/api/form/attachment/f36fce4f-5c44-4760-a54e-08d903c243a6/1576050955704.jpg"/>
    <d v="2019-12-11T07:56:06"/>
    <d v="2019-12-11T07:53:40"/>
    <s v="arnold"/>
    <d v="2019-12-11T10:32:13"/>
    <s v="https://www.commcarehq.org/a/demo-18/reports/form_data/f36fce4f-5c44-4760-a54e-08d903c243a6/"/>
    <s v="f36fce4f-5c44-4760-a54e-08d903c243a6"/>
  </r>
  <r>
    <x v="23"/>
    <x v="0"/>
    <d v="2019-11-06T00:00:00"/>
    <d v="2019-12-14T00:00:00"/>
    <s v="clinic_ran_out_of_cards"/>
    <n v="3"/>
    <s v="https://www.commcarehq.org/a/demo-18/api/form/attachment/e2991f7c-4e6c-4d08-aee3-5b24c3e6913a/1573025977061.jpg"/>
    <s v="https://www.commcarehq.org/a/demo-18/api/form/attachment/e2991f7c-4e6c-4d08-aee3-5b24c3e6913a/1573025999085.jpg"/>
    <s v="https://www.commcarehq.org/a/demo-18/api/form/attachment/e2991f7c-4e6c-4d08-aee3-5b24c3e6913a/1573026124068.jpg"/>
    <s v="https://www.commcarehq.org/a/demo-18/api/form/attachment/e2991f7c-4e6c-4d08-aee3-5b24c3e6913a/1573026137415.jpg"/>
    <s v="https://www.commcarehq.org/a/demo-18/api/form/attachment/e2991f7c-4e6c-4d08-aee3-5b24c3e6913a/1573026184638.jpg"/>
    <s v="https://www.commcarehq.org/a/demo-18/api/form/attachment/e2991f7c-4e6c-4d08-aee3-5b24c3e6913a/1573026200062.jpg"/>
    <d v="2019-11-06T07:43:22"/>
    <d v="2019-11-06T07:38:50"/>
    <s v="arnold"/>
    <d v="2019-11-06T09:26:03"/>
    <s v="https://www.commcarehq.org/a/demo-18/reports/form_data/e2991f7c-4e6c-4d08-aee3-5b24c3e6913a/"/>
    <s v="e2991f7c-4e6c-4d08-aee3-5b24c3e6913a"/>
  </r>
  <r>
    <x v="24"/>
    <x v="0"/>
    <d v="2019-12-04T00:00:00"/>
    <d v="2020-01-11T00:00:00"/>
    <s v="clinic_ran_out_of_cards"/>
    <n v="3.4"/>
    <s v="https://www.commcarehq.org/a/demo-18/api/form/attachment/b6a1d34a-29b2-45e3-90ff-0cc251a2df9d/1575448686917.jpg"/>
    <s v="https://www.commcarehq.org/a/demo-18/api/form/attachment/b6a1d34a-29b2-45e3-90ff-0cc251a2df9d/1575448702427.jpg"/>
    <s v="https://www.commcarehq.org/a/demo-18/api/form/attachment/b6a1d34a-29b2-45e3-90ff-0cc251a2df9d/1575448736596.jpg"/>
    <s v="https://www.commcarehq.org/a/demo-18/api/form/attachment/b6a1d34a-29b2-45e3-90ff-0cc251a2df9d/1575448746312.jpg"/>
    <s v="https://www.commcarehq.org/a/demo-18/api/form/attachment/b6a1d34a-29b2-45e3-90ff-0cc251a2df9d/1575448761316.jpg"/>
    <s v="https://www.commcarehq.org/a/demo-18/api/form/attachment/b6a1d34a-29b2-45e3-90ff-0cc251a2df9d/1575448774402.jpg"/>
    <d v="2019-12-04T08:39:36"/>
    <d v="2019-12-04T08:37:25"/>
    <s v="arnold"/>
    <d v="2019-12-04T10:11:00"/>
    <s v="https://www.commcarehq.org/a/demo-18/reports/form_data/b6a1d34a-29b2-45e3-90ff-0cc251a2df9d/"/>
    <s v="b6a1d34a-29b2-45e3-90ff-0cc251a2df9d"/>
  </r>
  <r>
    <x v="25"/>
    <x v="0"/>
    <d v="2019-12-04T00:00:00"/>
    <d v="2020-01-11T00:00:00"/>
    <s v="clinic_ran_out_of_cards"/>
    <n v="3.1"/>
    <s v="https://www.commcarehq.org/a/demo-18/api/form/attachment/e24572e9-0128-448d-838d-b3347985ce01/1575448252294.jpg"/>
    <s v="https://www.commcarehq.org/a/demo-18/api/form/attachment/e24572e9-0128-448d-838d-b3347985ce01/1575448268647.jpg"/>
    <s v="https://www.commcarehq.org/a/demo-18/api/form/attachment/e24572e9-0128-448d-838d-b3347985ce01/1575448304236.jpg"/>
    <s v="https://www.commcarehq.org/a/demo-18/api/form/attachment/e24572e9-0128-448d-838d-b3347985ce01/1575448316809.jpg"/>
    <s v="https://www.commcarehq.org/a/demo-18/api/form/attachment/e24572e9-0128-448d-838d-b3347985ce01/1575448337116.jpg"/>
    <s v="https://www.commcarehq.org/a/demo-18/api/form/attachment/e24572e9-0128-448d-838d-b3347985ce01/1575448346473.jpg"/>
    <d v="2019-12-04T08:32:28"/>
    <d v="2019-12-04T08:30:02"/>
    <s v="arnold"/>
    <d v="2019-12-04T10:10:33"/>
    <s v="https://www.commcarehq.org/a/demo-18/reports/form_data/e24572e9-0128-448d-838d-b3347985ce01/"/>
    <s v="e24572e9-0128-448d-838d-b3347985ce01"/>
  </r>
  <r>
    <x v="26"/>
    <x v="0"/>
    <d v="2019-12-16T00:00:00"/>
    <d v="2020-01-23T00:00:00"/>
    <s v="clinic_ran_out_of_cards"/>
    <n v="2.9"/>
    <s v="https://www.commcarehq.org/a/demo-18/api/form/attachment/1f76721b-d454-4d67-ba4f-90b2283363d2/1576487492287.jpg"/>
    <s v="https://www.commcarehq.org/a/demo-18/api/form/attachment/1f76721b-d454-4d67-ba4f-90b2283363d2/1576487507800.jpg"/>
    <s v="https://www.commcarehq.org/a/demo-18/api/form/attachment/1f76721b-d454-4d67-ba4f-90b2283363d2/1576487615776.jpg"/>
    <s v="https://www.commcarehq.org/a/demo-18/api/form/attachment/1f76721b-d454-4d67-ba4f-90b2283363d2/1576487627539.jpg"/>
    <s v="https://www.commcarehq.org/a/demo-18/api/form/attachment/1f76721b-d454-4d67-ba4f-90b2283363d2/1576487646811.jpg"/>
    <s v="https://www.commcarehq.org/a/demo-18/api/form/attachment/1f76721b-d454-4d67-ba4f-90b2283363d2/1576487657057.jpg"/>
    <d v="2019-12-16T09:14:19"/>
    <d v="2019-12-16T09:11:02"/>
    <s v="arnold"/>
    <d v="2019-12-16T09:14:34"/>
    <s v="https://www.commcarehq.org/a/demo-18/reports/form_data/1f76721b-d454-4d67-ba4f-90b2283363d2/"/>
    <s v="1f76721b-d454-4d67-ba4f-90b2283363d2"/>
  </r>
  <r>
    <x v="27"/>
    <x v="0"/>
    <d v="2019-11-08T00:00:00"/>
    <d v="2019-12-16T00:00:00"/>
    <s v="clinic_ran_out_of_cards"/>
    <n v="3"/>
    <s v="https://www.commcarehq.org/a/demo-18/api/form/attachment/4d1c7c1b-f5d4-4b4b-bc7a-6321a2918408/1573202523835.jpg"/>
    <s v="https://www.commcarehq.org/a/demo-18/api/form/attachment/4d1c7c1b-f5d4-4b4b-bc7a-6321a2918408/1573202545892.jpg"/>
    <s v="https://www.commcarehq.org/a/demo-18/api/form/attachment/4d1c7c1b-f5d4-4b4b-bc7a-6321a2918408/1573202615480.jpg"/>
    <s v="https://www.commcarehq.org/a/demo-18/api/form/attachment/4d1c7c1b-f5d4-4b4b-bc7a-6321a2918408/1573202633511.jpg"/>
    <s v="https://www.commcarehq.org/a/demo-18/api/form/attachment/4d1c7c1b-f5d4-4b4b-bc7a-6321a2918408/1573202668409.jpg"/>
    <s v="https://www.commcarehq.org/a/demo-18/api/form/attachment/4d1c7c1b-f5d4-4b4b-bc7a-6321a2918408/1573202683959.jpg"/>
    <d v="2019-11-08T08:45:01"/>
    <d v="2019-11-08T08:41:34"/>
    <s v="papias"/>
    <d v="2019-11-08T15:05:17"/>
    <s v="https://www.commcarehq.org/a/demo-18/reports/form_data/4d1c7c1b-f5d4-4b4b-bc7a-6321a2918408/"/>
    <s v="4d1c7c1b-f5d4-4b4b-bc7a-6321a2918408"/>
  </r>
  <r>
    <x v="28"/>
    <x v="0"/>
    <d v="2019-11-07T00:00:00"/>
    <d v="2019-12-15T00:00:00"/>
    <s v="clinic_ran_out_of_cards"/>
    <n v="3.7"/>
    <s v="https://www.commcarehq.org/a/demo-18/api/form/attachment/2ea58b96-c7a8-458a-aaf0-c6e3ba9c576e/1573113425416.jpg"/>
    <s v="https://www.commcarehq.org/a/demo-18/api/form/attachment/2ea58b96-c7a8-458a-aaf0-c6e3ba9c576e/1573113451022.jpg"/>
    <s v="https://www.commcarehq.org/a/demo-18/api/form/attachment/2ea58b96-c7a8-458a-aaf0-c6e3ba9c576e/1573113649621.jpg"/>
    <s v="https://www.commcarehq.org/a/demo-18/api/form/attachment/2ea58b96-c7a8-458a-aaf0-c6e3ba9c576e/1573113666952.jpg"/>
    <s v="https://www.commcarehq.org/a/demo-18/api/form/attachment/2ea58b96-c7a8-458a-aaf0-c6e3ba9c576e/1573113726774.jpg"/>
    <s v="https://www.commcarehq.org/a/demo-18/api/form/attachment/2ea58b96-c7a8-458a-aaf0-c6e3ba9c576e/1573113811552.jpg"/>
    <d v="2019-11-07T08:03:33"/>
    <d v="2019-11-07T07:56:27"/>
    <s v="arnold"/>
    <d v="2019-11-07T08:03:48"/>
    <s v="https://www.commcarehq.org/a/demo-18/reports/form_data/2ea58b96-c7a8-458a-aaf0-c6e3ba9c576e/"/>
    <s v="2ea58b96-c7a8-458a-aaf0-c6e3ba9c576e"/>
  </r>
  <r>
    <x v="29"/>
    <x v="0"/>
    <d v="2019-11-07T00:00:00"/>
    <d v="2019-12-15T00:00:00"/>
    <s v="clinic_ran_out_of_cards"/>
    <n v="3.3"/>
    <s v="https://www.commcarehq.org/a/demo-18/api/form/attachment/d3b325ea-2e9b-4718-9aac-f137d12d71d5/1573115045301.jpg"/>
    <s v="https://www.commcarehq.org/a/demo-18/api/form/attachment/d3b325ea-2e9b-4718-9aac-f137d12d71d5/1573115061516.jpg"/>
    <s v="https://www.commcarehq.org/a/demo-18/api/form/attachment/d3b325ea-2e9b-4718-9aac-f137d12d71d5/1573115136547.jpg"/>
    <s v="https://www.commcarehq.org/a/demo-18/api/form/attachment/d3b325ea-2e9b-4718-9aac-f137d12d71d5/1573115152604.jpg"/>
    <s v="https://www.commcarehq.org/a/demo-18/api/form/attachment/d3b325ea-2e9b-4718-9aac-f137d12d71d5/1573115190890.jpg"/>
    <s v="https://www.commcarehq.org/a/demo-18/api/form/attachment/d3b325ea-2e9b-4718-9aac-f137d12d71d5/1573115207399.jpg"/>
    <d v="2019-11-07T08:26:50"/>
    <d v="2019-11-07T08:23:40"/>
    <s v="arnold"/>
    <d v="2019-11-07T10:10:46"/>
    <s v="https://www.commcarehq.org/a/demo-18/reports/form_data/d3b325ea-2e9b-4718-9aac-f137d12d71d5/"/>
    <s v="d3b325ea-2e9b-4718-9aac-f137d12d71d5"/>
  </r>
  <r>
    <x v="30"/>
    <x v="0"/>
    <d v="2019-11-06T00:00:00"/>
    <d v="2019-12-14T00:00:00"/>
    <s v="clinic_ran_out_of_cards"/>
    <n v="3.1"/>
    <s v="https://www.commcarehq.org/a/demo-18/api/form/attachment/02b1b6f5-f6ad-44cb-b7b5-68311d6e965a/1573029455324.jpg"/>
    <s v="https://www.commcarehq.org/a/demo-18/api/form/attachment/02b1b6f5-f6ad-44cb-b7b5-68311d6e965a/1573029474649.jpg"/>
    <s v="https://www.commcarehq.org/a/demo-18/api/form/attachment/02b1b6f5-f6ad-44cb-b7b5-68311d6e965a/1573029573191.jpg"/>
    <s v="https://www.commcarehq.org/a/demo-18/api/form/attachment/02b1b6f5-f6ad-44cb-b7b5-68311d6e965a/1573029587547.jpg"/>
    <s v="https://www.commcarehq.org/a/demo-18/api/form/attachment/02b1b6f5-f6ad-44cb-b7b5-68311d6e965a/1573029666786.jpg"/>
    <s v="https://www.commcarehq.org/a/demo-18/api/form/attachment/02b1b6f5-f6ad-44cb-b7b5-68311d6e965a/1573029681605.jpg"/>
    <d v="2019-11-06T08:41:23"/>
    <d v="2019-11-06T08:36:43"/>
    <s v="arnold"/>
    <d v="2019-11-06T09:26:49"/>
    <s v="https://www.commcarehq.org/a/demo-18/reports/form_data/02b1b6f5-f6ad-44cb-b7b5-68311d6e965a/"/>
    <s v="02b1b6f5-f6ad-44cb-b7b5-68311d6e965a"/>
  </r>
  <r>
    <x v="31"/>
    <x v="0"/>
    <d v="2019-11-06T00:00:00"/>
    <d v="2019-12-14T00:00:00"/>
    <s v="clinic_ran_out_of_cards"/>
    <n v="3"/>
    <s v="https://www.commcarehq.org/a/demo-18/api/form/attachment/08705d85-eae2-42e0-bb77-5efb4e7e5420/1573024148513.jpg"/>
    <s v="https://www.commcarehq.org/a/demo-18/api/form/attachment/08705d85-eae2-42e0-bb77-5efb4e7e5420/1573024192227.jpg"/>
    <s v="https://www.commcarehq.org/a/demo-18/api/form/attachment/08705d85-eae2-42e0-bb77-5efb4e7e5420/1573024280195.jpg"/>
    <s v="https://www.commcarehq.org/a/demo-18/api/form/attachment/08705d85-eae2-42e0-bb77-5efb4e7e5420/1573024290557.jpg"/>
    <s v="https://www.commcarehq.org/a/demo-18/api/form/attachment/08705d85-eae2-42e0-bb77-5efb4e7e5420/1573024323020.jpg"/>
    <s v="https://www.commcarehq.org/a/demo-18/api/form/attachment/08705d85-eae2-42e0-bb77-5efb4e7e5420/1573024351264.jpg"/>
    <d v="2019-11-06T07:12:33"/>
    <d v="2019-11-06T07:08:09"/>
    <s v="arnold"/>
    <d v="2019-11-06T09:25:49"/>
    <s v="https://www.commcarehq.org/a/demo-18/reports/form_data/08705d85-eae2-42e0-bb77-5efb4e7e5420/"/>
    <s v="08705d85-eae2-42e0-bb77-5efb4e7e5420"/>
  </r>
  <r>
    <x v="32"/>
    <x v="0"/>
    <d v="2019-11-13T00:00:00"/>
    <d v="2019-12-21T00:00:00"/>
    <s v="clinic_ran_out_of_cards"/>
    <n v="2.6"/>
    <s v="https://www.commcarehq.org/a/demo-18/api/form/attachment/621bf7d3-ff20-420e-92f7-f7a412cb1682/1573634233202.jpg"/>
    <s v="https://www.commcarehq.org/a/demo-18/api/form/attachment/621bf7d3-ff20-420e-92f7-f7a412cb1682/1573634253059.jpg"/>
    <s v="https://www.commcarehq.org/a/demo-18/api/form/attachment/621bf7d3-ff20-420e-92f7-f7a412cb1682/1573634336244.jpg"/>
    <s v="https://www.commcarehq.org/a/demo-18/api/form/attachment/621bf7d3-ff20-420e-92f7-f7a412cb1682/1573634348812.jpg"/>
    <s v="https://www.commcarehq.org/a/demo-18/api/form/attachment/621bf7d3-ff20-420e-92f7-f7a412cb1682/1573634375351.jpg"/>
    <s v="https://www.commcarehq.org/a/demo-18/api/form/attachment/621bf7d3-ff20-420e-92f7-f7a412cb1682/1573634392278.jpg"/>
    <d v="2019-11-13T08:39:54"/>
    <d v="2019-11-13T08:36:33"/>
    <s v="arnold"/>
    <d v="2019-11-13T09:07:18"/>
    <s v="https://www.commcarehq.org/a/demo-18/reports/form_data/621bf7d3-ff20-420e-92f7-f7a412cb1682/"/>
    <s v="621bf7d3-ff20-420e-92f7-f7a412cb1682"/>
  </r>
  <r>
    <x v="33"/>
    <x v="0"/>
    <d v="2019-11-18T00:00:00"/>
    <d v="2019-12-26T00:00:00"/>
    <s v="clinic_ran_out_of_cards"/>
    <n v="3.4"/>
    <s v="https://www.commcarehq.org/a/demo-18/api/form/attachment/3642c162-8e61-4461-8d2c-e0ef8685106f/1574061896215.jpg"/>
    <s v="https://www.commcarehq.org/a/demo-18/api/form/attachment/3642c162-8e61-4461-8d2c-e0ef8685106f/1574061916392.jpg"/>
    <s v="https://www.commcarehq.org/a/demo-18/api/form/attachment/3642c162-8e61-4461-8d2c-e0ef8685106f/1574062041678.jpg"/>
    <s v="https://www.commcarehq.org/a/demo-18/api/form/attachment/3642c162-8e61-4461-8d2c-e0ef8685106f/1574062050592.jpg"/>
    <s v="https://www.commcarehq.org/a/demo-18/api/form/attachment/3642c162-8e61-4461-8d2c-e0ef8685106f/1574062095476.jpg"/>
    <s v="https://www.commcarehq.org/a/demo-18/api/form/attachment/3642c162-8e61-4461-8d2c-e0ef8685106f/1574062105970.jpg"/>
    <d v="2019-11-18T07:28:28"/>
    <d v="2019-11-18T07:24:41"/>
    <s v="arnold"/>
    <d v="2019-11-18T07:28:45"/>
    <s v="https://www.commcarehq.org/a/demo-18/reports/form_data/3642c162-8e61-4461-8d2c-e0ef8685106f/"/>
    <s v="3642c162-8e61-4461-8d2c-e0ef8685106f"/>
  </r>
  <r>
    <x v="34"/>
    <x v="0"/>
    <d v="2019-11-18T00:00:00"/>
    <d v="2019-12-26T00:00:00"/>
    <s v="clinic_ran_out_of_cards"/>
    <n v="3.5"/>
    <s v="https://www.commcarehq.org/a/demo-18/api/form/attachment/0394057b-79a3-46da-ac49-80b3ca1b1682/1574070955853.jpg"/>
    <s v="https://www.commcarehq.org/a/demo-18/api/form/attachment/0394057b-79a3-46da-ac49-80b3ca1b1682/1574070970903.jpg"/>
    <s v="https://www.commcarehq.org/a/demo-18/api/form/attachment/0394057b-79a3-46da-ac49-80b3ca1b1682/1574071020495.jpg"/>
    <s v="https://www.commcarehq.org/a/demo-18/api/form/attachment/0394057b-79a3-46da-ac49-80b3ca1b1682/1574071031755.jpg"/>
    <s v="https://www.commcarehq.org/a/demo-18/api/form/attachment/0394057b-79a3-46da-ac49-80b3ca1b1682/1574071050426.jpg"/>
    <s v="https://www.commcarehq.org/a/demo-18/api/form/attachment/0394057b-79a3-46da-ac49-80b3ca1b1682/1574071067862.jpg"/>
    <d v="2019-11-18T09:57:49"/>
    <d v="2019-11-18T09:55:06"/>
    <s v="arnold"/>
    <d v="2019-11-18T10:22:19"/>
    <s v="https://www.commcarehq.org/a/demo-18/reports/form_data/0394057b-79a3-46da-ac49-80b3ca1b1682/"/>
    <s v="0394057b-79a3-46da-ac49-80b3ca1b1682"/>
  </r>
  <r>
    <x v="35"/>
    <x v="0"/>
    <d v="2019-11-11T00:00:00"/>
    <d v="2019-12-19T00:00:00"/>
    <s v="clinic_ran_out_of_cards"/>
    <n v="2.5"/>
    <s v="https://www.commcarehq.org/a/demo-18/api/form/attachment/3a6ee164-46f2-4216-b190-26e84f58fdb9/1573459127021.jpg"/>
    <s v="https://www.commcarehq.org/a/demo-18/api/form/attachment/3a6ee164-46f2-4216-b190-26e84f58fdb9/1573459144736.jpg"/>
    <s v="https://www.commcarehq.org/a/demo-18/api/form/attachment/3a6ee164-46f2-4216-b190-26e84f58fdb9/1573459198728.jpg"/>
    <s v="https://www.commcarehq.org/a/demo-18/api/form/attachment/3a6ee164-46f2-4216-b190-26e84f58fdb9/1573459211365.jpg"/>
    <s v="https://www.commcarehq.org/a/demo-18/api/form/attachment/3a6ee164-46f2-4216-b190-26e84f58fdb9/1573459240808.jpg"/>
    <s v="https://www.commcarehq.org/a/demo-18/api/form/attachment/3a6ee164-46f2-4216-b190-26e84f58fdb9/1573459254586.jpg"/>
    <d v="2019-11-11T08:00:56"/>
    <d v="2019-11-11T07:58:24"/>
    <s v="arnold"/>
    <d v="2019-11-11T10:06:51"/>
    <s v="https://www.commcarehq.org/a/demo-18/reports/form_data/3a6ee164-46f2-4216-b190-26e84f58fdb9/"/>
    <s v="3a6ee164-46f2-4216-b190-26e84f58fdb9"/>
  </r>
  <r>
    <x v="36"/>
    <x v="0"/>
    <d v="2019-11-11T00:00:00"/>
    <d v="2019-12-19T00:00:00"/>
    <s v="clinic_ran_out_of_cards"/>
    <n v="2.5"/>
    <s v="https://www.commcarehq.org/a/demo-18/api/form/attachment/92899205-88b0-42e0-9cc9-b3d3b4426761/1573460426618.jpg"/>
    <s v="https://www.commcarehq.org/a/demo-18/api/form/attachment/92899205-88b0-42e0-9cc9-b3d3b4426761/1573460443688.jpg"/>
    <s v="https://www.commcarehq.org/a/demo-18/api/form/attachment/92899205-88b0-42e0-9cc9-b3d3b4426761/1573460496015.jpg"/>
    <s v="https://www.commcarehq.org/a/demo-18/api/form/attachment/92899205-88b0-42e0-9cc9-b3d3b4426761/1573460518862.jpg"/>
    <s v="https://www.commcarehq.org/a/demo-18/api/form/attachment/92899205-88b0-42e0-9cc9-b3d3b4426761/1573460540407.jpg"/>
    <s v="https://www.commcarehq.org/a/demo-18/api/form/attachment/92899205-88b0-42e0-9cc9-b3d3b4426761/1573460553851.jpg"/>
    <d v="2019-11-11T08:22:36"/>
    <d v="2019-11-11T08:19:47"/>
    <s v="arnold"/>
    <d v="2019-11-11T10:07:39"/>
    <s v="https://www.commcarehq.org/a/demo-18/reports/form_data/92899205-88b0-42e0-9cc9-b3d3b4426761/"/>
    <s v="92899205-88b0-42e0-9cc9-b3d3b4426761"/>
  </r>
  <r>
    <x v="37"/>
    <x v="0"/>
    <d v="2019-11-11T00:00:00"/>
    <d v="2019-12-19T00:00:00"/>
    <s v="clinic_ran_out_of_cards"/>
    <n v="2.8"/>
    <s v="https://www.commcarehq.org/a/demo-18/api/form/attachment/33e5be6e-6fce-4ebc-a354-b5715f23bb85/1573466438105.jpg"/>
    <s v="https://www.commcarehq.org/a/demo-18/api/form/attachment/33e5be6e-6fce-4ebc-a354-b5715f23bb85/1573466462245.jpg"/>
    <s v="https://www.commcarehq.org/a/demo-18/api/form/attachment/33e5be6e-6fce-4ebc-a354-b5715f23bb85/1573466525523.jpg"/>
    <s v="https://www.commcarehq.org/a/demo-18/api/form/attachment/33e5be6e-6fce-4ebc-a354-b5715f23bb85/1573466538518.jpg"/>
    <s v="https://www.commcarehq.org/a/demo-18/api/form/attachment/33e5be6e-6fce-4ebc-a354-b5715f23bb85/1573466565046.jpg"/>
    <s v="https://www.commcarehq.org/a/demo-18/api/form/attachment/33e5be6e-6fce-4ebc-a354-b5715f23bb85/1573466578801.jpg"/>
    <d v="2019-11-11T10:03:00"/>
    <d v="2019-11-11T10:00:07"/>
    <s v="arnold"/>
    <d v="2019-11-11T10:09:49"/>
    <s v="https://www.commcarehq.org/a/demo-18/reports/form_data/33e5be6e-6fce-4ebc-a354-b5715f23bb85/"/>
    <s v="33e5be6e-6fce-4ebc-a354-b5715f23bb85"/>
  </r>
  <r>
    <x v="38"/>
    <x v="0"/>
    <d v="2019-11-20T00:00:00"/>
    <d v="2019-12-28T00:00:00"/>
    <s v="clinic_ran_out_of_cards"/>
    <n v="2.5"/>
    <s v="https://www.commcarehq.org/a/demo-18/api/form/attachment/c4917aa6-ea0e-4286-8343-9c4e15633bcc/1574239581672.jpg"/>
    <s v="https://www.commcarehq.org/a/demo-18/api/form/attachment/c4917aa6-ea0e-4286-8343-9c4e15633bcc/1574239597935.jpg"/>
    <s v="https://www.commcarehq.org/a/demo-18/api/form/attachment/c4917aa6-ea0e-4286-8343-9c4e15633bcc/1574239649287.jpg"/>
    <s v="https://www.commcarehq.org/a/demo-18/api/form/attachment/c4917aa6-ea0e-4286-8343-9c4e15633bcc/1574239659524.jpg"/>
    <s v="https://www.commcarehq.org/a/demo-18/api/form/attachment/c4917aa6-ea0e-4286-8343-9c4e15633bcc/1574239675282.jpg"/>
    <s v="https://www.commcarehq.org/a/demo-18/api/form/attachment/c4917aa6-ea0e-4286-8343-9c4e15633bcc/1574239695845.jpg"/>
    <d v="2019-11-20T08:48:17"/>
    <d v="2019-11-20T08:45:51"/>
    <s v="arnold"/>
    <d v="2019-11-20T08:48:33"/>
    <s v="https://www.commcarehq.org/a/demo-18/reports/form_data/c4917aa6-ea0e-4286-8343-9c4e15633bcc/"/>
    <s v="c4917aa6-ea0e-4286-8343-9c4e15633bcc"/>
  </r>
  <r>
    <x v="39"/>
    <x v="0"/>
    <d v="2019-11-20T00:00:00"/>
    <d v="2019-12-28T00:00:00"/>
    <s v="clinic_ran_out_of_cards"/>
    <n v="3"/>
    <s v="https://www.commcarehq.org/a/demo-18/api/form/attachment/03cc66b2-7ecd-4042-86b2-5c139789f1fc/1574240552465.jpg"/>
    <s v="https://www.commcarehq.org/a/demo-18/api/form/attachment/03cc66b2-7ecd-4042-86b2-5c139789f1fc/1574240571024.jpg"/>
    <s v="https://www.commcarehq.org/a/demo-18/api/form/attachment/03cc66b2-7ecd-4042-86b2-5c139789f1fc/1574240630118.jpg"/>
    <s v="https://www.commcarehq.org/a/demo-18/api/form/attachment/03cc66b2-7ecd-4042-86b2-5c139789f1fc/1574240644830.jpg"/>
    <s v="https://www.commcarehq.org/a/demo-18/api/form/attachment/03cc66b2-7ecd-4042-86b2-5c139789f1fc/1574240703778.jpg"/>
    <s v="https://www.commcarehq.org/a/demo-18/api/form/attachment/03cc66b2-7ecd-4042-86b2-5c139789f1fc/1574240715098.jpg"/>
    <d v="2019-11-20T09:05:17"/>
    <d v="2019-11-20T09:02:05"/>
    <s v="arnold"/>
    <d v="2019-11-20T09:05:34"/>
    <s v="https://www.commcarehq.org/a/demo-18/reports/form_data/03cc66b2-7ecd-4042-86b2-5c139789f1fc/"/>
    <s v="03cc66b2-7ecd-4042-86b2-5c139789f1fc"/>
  </r>
  <r>
    <x v="40"/>
    <x v="0"/>
    <d v="2019-11-20T00:00:00"/>
    <d v="2019-12-28T00:00:00"/>
    <s v="clinic_ran_out_of_cards"/>
    <n v="3"/>
    <s v="https://www.commcarehq.org/a/demo-18/api/form/attachment/e5f178d7-bc2b-496d-81eb-130812f2c5e8/1574237046535.jpg"/>
    <s v="https://www.commcarehq.org/a/demo-18/api/form/attachment/e5f178d7-bc2b-496d-81eb-130812f2c5e8/1574237063609.jpg"/>
    <s v="https://www.commcarehq.org/a/demo-18/api/form/attachment/e5f178d7-bc2b-496d-81eb-130812f2c5e8/1574237245809.jpg"/>
    <s v="https://www.commcarehq.org/a/demo-18/api/form/attachment/e5f178d7-bc2b-496d-81eb-130812f2c5e8/1574237255027.jpg"/>
    <s v="https://www.commcarehq.org/a/demo-18/api/form/attachment/e5f178d7-bc2b-496d-81eb-130812f2c5e8/1574237295017.jpg"/>
    <s v="https://www.commcarehq.org/a/demo-18/api/form/attachment/e5f178d7-bc2b-496d-81eb-130812f2c5e8/1574237314133.jpg"/>
    <d v="2019-11-20T08:08:36"/>
    <d v="2019-11-20T08:03:28"/>
    <s v="arnold"/>
    <d v="2019-11-20T08:08:52"/>
    <s v="https://www.commcarehq.org/a/demo-18/reports/form_data/e5f178d7-bc2b-496d-81eb-130812f2c5e8/"/>
    <s v="e5f178d7-bc2b-496d-81eb-130812f2c5e8"/>
  </r>
  <r>
    <x v="41"/>
    <x v="0"/>
    <d v="2019-11-25T00:00:00"/>
    <d v="2020-01-02T00:00:00"/>
    <s v="clinic_ran_out_of_cards"/>
    <n v="3"/>
    <s v="https://www.commcarehq.org/a/demo-18/api/form/attachment/9d0b5e82-7fa1-43a9-ae64-ee092a0f5c2c/1574665871400.jpg"/>
    <s v="https://www.commcarehq.org/a/demo-18/api/form/attachment/9d0b5e82-7fa1-43a9-ae64-ee092a0f5c2c/1574665884634.jpg"/>
    <s v="https://www.commcarehq.org/a/demo-18/api/form/attachment/9d0b5e82-7fa1-43a9-ae64-ee092a0f5c2c/1574665938021.jpg"/>
    <s v="https://www.commcarehq.org/a/demo-18/api/form/attachment/9d0b5e82-7fa1-43a9-ae64-ee092a0f5c2c/1574665949391.jpg"/>
    <s v="https://www.commcarehq.org/a/demo-18/api/form/attachment/9d0b5e82-7fa1-43a9-ae64-ee092a0f5c2c/1574665968366.jpg"/>
    <s v="https://www.commcarehq.org/a/demo-18/api/form/attachment/9d0b5e82-7fa1-43a9-ae64-ee092a0f5c2c/1574665981169.jpg"/>
    <d v="2019-11-25T07:13:03"/>
    <d v="2019-11-25T07:10:46"/>
    <s v="arnold"/>
    <d v="2019-11-25T07:13:19"/>
    <s v="https://www.commcarehq.org/a/demo-18/reports/form_data/9d0b5e82-7fa1-43a9-ae64-ee092a0f5c2c/"/>
    <s v="9d0b5e82-7fa1-43a9-ae64-ee092a0f5c2c"/>
  </r>
  <r>
    <x v="42"/>
    <x v="0"/>
    <d v="2019-11-25T00:00:00"/>
    <d v="2020-01-02T00:00:00"/>
    <s v="clinic_ran_out_of_cards"/>
    <n v="3.5"/>
    <s v="https://www.commcarehq.org/a/demo-18/api/form/attachment/908cbd7b-d1c3-4b49-a2e4-45a13975ab9a/1574666911131.jpg"/>
    <s v="https://www.commcarehq.org/a/demo-18/api/form/attachment/908cbd7b-d1c3-4b49-a2e4-45a13975ab9a/1574666925460.jpg"/>
    <s v="https://www.commcarehq.org/a/demo-18/api/form/attachment/908cbd7b-d1c3-4b49-a2e4-45a13975ab9a/1574666962295.jpg"/>
    <s v="https://www.commcarehq.org/a/demo-18/api/form/attachment/908cbd7b-d1c3-4b49-a2e4-45a13975ab9a/1574666972407.jpg"/>
    <s v="https://www.commcarehq.org/a/demo-18/api/form/attachment/908cbd7b-d1c3-4b49-a2e4-45a13975ab9a/1574666995120.jpg"/>
    <s v="https://www.commcarehq.org/a/demo-18/api/form/attachment/908cbd7b-d1c3-4b49-a2e4-45a13975ab9a/1574667005459.jpg"/>
    <d v="2019-11-25T07:30:08"/>
    <d v="2019-11-25T07:28:00"/>
    <s v="arnold"/>
    <d v="2019-11-25T07:30:22"/>
    <s v="https://www.commcarehq.org/a/demo-18/reports/form_data/908cbd7b-d1c3-4b49-a2e4-45a13975ab9a/"/>
    <s v="908cbd7b-d1c3-4b49-a2e4-45a13975ab9a"/>
  </r>
  <r>
    <x v="43"/>
    <x v="0"/>
    <d v="2019-12-06T00:00:00"/>
    <d v="2020-01-13T00:00:00"/>
    <s v="clinic_ran_out_of_cards"/>
    <n v="3.1"/>
    <s v="https://www.commcarehq.org/a/demo-18/api/form/attachment/b6bba848-e4ef-49e7-9ba7-3a6c66c4fd9c/1575616905540.jpg"/>
    <s v="https://www.commcarehq.org/a/demo-18/api/form/attachment/b6bba848-e4ef-49e7-9ba7-3a6c66c4fd9c/1575616920782.jpg"/>
    <s v="https://www.commcarehq.org/a/demo-18/api/form/attachment/b6bba848-e4ef-49e7-9ba7-3a6c66c4fd9c/1575617007692.jpg"/>
    <s v="https://www.commcarehq.org/a/demo-18/api/form/attachment/b6bba848-e4ef-49e7-9ba7-3a6c66c4fd9c/1575617019687.jpg"/>
    <s v="https://www.commcarehq.org/a/demo-18/api/form/attachment/b6bba848-e4ef-49e7-9ba7-3a6c66c4fd9c/1575617035743.jpg"/>
    <s v="https://www.commcarehq.org/a/demo-18/api/form/attachment/b6bba848-e4ef-49e7-9ba7-3a6c66c4fd9c/1575617049697.jpg"/>
    <d v="2019-12-06T07:24:11"/>
    <d v="2019-12-06T07:20:48"/>
    <s v="arnold"/>
    <d v="2019-12-06T07:24:35"/>
    <s v="https://www.commcarehq.org/a/demo-18/reports/form_data/b6bba848-e4ef-49e7-9ba7-3a6c66c4fd9c/"/>
    <s v="b6bba848-e4ef-49e7-9ba7-3a6c66c4fd9c"/>
  </r>
  <r>
    <x v="44"/>
    <x v="0"/>
    <d v="2019-12-02T00:00:00"/>
    <d v="2020-01-09T00:00:00"/>
    <s v="clinic_ran_out_of_cards"/>
    <n v="2.9"/>
    <s v="https://www.commcarehq.org/a/demo-18/api/form/attachment/e9c79f76-5854-4a00-8fe3-e70838850341/1575270351607.jpg"/>
    <s v="https://www.commcarehq.org/a/demo-18/api/form/attachment/e9c79f76-5854-4a00-8fe3-e70838850341/1575270366970.jpg"/>
    <s v="https://www.commcarehq.org/a/demo-18/api/form/attachment/e9c79f76-5854-4a00-8fe3-e70838850341/1575270413119.jpg"/>
    <s v="https://www.commcarehq.org/a/demo-18/api/form/attachment/e9c79f76-5854-4a00-8fe3-e70838850341/1575270422724.jpg"/>
    <s v="https://www.commcarehq.org/a/demo-18/api/form/attachment/e9c79f76-5854-4a00-8fe3-e70838850341/1575270441093.jpg"/>
    <s v="https://www.commcarehq.org/a/demo-18/api/form/attachment/e9c79f76-5854-4a00-8fe3-e70838850341/1575270454585.jpg"/>
    <d v="2019-12-02T07:07:36"/>
    <d v="2019-12-02T07:05:20"/>
    <s v="arnold"/>
    <d v="2019-12-02T07:07:54"/>
    <s v="https://www.commcarehq.org/a/demo-18/reports/form_data/e9c79f76-5854-4a00-8fe3-e70838850341/"/>
    <s v="e9c79f76-5854-4a00-8fe3-e70838850341"/>
  </r>
  <r>
    <x v="45"/>
    <x v="0"/>
    <d v="2019-12-02T00:00:00"/>
    <d v="2020-01-09T00:00:00"/>
    <s v="clinic_ran_out_of_cards"/>
    <n v="2.7"/>
    <s v="https://www.commcarehq.org/a/demo-18/api/form/attachment/0b2d9cbb-e315-4eb2-b7ec-4217418a78b1/1575271387285.jpg"/>
    <s v="https://www.commcarehq.org/a/demo-18/api/form/attachment/0b2d9cbb-e315-4eb2-b7ec-4217418a78b1/1575271412328.jpg"/>
    <s v="https://www.commcarehq.org/a/demo-18/api/form/attachment/0b2d9cbb-e315-4eb2-b7ec-4217418a78b1/1575271516765.jpg"/>
    <s v="https://www.commcarehq.org/a/demo-18/api/form/attachment/0b2d9cbb-e315-4eb2-b7ec-4217418a78b1/1575271527308.jpg"/>
    <s v="https://www.commcarehq.org/a/demo-18/api/form/attachment/0b2d9cbb-e315-4eb2-b7ec-4217418a78b1/1575271550627.jpg"/>
    <s v="https://www.commcarehq.org/a/demo-18/api/form/attachment/0b2d9cbb-e315-4eb2-b7ec-4217418a78b1/1575271563490.jpg"/>
    <d v="2019-12-02T07:26:05"/>
    <d v="2019-12-02T07:20:44"/>
    <s v="arnold"/>
    <d v="2019-12-02T07:26:31"/>
    <s v="https://www.commcarehq.org/a/demo-18/reports/form_data/0b2d9cbb-e315-4eb2-b7ec-4217418a78b1/"/>
    <s v="0b2d9cbb-e315-4eb2-b7ec-4217418a78b1"/>
  </r>
  <r>
    <x v="46"/>
    <x v="0"/>
    <d v="2019-11-28T00:00:00"/>
    <d v="2020-01-05T00:00:00"/>
    <s v="clinic_ran_out_of_cards"/>
    <n v="3.5"/>
    <s v="https://www.commcarehq.org/a/demo-18/api/form/attachment/e0b524e8-16ac-4fa7-aa0f-f33f5b5f9bd3/1574931781788.jpg"/>
    <s v="https://www.commcarehq.org/a/demo-18/api/form/attachment/e0b524e8-16ac-4fa7-aa0f-f33f5b5f9bd3/1574931795438.jpg"/>
    <s v="https://www.commcarehq.org/a/demo-18/api/form/attachment/e0b524e8-16ac-4fa7-aa0f-f33f5b5f9bd3/1574931858129.jpg"/>
    <s v="https://www.commcarehq.org/a/demo-18/api/form/attachment/e0b524e8-16ac-4fa7-aa0f-f33f5b5f9bd3/1574931867287.jpg"/>
    <s v="https://www.commcarehq.org/a/demo-18/api/form/attachment/e0b524e8-16ac-4fa7-aa0f-f33f5b5f9bd3/1574931888044.jpg"/>
    <s v="https://www.commcarehq.org/a/demo-18/api/form/attachment/e0b524e8-16ac-4fa7-aa0f-f33f5b5f9bd3/1574931896842.jpg"/>
    <d v="2019-11-28T09:04:58"/>
    <d v="2019-11-28T09:02:37"/>
    <s v="arnold"/>
    <d v="2019-11-28T09:05:17"/>
    <s v="https://www.commcarehq.org/a/demo-18/reports/form_data/e0b524e8-16ac-4fa7-aa0f-f33f5b5f9bd3/"/>
    <s v="e0b524e8-16ac-4fa7-aa0f-f33f5b5f9bd3"/>
  </r>
  <r>
    <x v="47"/>
    <x v="0"/>
    <d v="2019-11-28T00:00:00"/>
    <d v="2020-01-05T00:00:00"/>
    <s v="clinic_ran_out_of_cards"/>
    <n v="3"/>
    <s v="https://www.commcarehq.org/a/demo-18/api/form/attachment/0443b8f0-7bd8-4305-b71c-c000432e3c3c/1574932228694.jpg"/>
    <s v="https://www.commcarehq.org/a/demo-18/api/form/attachment/0443b8f0-7bd8-4305-b71c-c000432e3c3c/1574932244525.jpg"/>
    <s v="https://www.commcarehq.org/a/demo-18/api/form/attachment/0443b8f0-7bd8-4305-b71c-c000432e3c3c/1574932289826.jpg"/>
    <s v="https://www.commcarehq.org/a/demo-18/api/form/attachment/0443b8f0-7bd8-4305-b71c-c000432e3c3c/1574932299998.jpg"/>
    <s v="https://www.commcarehq.org/a/demo-18/api/form/attachment/0443b8f0-7bd8-4305-b71c-c000432e3c3c/1574932342864.jpg"/>
    <s v="https://www.commcarehq.org/a/demo-18/api/form/attachment/0443b8f0-7bd8-4305-b71c-c000432e3c3c/1574932350530.jpg"/>
    <d v="2019-11-28T09:12:32"/>
    <d v="2019-11-28T09:10:05"/>
    <s v="arnold"/>
    <d v="2019-11-28T09:12:49"/>
    <s v="https://www.commcarehq.org/a/demo-18/reports/form_data/0443b8f0-7bd8-4305-b71c-c000432e3c3c/"/>
    <s v="0443b8f0-7bd8-4305-b71c-c000432e3c3c"/>
  </r>
  <r>
    <x v="48"/>
    <x v="0"/>
    <d v="2019-12-12T00:00:00"/>
    <d v="2020-01-19T00:00:00"/>
    <s v="clinic_ran_out_of_cards"/>
    <n v="3.1"/>
    <s v="https://www.commcarehq.org/a/demo-18/api/form/attachment/d16dc1da-0c54-4f27-9642-10edf5f575cd/1576139101075.jpg"/>
    <s v="https://www.commcarehq.org/a/demo-18/api/form/attachment/d16dc1da-0c54-4f27-9642-10edf5f575cd/1576139115950.jpg"/>
    <s v="https://www.commcarehq.org/a/demo-18/api/form/attachment/d16dc1da-0c54-4f27-9642-10edf5f575cd/1576139155443.jpg"/>
    <s v="https://www.commcarehq.org/a/demo-18/api/form/attachment/d16dc1da-0c54-4f27-9642-10edf5f575cd/1576139164522.jpg"/>
    <s v="https://www.commcarehq.org/a/demo-18/api/form/attachment/d16dc1da-0c54-4f27-9642-10edf5f575cd/1576139191105.jpg"/>
    <s v="https://www.commcarehq.org/a/demo-18/api/form/attachment/d16dc1da-0c54-4f27-9642-10edf5f575cd/1576139200217.jpg"/>
    <d v="2019-12-12T08:26:42"/>
    <d v="2019-12-12T08:24:34"/>
    <s v="arnold"/>
    <d v="2019-12-12T08:27:18"/>
    <s v="https://www.commcarehq.org/a/demo-18/reports/form_data/d16dc1da-0c54-4f27-9642-10edf5f575cd/"/>
    <s v="d16dc1da-0c54-4f27-9642-10edf5f575cd"/>
  </r>
  <r>
    <x v="49"/>
    <x v="0"/>
    <d v="2019-12-13T00:00:00"/>
    <d v="2020-01-20T00:00:00"/>
    <s v="clinic_ran_out_of_cards"/>
    <n v="3.8"/>
    <s v="https://www.commcarehq.org/a/demo-18/api/form/attachment/09cd8574-3931-425a-a61c-e046ec9b09c3/1576226994309.jpg"/>
    <s v="https://www.commcarehq.org/a/demo-18/api/form/attachment/09cd8574-3931-425a-a61c-e046ec9b09c3/1576227012252.jpg"/>
    <s v="https://www.commcarehq.org/a/demo-18/api/form/attachment/09cd8574-3931-425a-a61c-e046ec9b09c3/1576227046724.jpg"/>
    <s v="https://www.commcarehq.org/a/demo-18/api/form/attachment/09cd8574-3931-425a-a61c-e046ec9b09c3/1576227055495.jpg"/>
    <s v="https://www.commcarehq.org/a/demo-18/api/form/attachment/09cd8574-3931-425a-a61c-e046ec9b09c3/1576227071149.jpg"/>
    <s v="https://www.commcarehq.org/a/demo-18/api/form/attachment/09cd8574-3931-425a-a61c-e046ec9b09c3/1576227080011.jpg"/>
    <d v="2019-12-13T08:51:21"/>
    <d v="2019-12-13T08:49:23"/>
    <s v="arnold"/>
    <d v="2019-12-13T08:51:40"/>
    <s v="https://www.commcarehq.org/a/demo-18/reports/form_data/09cd8574-3931-425a-a61c-e046ec9b09c3/"/>
    <s v="09cd8574-3931-425a-a61c-e046ec9b09c3"/>
  </r>
  <r>
    <x v="50"/>
    <x v="0"/>
    <d v="2019-12-05T00:00:00"/>
    <d v="2020-01-12T00:00:00"/>
    <s v="clinic_ran_out_of_cards"/>
    <n v="3.3"/>
    <s v="https://www.commcarehq.org/a/demo-18/api/form/attachment/6b673da7-4c8c-4a68-8248-4387fe8b7792/1575531753936.jpg"/>
    <s v="https://www.commcarehq.org/a/demo-18/api/form/attachment/6b673da7-4c8c-4a68-8248-4387fe8b7792/1575531764595.jpg"/>
    <s v="https://www.commcarehq.org/a/demo-18/api/form/attachment/6b673da7-4c8c-4a68-8248-4387fe8b7792/1575531836482.jpg"/>
    <s v="https://www.commcarehq.org/a/demo-18/api/form/attachment/6b673da7-4c8c-4a68-8248-4387fe8b7792/1575531845489.jpg"/>
    <s v="https://www.commcarehq.org/a/demo-18/api/form/attachment/6b673da7-4c8c-4a68-8248-4387fe8b7792/1575531875636.jpg"/>
    <s v="https://www.commcarehq.org/a/demo-18/api/form/attachment/6b673da7-4c8c-4a68-8248-4387fe8b7792/1575531888933.jpg"/>
    <d v="2019-12-05T07:44:50"/>
    <d v="2019-12-05T07:41:57"/>
    <s v="arnold"/>
    <d v="2019-12-05T09:47:01"/>
    <s v="https://www.commcarehq.org/a/demo-18/reports/form_data/6b673da7-4c8c-4a68-8248-4387fe8b7792/"/>
    <s v="6b673da7-4c8c-4a68-8248-4387fe8b7792"/>
  </r>
  <r>
    <x v="51"/>
    <x v="0"/>
    <d v="2019-11-18T00:00:00"/>
    <d v="2019-12-26T00:00:00"/>
    <s v="clinic_ran_out_of_cards"/>
    <n v="3.2"/>
    <s v="https://www.commcarehq.org/a/demo-18/api/form/attachment/1db10cb3-36fa-4896-a236-fe0e94a21875/1574065548995.jpg"/>
    <s v="https://www.commcarehq.org/a/demo-18/api/form/attachment/1db10cb3-36fa-4896-a236-fe0e94a21875/1574065566974.jpg"/>
    <s v="https://www.commcarehq.org/a/demo-18/api/form/attachment/1db10cb3-36fa-4896-a236-fe0e94a21875/1574065617594.jpg"/>
    <s v="https://www.commcarehq.org/a/demo-18/api/form/attachment/1db10cb3-36fa-4896-a236-fe0e94a21875/1574065627370.jpg"/>
    <s v="https://www.commcarehq.org/a/demo-18/api/form/attachment/1db10cb3-36fa-4896-a236-fe0e94a21875/1574065649365.jpg"/>
    <s v="https://www.commcarehq.org/a/demo-18/api/form/attachment/1db10cb3-36fa-4896-a236-fe0e94a21875/1574065661135.jpg"/>
    <d v="2019-11-18T08:27:42"/>
    <d v="2019-11-18T08:25:32"/>
    <s v="arnold"/>
    <d v="2019-11-18T10:19:41"/>
    <s v="https://www.commcarehq.org/a/demo-18/reports/form_data/1db10cb3-36fa-4896-a236-fe0e94a21875/"/>
    <s v="1db10cb3-36fa-4896-a236-fe0e94a21875"/>
  </r>
  <r>
    <x v="52"/>
    <x v="0"/>
    <d v="2019-11-21T00:00:00"/>
    <d v="2019-12-29T00:00:00"/>
    <s v="clinic_ran_out_of_cards"/>
    <n v="3.4"/>
    <s v="https://www.commcarehq.org/a/demo-18/api/form/attachment/b1fb78b2-5bf5-4ad5-a52d-a4dc82ab8ccc/1574325453221.jpg"/>
    <s v="https://www.commcarehq.org/a/demo-18/api/form/attachment/b1fb78b2-5bf5-4ad5-a52d-a4dc82ab8ccc/1574325468545.jpg"/>
    <s v="https://www.commcarehq.org/a/demo-18/api/form/attachment/b1fb78b2-5bf5-4ad5-a52d-a4dc82ab8ccc/1574325515209.jpg"/>
    <s v="https://www.commcarehq.org/a/demo-18/api/form/attachment/b1fb78b2-5bf5-4ad5-a52d-a4dc82ab8ccc/1574325526440.jpg"/>
    <s v="https://www.commcarehq.org/a/demo-18/api/form/attachment/b1fb78b2-5bf5-4ad5-a52d-a4dc82ab8ccc/1574325557541.jpg"/>
    <s v="https://www.commcarehq.org/a/demo-18/api/form/attachment/b1fb78b2-5bf5-4ad5-a52d-a4dc82ab8ccc/1574325567347.jpg"/>
    <d v="2019-11-21T08:39:28"/>
    <d v="2019-11-21T08:37:03"/>
    <s v="arnold"/>
    <d v="2019-11-21T08:45:10"/>
    <s v="https://www.commcarehq.org/a/demo-18/reports/form_data/b1fb78b2-5bf5-4ad5-a52d-a4dc82ab8ccc/"/>
    <s v="b1fb78b2-5bf5-4ad5-a52d-a4dc82ab8ccc"/>
  </r>
  <r>
    <x v="53"/>
    <x v="0"/>
    <d v="2019-11-21T00:00:00"/>
    <d v="2019-12-29T00:00:00"/>
    <s v="clinic_ran_out_of_cards"/>
    <n v="2.6"/>
    <s v="https://www.commcarehq.org/a/demo-18/api/form/attachment/3ab1ddee-54de-48ac-bd62-18bc4eaaabe5/1574329746765.jpg"/>
    <s v="https://www.commcarehq.org/a/demo-18/api/form/attachment/3ab1ddee-54de-48ac-bd62-18bc4eaaabe5/1574329764009.jpg"/>
    <s v="https://www.commcarehq.org/a/demo-18/api/form/attachment/3ab1ddee-54de-48ac-bd62-18bc4eaaabe5/1574329822616.jpg"/>
    <s v="https://www.commcarehq.org/a/demo-18/api/form/attachment/3ab1ddee-54de-48ac-bd62-18bc4eaaabe5/1574329836793.jpg"/>
    <s v="https://www.commcarehq.org/a/demo-18/api/form/attachment/3ab1ddee-54de-48ac-bd62-18bc4eaaabe5/1574329852024.jpg"/>
    <s v="https://www.commcarehq.org/a/demo-18/api/form/attachment/3ab1ddee-54de-48ac-bd62-18bc4eaaabe5/1574329865862.jpg"/>
    <d v="2019-11-21T09:51:07"/>
    <d v="2019-11-21T09:48:43"/>
    <s v="arnold"/>
    <d v="2019-11-21T11:06:13"/>
    <s v="https://www.commcarehq.org/a/demo-18/reports/form_data/3ab1ddee-54de-48ac-bd62-18bc4eaaabe5/"/>
    <s v="3ab1ddee-54de-48ac-bd62-18bc4eaaabe5"/>
  </r>
  <r>
    <x v="54"/>
    <x v="0"/>
    <d v="2019-11-21T00:00:00"/>
    <d v="2019-12-29T00:00:00"/>
    <s v="clinic_ran_out_of_cards"/>
    <n v="3"/>
    <s v="https://www.commcarehq.org/a/demo-18/api/form/attachment/fa79a313-422b-4279-8d09-9dc5f8fabfd1/1574329221883.jpg"/>
    <s v="https://www.commcarehq.org/a/demo-18/api/form/attachment/fa79a313-422b-4279-8d09-9dc5f8fabfd1/1574329239111.jpg"/>
    <s v="https://www.commcarehq.org/a/demo-18/api/form/attachment/fa79a313-422b-4279-8d09-9dc5f8fabfd1/1574329289154.jpg"/>
    <s v="https://www.commcarehq.org/a/demo-18/api/form/attachment/fa79a313-422b-4279-8d09-9dc5f8fabfd1/1574329309361.jpg"/>
    <s v="https://www.commcarehq.org/a/demo-18/api/form/attachment/fa79a313-422b-4279-8d09-9dc5f8fabfd1/1574329392793.jpg"/>
    <s v="https://www.commcarehq.org/a/demo-18/api/form/attachment/fa79a313-422b-4279-8d09-9dc5f8fabfd1/1574329410473.jpg"/>
    <d v="2019-11-21T09:43:33"/>
    <d v="2019-11-21T09:39:47"/>
    <s v="arnold"/>
    <d v="2019-11-21T11:06:01"/>
    <s v="https://www.commcarehq.org/a/demo-18/reports/form_data/fa79a313-422b-4279-8d09-9dc5f8fabfd1/"/>
    <s v="fa79a313-422b-4279-8d09-9dc5f8fabfd1"/>
  </r>
  <r>
    <x v="55"/>
    <x v="0"/>
    <d v="2019-11-20T00:00:00"/>
    <d v="2019-12-28T00:00:00"/>
    <s v="clinic_ran_out_of_cards"/>
    <n v="3"/>
    <s v="https://www.commcarehq.org/a/demo-18/api/form/attachment/ec7a9232-5180-4c13-b02e-43005d96d779/1574234406073.jpg"/>
    <s v="https://www.commcarehq.org/a/demo-18/api/form/attachment/ec7a9232-5180-4c13-b02e-43005d96d779/1574234419828.jpg"/>
    <s v="https://www.commcarehq.org/a/demo-18/api/form/attachment/ec7a9232-5180-4c13-b02e-43005d96d779/1574234478707.jpg"/>
    <s v="https://www.commcarehq.org/a/demo-18/api/form/attachment/ec7a9232-5180-4c13-b02e-43005d96d779/1574234489375.jpg"/>
    <s v="https://www.commcarehq.org/a/demo-18/api/form/attachment/ec7a9232-5180-4c13-b02e-43005d96d779/1574234507529.jpg"/>
    <s v="https://www.commcarehq.org/a/demo-18/api/form/attachment/ec7a9232-5180-4c13-b02e-43005d96d779/1574234520816.jpg"/>
    <d v="2019-11-20T07:22:31"/>
    <d v="2019-11-20T07:19:20"/>
    <s v="arnold"/>
    <d v="2019-11-20T07:22:49"/>
    <s v="https://www.commcarehq.org/a/demo-18/reports/form_data/ec7a9232-5180-4c13-b02e-43005d96d779/"/>
    <s v="ec7a9232-5180-4c13-b02e-43005d96d779"/>
  </r>
  <r>
    <x v="56"/>
    <x v="0"/>
    <d v="2019-11-20T00:00:00"/>
    <d v="2019-12-28T00:00:00"/>
    <s v="clinic_ran_out_of_cards"/>
    <n v="3.2"/>
    <s v="https://www.commcarehq.org/a/demo-18/api/form/attachment/7e60709d-8015-47d5-9743-438a9edc4f48/1574233492695.jpg"/>
    <s v="https://www.commcarehq.org/a/demo-18/api/form/attachment/7e60709d-8015-47d5-9743-438a9edc4f48/1574233508091.jpg"/>
    <s v="https://www.commcarehq.org/a/demo-18/api/form/attachment/7e60709d-8015-47d5-9743-438a9edc4f48/1574233584521.jpg"/>
    <s v="https://www.commcarehq.org/a/demo-18/api/form/attachment/7e60709d-8015-47d5-9743-438a9edc4f48/1574233595597.jpg"/>
    <s v="https://www.commcarehq.org/a/demo-18/api/form/attachment/7e60709d-8015-47d5-9743-438a9edc4f48/1574233632882.jpg"/>
    <s v="https://www.commcarehq.org/a/demo-18/api/form/attachment/7e60709d-8015-47d5-9743-438a9edc4f48/1574233648981.jpg"/>
    <d v="2019-11-20T07:07:31"/>
    <d v="2019-11-20T07:04:23"/>
    <s v="arnold"/>
    <d v="2019-11-20T07:07:48"/>
    <s v="https://www.commcarehq.org/a/demo-18/reports/form_data/7e60709d-8015-47d5-9743-438a9edc4f48/"/>
    <s v="7e60709d-8015-47d5-9743-438a9edc4f48"/>
  </r>
  <r>
    <x v="57"/>
    <x v="0"/>
    <d v="2019-11-20T00:00:00"/>
    <d v="2019-12-28T00:00:00"/>
    <s v="clinic_ran_out_of_cards"/>
    <n v="3"/>
    <s v="https://www.commcarehq.org/a/demo-18/api/form/attachment/59710c01-1a0b-4e18-9af3-6c7aa5dab3ca/1574239187320.jpg"/>
    <s v="https://www.commcarehq.org/a/demo-18/api/form/attachment/59710c01-1a0b-4e18-9af3-6c7aa5dab3ca/1574239211029.jpg"/>
    <s v="https://www.commcarehq.org/a/demo-18/api/form/attachment/59710c01-1a0b-4e18-9af3-6c7aa5dab3ca/1574239290885.jpg"/>
    <s v="https://www.commcarehq.org/a/demo-18/api/form/attachment/59710c01-1a0b-4e18-9af3-6c7aa5dab3ca/1574239301682.jpg"/>
    <s v="https://www.commcarehq.org/a/demo-18/api/form/attachment/59710c01-1a0b-4e18-9af3-6c7aa5dab3ca/1574239323798.jpg"/>
    <s v="https://www.commcarehq.org/a/demo-18/api/form/attachment/59710c01-1a0b-4e18-9af3-6c7aa5dab3ca/1574239337733.jpg"/>
    <d v="2019-11-20T08:42:19"/>
    <d v="2019-11-20T08:39:20"/>
    <s v="arnold"/>
    <d v="2019-11-20T08:42:36"/>
    <s v="https://www.commcarehq.org/a/demo-18/reports/form_data/59710c01-1a0b-4e18-9af3-6c7aa5dab3ca/"/>
    <s v="59710c01-1a0b-4e18-9af3-6c7aa5dab3ca"/>
  </r>
  <r>
    <x v="58"/>
    <x v="0"/>
    <d v="2019-11-20T00:00:00"/>
    <d v="2019-12-28T00:00:00"/>
    <s v="clinic_ran_out_of_cards"/>
    <n v="3.5"/>
    <s v="https://www.commcarehq.org/a/demo-18/api/form/attachment/ae6dee88-4ab8-4be8-b525-476f8ceec769/1574235923621.jpg"/>
    <s v="https://www.commcarehq.org/a/demo-18/api/form/attachment/ae6dee88-4ab8-4be8-b525-476f8ceec769/1574235940127.jpg"/>
    <s v="https://www.commcarehq.org/a/demo-18/api/form/attachment/ae6dee88-4ab8-4be8-b525-476f8ceec769/1574236073040.jpg"/>
    <s v="https://www.commcarehq.org/a/demo-18/api/form/attachment/ae6dee88-4ab8-4be8-b525-476f8ceec769/1574236085692.jpg"/>
    <s v="https://www.commcarehq.org/a/demo-18/api/form/attachment/ae6dee88-4ab8-4be8-b525-476f8ceec769/1574236105378.jpg"/>
    <s v="https://www.commcarehq.org/a/demo-18/api/form/attachment/ae6dee88-4ab8-4be8-b525-476f8ceec769/1574236118275.jpg"/>
    <d v="2019-11-20T07:48:41"/>
    <d v="2019-11-20T07:44:43"/>
    <s v="arnold"/>
    <d v="2019-11-20T07:48:58"/>
    <s v="https://www.commcarehq.org/a/demo-18/reports/form_data/ae6dee88-4ab8-4be8-b525-476f8ceec769/"/>
    <s v="ae6dee88-4ab8-4be8-b525-476f8ceec769"/>
  </r>
  <r>
    <x v="59"/>
    <x v="0"/>
    <d v="2019-11-06T00:00:00"/>
    <d v="2019-12-14T00:00:00"/>
    <s v="clinic_ran_out_of_cards"/>
    <n v="3.3"/>
    <s v="https://www.commcarehq.org/a/demo-18/api/form/attachment/5ee3944e-d41c-4d98-8555-68a3cd0d1016/1573027495903.jpg"/>
    <s v="https://www.commcarehq.org/a/demo-18/api/form/attachment/5ee3944e-d41c-4d98-8555-68a3cd0d1016/1573027520064.jpg"/>
    <s v="https://www.commcarehq.org/a/demo-18/api/form/attachment/5ee3944e-d41c-4d98-8555-68a3cd0d1016/1573027651862.jpg"/>
    <s v="https://www.commcarehq.org/a/demo-18/api/form/attachment/5ee3944e-d41c-4d98-8555-68a3cd0d1016/1573027664192.jpg"/>
    <s v="https://www.commcarehq.org/a/demo-18/api/form/attachment/5ee3944e-d41c-4d98-8555-68a3cd0d1016/1573027716845.jpg"/>
    <s v="https://www.commcarehq.org/a/demo-18/api/form/attachment/5ee3944e-d41c-4d98-8555-68a3cd0d1016/1573027728577.jpg"/>
    <d v="2019-11-06T08:08:58"/>
    <d v="2019-11-06T08:04:26"/>
    <s v="arnold"/>
    <d v="2019-11-06T09:26:19"/>
    <s v="https://www.commcarehq.org/a/demo-18/reports/form_data/5ee3944e-d41c-4d98-8555-68a3cd0d1016/"/>
    <s v="5ee3944e-d41c-4d98-8555-68a3cd0d1016"/>
  </r>
  <r>
    <x v="60"/>
    <x v="0"/>
    <d v="2019-11-11T00:00:00"/>
    <d v="2019-12-19T00:00:00"/>
    <s v="clinic_ran_out_of_cards"/>
    <n v="2.5"/>
    <s v="https://www.commcarehq.org/a/demo-18/api/form/attachment/119f5269-ddd9-460d-ad72-9e0a49d6eb7f/1573457023677.jpg"/>
    <s v="https://www.commcarehq.org/a/demo-18/api/form/attachment/119f5269-ddd9-460d-ad72-9e0a49d6eb7f/1573457042906.jpg"/>
    <s v="https://www.commcarehq.org/a/demo-18/api/form/attachment/119f5269-ddd9-460d-ad72-9e0a49d6eb7f/1573457108098.jpg"/>
    <s v="https://www.commcarehq.org/a/demo-18/api/form/attachment/119f5269-ddd9-460d-ad72-9e0a49d6eb7f/1573457119826.jpg"/>
    <s v="https://www.commcarehq.org/a/demo-18/api/form/attachment/119f5269-ddd9-460d-ad72-9e0a49d6eb7f/1573457145732.jpg"/>
    <s v="https://www.commcarehq.org/a/demo-18/api/form/attachment/119f5269-ddd9-460d-ad72-9e0a49d6eb7f/1573457161512.jpg"/>
    <d v="2019-11-11T07:26:03"/>
    <d v="2019-11-11T07:22:56"/>
    <s v="arnold"/>
    <d v="2019-11-11T10:06:05"/>
    <s v="https://www.commcarehq.org/a/demo-18/reports/form_data/119f5269-ddd9-460d-ad72-9e0a49d6eb7f/"/>
    <s v="119f5269-ddd9-460d-ad72-9e0a49d6eb7f"/>
  </r>
  <r>
    <x v="61"/>
    <x v="0"/>
    <d v="2019-11-11T00:00:00"/>
    <d v="2019-12-19T00:00:00"/>
    <s v="clinic_ran_out_of_cards"/>
    <n v="2.9"/>
    <s v="https://www.commcarehq.org/a/demo-18/api/form/attachment/d4fe53cd-d910-4f76-a90a-167af6599d73/1573459515670.jpg"/>
    <s v="https://www.commcarehq.org/a/demo-18/api/form/attachment/d4fe53cd-d910-4f76-a90a-167af6599d73/1573459530916.jpg"/>
    <s v="https://www.commcarehq.org/a/demo-18/api/form/attachment/d4fe53cd-d910-4f76-a90a-167af6599d73/1573459597426.jpg"/>
    <s v="https://www.commcarehq.org/a/demo-18/api/form/attachment/d4fe53cd-d910-4f76-a90a-167af6599d73/1573459609555.jpg"/>
    <s v="https://www.commcarehq.org/a/demo-18/api/form/attachment/d4fe53cd-d910-4f76-a90a-167af6599d73/1573459636080.jpg"/>
    <s v="https://www.commcarehq.org/a/demo-18/api/form/attachment/d4fe53cd-d910-4f76-a90a-167af6599d73/1573459651986.jpg"/>
    <d v="2019-11-11T08:07:34"/>
    <d v="2019-11-11T08:04:44"/>
    <s v="arnold"/>
    <d v="2019-11-11T10:07:07"/>
    <s v="https://www.commcarehq.org/a/demo-18/reports/form_data/d4fe53cd-d910-4f76-a90a-167af6599d73/"/>
    <s v="d4fe53cd-d910-4f76-a90a-167af6599d73"/>
  </r>
  <r>
    <x v="62"/>
    <x v="0"/>
    <d v="2019-11-11T00:00:00"/>
    <d v="2019-12-19T00:00:00"/>
    <s v="clinic_ran_out_of_cards"/>
    <n v="2.5"/>
    <s v="https://www.commcarehq.org/a/demo-18/api/form/attachment/bec12539-3798-4494-a584-d3e606a9c4cd/1573461554548.jpg"/>
    <s v="https://www.commcarehq.org/a/demo-18/api/form/attachment/bec12539-3798-4494-a584-d3e606a9c4cd/1573461570369.jpg"/>
    <s v="https://www.commcarehq.org/a/demo-18/api/form/attachment/bec12539-3798-4494-a584-d3e606a9c4cd/1573461628474.jpg"/>
    <s v="https://www.commcarehq.org/a/demo-18/api/form/attachment/bec12539-3798-4494-a584-d3e606a9c4cd/1573461641589.jpg"/>
    <s v="https://www.commcarehq.org/a/demo-18/api/form/attachment/bec12539-3798-4494-a584-d3e606a9c4cd/1573461662055.jpg"/>
    <s v="https://www.commcarehq.org/a/demo-18/api/form/attachment/bec12539-3798-4494-a584-d3e606a9c4cd/1573461675360.jpg"/>
    <d v="2019-11-11T08:41:17"/>
    <d v="2019-11-11T08:38:34"/>
    <s v="arnold"/>
    <d v="2019-11-11T10:08:00"/>
    <s v="https://www.commcarehq.org/a/demo-18/reports/form_data/bec12539-3798-4494-a584-d3e606a9c4cd/"/>
    <s v="bec12539-3798-4494-a584-d3e606a9c4cd"/>
  </r>
  <r>
    <x v="63"/>
    <x v="0"/>
    <d v="2019-11-11T00:00:00"/>
    <d v="2019-12-19T00:00:00"/>
    <s v="clinic_ran_out_of_cards"/>
    <n v="2.5"/>
    <s v="https://www.commcarehq.org/a/demo-18/api/form/attachment/66e893f6-240b-4095-8534-1669f090e08e/1573461980243.jpg"/>
    <s v="https://www.commcarehq.org/a/demo-18/api/form/attachment/66e893f6-240b-4095-8534-1669f090e08e/1573461995917.jpg"/>
    <s v="https://www.commcarehq.org/a/demo-18/api/form/attachment/66e893f6-240b-4095-8534-1669f090e08e/1573462057565.jpg"/>
    <s v="https://www.commcarehq.org/a/demo-18/api/form/attachment/66e893f6-240b-4095-8534-1669f090e08e/1573462069851.jpg"/>
    <s v="https://www.commcarehq.org/a/demo-18/api/form/attachment/66e893f6-240b-4095-8534-1669f090e08e/1573462095789.jpg"/>
    <s v="https://www.commcarehq.org/a/demo-18/api/form/attachment/66e893f6-240b-4095-8534-1669f090e08e/1573462107842.jpg"/>
    <d v="2019-11-11T08:48:29"/>
    <d v="2019-11-11T08:45:50"/>
    <s v="arnold"/>
    <d v="2019-11-11T10:08:14"/>
    <s v="https://www.commcarehq.org/a/demo-18/reports/form_data/66e893f6-240b-4095-8534-1669f090e08e/"/>
    <s v="66e893f6-240b-4095-8534-1669f090e08e"/>
  </r>
  <r>
    <x v="64"/>
    <x v="0"/>
    <d v="2019-11-14T00:00:00"/>
    <d v="2019-12-22T00:00:00"/>
    <s v="clinic_ran_out_of_cards"/>
    <n v="3.4"/>
    <s v="https://www.commcarehq.org/a/demo-18/api/form/attachment/d17f18fe-8915-4d0b-b368-60ed9af7b4db/1573715713281.jpg"/>
    <s v="https://www.commcarehq.org/a/demo-18/api/form/attachment/d17f18fe-8915-4d0b-b368-60ed9af7b4db/1573715731557.jpg"/>
    <s v="https://www.commcarehq.org/a/demo-18/api/form/attachment/d17f18fe-8915-4d0b-b368-60ed9af7b4db/1573715818016.jpg"/>
    <s v="https://www.commcarehq.org/a/demo-18/api/form/attachment/d17f18fe-8915-4d0b-b368-60ed9af7b4db/1573715831229.jpg"/>
    <s v="https://www.commcarehq.org/a/demo-18/api/form/attachment/d17f18fe-8915-4d0b-b368-60ed9af7b4db/1573715863021.jpg"/>
    <s v="https://www.commcarehq.org/a/demo-18/api/form/attachment/d17f18fe-8915-4d0b-b368-60ed9af7b4db/1573715877271.jpg"/>
    <d v="2019-11-14T07:17:59"/>
    <d v="2019-11-14T07:14:35"/>
    <s v="arnold"/>
    <d v="2019-11-14T07:18:23"/>
    <s v="https://www.commcarehq.org/a/demo-18/reports/form_data/d17f18fe-8915-4d0b-b368-60ed9af7b4db/"/>
    <s v="d17f18fe-8915-4d0b-b368-60ed9af7b4db"/>
  </r>
  <r>
    <x v="65"/>
    <x v="0"/>
    <d v="2019-11-15T00:00:00"/>
    <d v="2019-12-23T00:00:00"/>
    <s v="clinic_ran_out_of_cards"/>
    <n v="2.5"/>
    <s v="https://www.commcarehq.org/a/demo-18/api/form/attachment/6153ffc4-41e4-43a3-85bc-80d598d31fee/1573803142339.jpg"/>
    <s v="https://www.commcarehq.org/a/demo-18/api/form/attachment/6153ffc4-41e4-43a3-85bc-80d598d31fee/1573803160790.jpg"/>
    <s v="https://www.commcarehq.org/a/demo-18/api/form/attachment/6153ffc4-41e4-43a3-85bc-80d598d31fee/1573803226762.jpg"/>
    <s v="https://www.commcarehq.org/a/demo-18/api/form/attachment/6153ffc4-41e4-43a3-85bc-80d598d31fee/1573803239084.jpg"/>
    <s v="https://www.commcarehq.org/a/demo-18/api/form/attachment/6153ffc4-41e4-43a3-85bc-80d598d31fee/1573803269562.jpg"/>
    <s v="https://www.commcarehq.org/a/demo-18/api/form/attachment/6153ffc4-41e4-43a3-85bc-80d598d31fee/1573803280893.jpg"/>
    <d v="2019-11-15T07:34:42"/>
    <d v="2019-11-15T07:32:07"/>
    <s v="arnold"/>
    <d v="2019-11-15T07:34:56"/>
    <s v="https://www.commcarehq.org/a/demo-18/reports/form_data/6153ffc4-41e4-43a3-85bc-80d598d31fee/"/>
    <s v="6153ffc4-41e4-43a3-85bc-80d598d31fee"/>
  </r>
  <r>
    <x v="66"/>
    <x v="0"/>
    <d v="2019-11-08T00:00:00"/>
    <d v="2019-12-16T00:00:00"/>
    <s v="clinic_ran_out_of_cards"/>
    <n v="3"/>
    <s v="https://www.commcarehq.org/a/demo-18/api/form/attachment/fc32c3a1-6398-41ed-9afb-3007f0b32bcb/1573201558012.jpg"/>
    <s v="https://www.commcarehq.org/a/demo-18/api/form/attachment/fc32c3a1-6398-41ed-9afb-3007f0b32bcb/1573201589140.jpg"/>
    <s v="https://www.commcarehq.org/a/demo-18/api/form/attachment/fc32c3a1-6398-41ed-9afb-3007f0b32bcb/1573201641076.jpg"/>
    <s v="https://www.commcarehq.org/a/demo-18/api/form/attachment/fc32c3a1-6398-41ed-9afb-3007f0b32bcb/1573201654287.jpg"/>
    <s v="https://www.commcarehq.org/a/demo-18/api/form/attachment/fc32c3a1-6398-41ed-9afb-3007f0b32bcb/1573201680355.jpg"/>
    <s v="https://www.commcarehq.org/a/demo-18/api/form/attachment/fc32c3a1-6398-41ed-9afb-3007f0b32bcb/1573201696534.jpg"/>
    <d v="2019-11-08T08:28:18"/>
    <d v="2019-11-08T08:24:30"/>
    <s v="papias"/>
    <d v="2019-11-08T15:05:00"/>
    <s v="https://www.commcarehq.org/a/demo-18/reports/form_data/fc32c3a1-6398-41ed-9afb-3007f0b32bcb/"/>
    <s v="fc32c3a1-6398-41ed-9afb-3007f0b32bcb"/>
  </r>
  <r>
    <x v="67"/>
    <x v="0"/>
    <d v="2019-11-25T00:00:00"/>
    <d v="2020-01-02T00:00:00"/>
    <s v="clinic_ran_out_of_cards"/>
    <n v="3"/>
    <s v="https://www.commcarehq.org/a/demo-18/api/form/attachment/f2fdcec5-ffa2-4370-bdb6-e69e5e691f2b/1574665091579.jpg"/>
    <s v="https://www.commcarehq.org/a/demo-18/api/form/attachment/f2fdcec5-ffa2-4370-bdb6-e69e5e691f2b/1574665108326.jpg"/>
    <s v="https://www.commcarehq.org/a/demo-18/api/form/attachment/f2fdcec5-ffa2-4370-bdb6-e69e5e691f2b/1574665257716.jpg"/>
    <s v="https://www.commcarehq.org/a/demo-18/api/form/attachment/f2fdcec5-ffa2-4370-bdb6-e69e5e691f2b/1574665268767.jpg"/>
    <s v="https://www.commcarehq.org/a/demo-18/api/form/attachment/f2fdcec5-ffa2-4370-bdb6-e69e5e691f2b/1574665293609.jpg"/>
    <s v="https://www.commcarehq.org/a/demo-18/api/form/attachment/f2fdcec5-ffa2-4370-bdb6-e69e5e691f2b/1574665303619.jpg"/>
    <d v="2019-11-25T07:01:45"/>
    <d v="2019-11-25T06:57:20"/>
    <s v="arnold"/>
    <d v="2019-11-25T07:02:13"/>
    <s v="https://www.commcarehq.org/a/demo-18/reports/form_data/f2fdcec5-ffa2-4370-bdb6-e69e5e691f2b/"/>
    <s v="f2fdcec5-ffa2-4370-bdb6-e69e5e691f2b"/>
  </r>
  <r>
    <x v="68"/>
    <x v="0"/>
    <d v="2019-11-25T00:00:00"/>
    <d v="2020-01-02T00:00:00"/>
    <s v="clinic_ran_out_of_cards"/>
    <n v="3"/>
    <s v="https://www.commcarehq.org/a/demo-18/api/form/attachment/634ca22d-c25b-4cd6-954a-d572b11cc6c2/1574665530061.jpg"/>
    <s v="https://www.commcarehq.org/a/demo-18/api/form/attachment/634ca22d-c25b-4cd6-954a-d572b11cc6c2/1574665551039.jpg"/>
    <s v="https://www.commcarehq.org/a/demo-18/api/form/attachment/634ca22d-c25b-4cd6-954a-d572b11cc6c2/1574665597685.jpg"/>
    <s v="https://www.commcarehq.org/a/demo-18/api/form/attachment/634ca22d-c25b-4cd6-954a-d572b11cc6c2/1574665607567.jpg"/>
    <s v="https://www.commcarehq.org/a/demo-18/api/form/attachment/634ca22d-c25b-4cd6-954a-d572b11cc6c2/1574665624636.jpg"/>
    <s v="https://www.commcarehq.org/a/demo-18/api/form/attachment/634ca22d-c25b-4cd6-954a-d572b11cc6c2/1574665634728.jpg"/>
    <d v="2019-11-25T07:07:17"/>
    <d v="2019-11-25T07:05:03"/>
    <s v="arnold"/>
    <d v="2019-11-25T07:07:35"/>
    <s v="https://www.commcarehq.org/a/demo-18/reports/form_data/634ca22d-c25b-4cd6-954a-d572b11cc6c2/"/>
    <s v="634ca22d-c25b-4cd6-954a-d572b11cc6c2"/>
  </r>
  <r>
    <x v="69"/>
    <x v="0"/>
    <d v="2019-12-02T00:00:00"/>
    <d v="2020-01-09T00:00:00"/>
    <s v="clinic_ran_out_of_cards"/>
    <n v="2.6"/>
    <s v="https://www.commcarehq.org/a/demo-18/api/form/attachment/dfe34bf7-d790-40b5-9b1f-b13f2a86ad8c/1575271932964.jpg"/>
    <s v="https://www.commcarehq.org/a/demo-18/api/form/attachment/dfe34bf7-d790-40b5-9b1f-b13f2a86ad8c/1575271966161.jpg"/>
    <s v="https://www.commcarehq.org/a/demo-18/api/form/attachment/dfe34bf7-d790-40b5-9b1f-b13f2a86ad8c/1575272011933.jpg"/>
    <s v="https://www.commcarehq.org/a/demo-18/api/form/attachment/dfe34bf7-d790-40b5-9b1f-b13f2a86ad8c/1575272021070.jpg"/>
    <s v="https://www.commcarehq.org/a/demo-18/api/form/attachment/dfe34bf7-d790-40b5-9b1f-b13f2a86ad8c/1575272038458.jpg"/>
    <s v="https://www.commcarehq.org/a/demo-18/api/form/attachment/dfe34bf7-d790-40b5-9b1f-b13f2a86ad8c/1575272047525.jpg"/>
    <d v="2019-12-02T07:34:09"/>
    <d v="2019-12-02T07:31:46"/>
    <s v="arnold"/>
    <d v="2019-12-02T07:34:27"/>
    <s v="https://www.commcarehq.org/a/demo-18/reports/form_data/dfe34bf7-d790-40b5-9b1f-b13f2a86ad8c/"/>
    <s v="dfe34bf7-d790-40b5-9b1f-b13f2a86ad8c"/>
  </r>
  <r>
    <x v="70"/>
    <x v="0"/>
    <d v="2019-12-02T00:00:00"/>
    <d v="2020-01-09T00:00:00"/>
    <s v="clinic_ran_out_of_cards"/>
    <n v="3"/>
    <s v="https://www.commcarehq.org/a/demo-18/api/form/attachment/20611d92-a462-41d1-8bfd-ffc207ebec16/1575269887082.jpg"/>
    <s v="https://www.commcarehq.org/a/demo-18/api/form/attachment/20611d92-a462-41d1-8bfd-ffc207ebec16/1575269900668.jpg"/>
    <s v="https://www.commcarehq.org/a/demo-18/api/form/attachment/20611d92-a462-41d1-8bfd-ffc207ebec16/1575269978707.jpg"/>
    <s v="https://www.commcarehq.org/a/demo-18/api/form/attachment/20611d92-a462-41d1-8bfd-ffc207ebec16/1575269987492.jpg"/>
    <s v="https://www.commcarehq.org/a/demo-18/api/form/attachment/20611d92-a462-41d1-8bfd-ffc207ebec16/1575270004762.jpg"/>
    <s v="https://www.commcarehq.org/a/demo-18/api/form/attachment/20611d92-a462-41d1-8bfd-ffc207ebec16/1575270012886.jpg"/>
    <d v="2019-12-02T07:00:14"/>
    <d v="2019-12-02T06:57:16"/>
    <s v="arnold"/>
    <d v="2019-12-02T07:00:32"/>
    <s v="https://www.commcarehq.org/a/demo-18/reports/form_data/20611d92-a462-41d1-8bfd-ffc207ebec16/"/>
    <s v="20611d92-a462-41d1-8bfd-ffc207ebec16"/>
  </r>
  <r>
    <x v="71"/>
    <x v="0"/>
    <d v="2019-11-27T00:00:00"/>
    <d v="2020-01-04T00:00:00"/>
    <s v="clinic_ran_out_of_cards"/>
    <n v="2.5"/>
    <s v="https://www.commcarehq.org/a/demo-18/api/form/attachment/cfc99802-957a-4020-911b-46faaab09e78/1574838019630.jpg"/>
    <s v="https://www.commcarehq.org/a/demo-18/api/form/attachment/cfc99802-957a-4020-911b-46faaab09e78/1574838037024.jpg"/>
    <s v="https://www.commcarehq.org/a/demo-18/api/form/attachment/cfc99802-957a-4020-911b-46faaab09e78/1574838110588.jpg"/>
    <s v="https://www.commcarehq.org/a/demo-18/api/form/attachment/cfc99802-957a-4020-911b-46faaab09e78/1574838120293.jpg"/>
    <s v="https://www.commcarehq.org/a/demo-18/api/form/attachment/cfc99802-957a-4020-911b-46faaab09e78/1574838153086.jpg"/>
    <s v="https://www.commcarehq.org/a/demo-18/api/form/attachment/cfc99802-957a-4020-911b-46faaab09e78/1574838162654.jpg"/>
    <d v="2019-11-27T07:02:44"/>
    <d v="2019-11-27T06:59:34"/>
    <s v="arnold"/>
    <d v="2019-11-27T09:09:35"/>
    <s v="https://www.commcarehq.org/a/demo-18/reports/form_data/cfc99802-957a-4020-911b-46faaab09e78/"/>
    <s v="cfc99802-957a-4020-911b-46faaab09e78"/>
  </r>
  <r>
    <x v="72"/>
    <x v="0"/>
    <d v="2019-12-04T00:00:00"/>
    <d v="2020-01-11T00:00:00"/>
    <s v="clinic_ran_out_of_cards"/>
    <n v="3.2"/>
    <s v="https://www.commcarehq.org/a/demo-18/api/form/attachment/ff4217bb-c392-433b-9f3f-646b4f3dbd5b/1575449130373.jpg"/>
    <s v="https://www.commcarehq.org/a/demo-18/api/form/attachment/ff4217bb-c392-433b-9f3f-646b4f3dbd5b/1575449145999.jpg"/>
    <s v="https://www.commcarehq.org/a/demo-18/api/form/attachment/ff4217bb-c392-433b-9f3f-646b4f3dbd5b/1575449216230.jpg"/>
    <s v="https://www.commcarehq.org/a/demo-18/api/form/attachment/ff4217bb-c392-433b-9f3f-646b4f3dbd5b/1575449225823.jpg"/>
    <s v="https://www.commcarehq.org/a/demo-18/api/form/attachment/ff4217bb-c392-433b-9f3f-646b4f3dbd5b/1575449239712.jpg"/>
    <s v="https://www.commcarehq.org/a/demo-18/api/form/attachment/ff4217bb-c392-433b-9f3f-646b4f3dbd5b/1575449249556.jpg"/>
    <d v="2019-12-04T08:47:31"/>
    <d v="2019-12-04T08:45:08"/>
    <s v="arnold"/>
    <d v="2019-12-04T10:11:24"/>
    <s v="https://www.commcarehq.org/a/demo-18/reports/form_data/ff4217bb-c392-433b-9f3f-646b4f3dbd5b/"/>
    <s v="ff4217bb-c392-433b-9f3f-646b4f3dbd5b"/>
  </r>
  <r>
    <x v="73"/>
    <x v="0"/>
    <d v="2019-12-04T00:00:00"/>
    <d v="2020-01-11T00:00:00"/>
    <s v="clinic_ran_out_of_cards"/>
    <n v="3.3"/>
    <s v="https://www.commcarehq.org/a/demo-18/api/form/attachment/7110e7c7-892d-4bc2-89db-d1d50a0a815c/1575447826457.jpg"/>
    <s v="https://www.commcarehq.org/a/demo-18/api/form/attachment/7110e7c7-892d-4bc2-89db-d1d50a0a815c/1575447841364.jpg"/>
    <s v="https://www.commcarehq.org/a/demo-18/api/form/attachment/7110e7c7-892d-4bc2-89db-d1d50a0a815c/1575447877083.jpg"/>
    <s v="https://www.commcarehq.org/a/demo-18/api/form/attachment/7110e7c7-892d-4bc2-89db-d1d50a0a815c/1575447885372.jpg"/>
    <s v="https://www.commcarehq.org/a/demo-18/api/form/attachment/7110e7c7-892d-4bc2-89db-d1d50a0a815c/1575447919436.jpg"/>
    <s v="https://www.commcarehq.org/a/demo-18/api/form/attachment/7110e7c7-892d-4bc2-89db-d1d50a0a815c/1575447927840.jpg"/>
    <d v="2019-12-04T08:25:29"/>
    <d v="2019-12-04T08:23:17"/>
    <s v="arnold"/>
    <d v="2019-12-04T08:25:47"/>
    <s v="https://www.commcarehq.org/a/demo-18/reports/form_data/7110e7c7-892d-4bc2-89db-d1d50a0a815c/"/>
    <s v="7110e7c7-892d-4bc2-89db-d1d50a0a815c"/>
  </r>
  <r>
    <x v="74"/>
    <x v="0"/>
    <d v="2019-12-13T00:00:00"/>
    <d v="2020-01-20T00:00:00"/>
    <s v="clinic_ran_out_of_cards"/>
    <n v="3.6"/>
    <s v="https://www.commcarehq.org/a/demo-18/api/form/attachment/f7611ac2-1c6e-425d-bdb0-765685ba9cca/1576227885659.jpg"/>
    <s v="https://www.commcarehq.org/a/demo-18/api/form/attachment/f7611ac2-1c6e-425d-bdb0-765685ba9cca/1576227901621.jpg"/>
    <s v="https://www.commcarehq.org/a/demo-18/api/form/attachment/f7611ac2-1c6e-425d-bdb0-765685ba9cca/1576228004980.jpg"/>
    <s v="https://www.commcarehq.org/a/demo-18/api/form/attachment/f7611ac2-1c6e-425d-bdb0-765685ba9cca/1576228015283.jpg"/>
    <s v="https://www.commcarehq.org/a/demo-18/api/form/attachment/f7611ac2-1c6e-425d-bdb0-765685ba9cca/1576228039572.jpg"/>
    <s v="https://www.commcarehq.org/a/demo-18/api/form/attachment/f7611ac2-1c6e-425d-bdb0-765685ba9cca/1576228086886.jpg"/>
    <d v="2019-12-13T09:08:08"/>
    <d v="2019-12-13T09:04:12"/>
    <s v="arnold"/>
    <d v="2019-12-13T09:08:28"/>
    <s v="https://www.commcarehq.org/a/demo-18/reports/form_data/f7611ac2-1c6e-425d-bdb0-765685ba9cca/"/>
    <s v="f7611ac2-1c6e-425d-bdb0-765685ba9cca"/>
  </r>
  <r>
    <x v="75"/>
    <x v="0"/>
    <d v="2019-12-13T00:00:00"/>
    <d v="2020-01-20T00:00:00"/>
    <s v="clinic_ran_out_of_cards"/>
    <n v="3.4"/>
    <s v="https://www.commcarehq.org/a/demo-18/api/form/attachment/4425fa5e-e4df-490c-9ca3-51fb995f68b9/1576226118481.jpg"/>
    <s v="https://www.commcarehq.org/a/demo-18/api/form/attachment/4425fa5e-e4df-490c-9ca3-51fb995f68b9/1576226137258.jpg"/>
    <s v="https://www.commcarehq.org/a/demo-18/api/form/attachment/4425fa5e-e4df-490c-9ca3-51fb995f68b9/1576226201191.jpg"/>
    <s v="https://www.commcarehq.org/a/demo-18/api/form/attachment/4425fa5e-e4df-490c-9ca3-51fb995f68b9/1576226213739.jpg"/>
    <s v="https://www.commcarehq.org/a/demo-18/api/form/attachment/4425fa5e-e4df-490c-9ca3-51fb995f68b9/1576226243306.jpg"/>
    <s v="https://www.commcarehq.org/a/demo-18/api/form/attachment/4425fa5e-e4df-490c-9ca3-51fb995f68b9/1576226283735.jpg"/>
    <d v="2019-12-13T08:38:05"/>
    <d v="2019-12-13T08:34:42"/>
    <s v="arnold"/>
    <d v="2019-12-13T08:38:29"/>
    <s v="https://www.commcarehq.org/a/demo-18/reports/form_data/4425fa5e-e4df-490c-9ca3-51fb995f68b9/"/>
    <s v="4425fa5e-e4df-490c-9ca3-51fb995f68b9"/>
  </r>
  <r>
    <x v="76"/>
    <x v="0"/>
    <d v="2019-12-09T00:00:00"/>
    <d v="2020-01-16T00:00:00"/>
    <s v="clinic_ran_out_of_cards"/>
    <n v="3.8"/>
    <s v="https://www.commcarehq.org/a/demo-18/api/form/attachment/6336c32b-6548-4dd6-99b2-02b054ae8267/1575880485465.jpg"/>
    <s v="https://www.commcarehq.org/a/demo-18/api/form/attachment/6336c32b-6548-4dd6-99b2-02b054ae8267/1575880503796.jpg"/>
    <s v="https://www.commcarehq.org/a/demo-18/api/form/attachment/6336c32b-6548-4dd6-99b2-02b054ae8267/1575880552852.jpg"/>
    <s v="https://www.commcarehq.org/a/demo-18/api/form/attachment/6336c32b-6548-4dd6-99b2-02b054ae8267/1575880562031.jpg"/>
    <s v="https://www.commcarehq.org/a/demo-18/api/form/attachment/6336c32b-6548-4dd6-99b2-02b054ae8267/1575880577233.jpg"/>
    <s v="https://www.commcarehq.org/a/demo-18/api/form/attachment/6336c32b-6548-4dd6-99b2-02b054ae8267/1575880586162.jpg"/>
    <d v="2019-12-09T08:36:27"/>
    <d v="2019-12-09T08:34:15"/>
    <s v="arnold"/>
    <d v="2019-12-09T10:07:06"/>
    <s v="https://www.commcarehq.org/a/demo-18/reports/form_data/6336c32b-6548-4dd6-99b2-02b054ae8267/"/>
    <s v="6336c32b-6548-4dd6-99b2-02b054ae8267"/>
  </r>
  <r>
    <x v="77"/>
    <x v="0"/>
    <d v="2019-12-12T00:00:00"/>
    <d v="2020-01-19T00:00:00"/>
    <s v="clinic_ran_out_of_cards"/>
    <n v="2.8"/>
    <s v="https://www.commcarehq.org/a/demo-18/api/form/attachment/5ec12840-66c1-4993-a7fe-7e7baedf28a4/1576140225721.jpg"/>
    <s v="https://www.commcarehq.org/a/demo-18/api/form/attachment/5ec12840-66c1-4993-a7fe-7e7baedf28a4/1576140242410.jpg"/>
    <s v="https://www.commcarehq.org/a/demo-18/api/form/attachment/5ec12840-66c1-4993-a7fe-7e7baedf28a4/1576140302454.jpg"/>
    <s v="https://www.commcarehq.org/a/demo-18/api/form/attachment/5ec12840-66c1-4993-a7fe-7e7baedf28a4/1576140311527.jpg"/>
    <s v="https://www.commcarehq.org/a/demo-18/api/form/attachment/5ec12840-66c1-4993-a7fe-7e7baedf28a4/1576140333415.jpg"/>
    <s v="https://www.commcarehq.org/a/demo-18/api/form/attachment/5ec12840-66c1-4993-a7fe-7e7baedf28a4/1576140342795.jpg"/>
    <d v="2019-12-12T08:45:45"/>
    <d v="2019-12-12T08:43:13"/>
    <s v="arnold"/>
    <d v="2019-12-12T09:58:40"/>
    <s v="https://www.commcarehq.org/a/demo-18/reports/form_data/5ec12840-66c1-4993-a7fe-7e7baedf28a4/"/>
    <s v="5ec12840-66c1-4993-a7fe-7e7baedf28a4"/>
  </r>
  <r>
    <x v="78"/>
    <x v="0"/>
    <d v="2019-12-12T00:00:00"/>
    <d v="2020-01-19T00:00:00"/>
    <s v="clinic_ran_out_of_cards"/>
    <n v="3.5"/>
    <s v="https://www.commcarehq.org/a/demo-18/api/form/attachment/d1a98e93-4a75-43b6-871e-9818b749c72f/1576139615565.jpg"/>
    <s v="https://www.commcarehq.org/a/demo-18/api/form/attachment/d1a98e93-4a75-43b6-871e-9818b749c72f/1576139629953.jpg"/>
    <s v="https://www.commcarehq.org/a/demo-18/api/form/attachment/d1a98e93-4a75-43b6-871e-9818b749c72f/1576139749870.jpg"/>
    <s v="https://www.commcarehq.org/a/demo-18/api/form/attachment/d1a98e93-4a75-43b6-871e-9818b749c72f/1576139759910.jpg"/>
    <s v="https://www.commcarehq.org/a/demo-18/api/form/attachment/d1a98e93-4a75-43b6-871e-9818b749c72f/1576139794673.jpg"/>
    <s v="https://www.commcarehq.org/a/demo-18/api/form/attachment/d1a98e93-4a75-43b6-871e-9818b749c72f/1576139806955.jpg"/>
    <d v="2019-12-12T08:36:48"/>
    <d v="2019-12-12T08:32:47"/>
    <s v="arnold"/>
    <d v="2019-12-12T09:58:22"/>
    <s v="https://www.commcarehq.org/a/demo-18/reports/form_data/d1a98e93-4a75-43b6-871e-9818b749c72f/"/>
    <s v="d1a98e93-4a75-43b6-871e-9818b749c72f"/>
  </r>
  <r>
    <x v="79"/>
    <x v="0"/>
    <d v="2019-12-11T00:00:00"/>
    <d v="2020-01-18T00:00:00"/>
    <s v="clinic_ran_out_of_cards"/>
    <n v="3"/>
    <s v="https://www.commcarehq.org/a/demo-18/api/form/attachment/7730ac8a-be0d-4188-9a2b-0c1f69218d04/1576048346201.jpg"/>
    <s v="https://www.commcarehq.org/a/demo-18/api/form/attachment/7730ac8a-be0d-4188-9a2b-0c1f69218d04/1576048363304.jpg"/>
    <s v="https://www.commcarehq.org/a/demo-18/api/form/attachment/7730ac8a-be0d-4188-9a2b-0c1f69218d04/1576048426552.jpg"/>
    <s v="https://www.commcarehq.org/a/demo-18/api/form/attachment/7730ac8a-be0d-4188-9a2b-0c1f69218d04/1576048436409.jpg"/>
    <s v="https://www.commcarehq.org/a/demo-18/api/form/attachment/7730ac8a-be0d-4188-9a2b-0c1f69218d04/1576048454259.jpg"/>
    <s v="https://www.commcarehq.org/a/demo-18/api/form/attachment/7730ac8a-be0d-4188-9a2b-0c1f69218d04/1576048466711.jpg"/>
    <d v="2019-12-11T07:14:28"/>
    <d v="2019-12-11T07:11:42"/>
    <s v="arnold"/>
    <d v="2019-12-11T10:30:13"/>
    <s v="https://www.commcarehq.org/a/demo-18/reports/form_data/7730ac8a-be0d-4188-9a2b-0c1f69218d04/"/>
    <s v="7730ac8a-be0d-4188-9a2b-0c1f69218d04"/>
  </r>
  <r>
    <x v="80"/>
    <x v="0"/>
    <d v="2019-12-04T00:00:00"/>
    <d v="2020-01-11T00:00:00"/>
    <s v="clinic_ran_out_of_cards"/>
    <n v="2.5"/>
    <s v="https://www.commcarehq.org/a/demo-18/api/form/attachment/b4341c9c-201b-49d0-a822-fc95c88bcba0/1575447411813.jpg"/>
    <s v="https://www.commcarehq.org/a/demo-18/api/form/attachment/b4341c9c-201b-49d0-a822-fc95c88bcba0/1575447427739.jpg"/>
    <s v="https://www.commcarehq.org/a/demo-18/api/form/attachment/b4341c9c-201b-49d0-a822-fc95c88bcba0/1575447462863.jpg"/>
    <s v="https://www.commcarehq.org/a/demo-18/api/form/attachment/b4341c9c-201b-49d0-a822-fc95c88bcba0/1575447472286.jpg"/>
    <s v="https://www.commcarehq.org/a/demo-18/api/form/attachment/b4341c9c-201b-49d0-a822-fc95c88bcba0/1575447489693.jpg"/>
    <s v="https://www.commcarehq.org/a/demo-18/api/form/attachment/b4341c9c-201b-49d0-a822-fc95c88bcba0/1575447498971.jpg"/>
    <d v="2019-12-04T08:18:20"/>
    <d v="2019-12-04T08:16:20"/>
    <s v="arnold"/>
    <d v="2019-12-04T08:18:41"/>
    <s v="https://www.commcarehq.org/a/demo-18/reports/form_data/b4341c9c-201b-49d0-a822-fc95c88bcba0/"/>
    <s v="b4341c9c-201b-49d0-a822-fc95c88bcba0"/>
  </r>
  <r>
    <x v="81"/>
    <x v="0"/>
    <d v="2019-11-06T00:00:00"/>
    <d v="2019-12-14T00:00:00"/>
    <s v="clinic_ran_out_of_cards"/>
    <n v="3.2"/>
    <s v="https://www.commcarehq.org/a/demo-18/api/form/attachment/4da54726-17cd-4e17-8ba6-17a984730fac/1573025678477.jpg"/>
    <s v="https://www.commcarehq.org/a/demo-18/api/form/attachment/4da54726-17cd-4e17-8ba6-17a984730fac/1573025706834.jpg"/>
    <s v="https://www.commcarehq.org/a/demo-18/api/form/attachment/4da54726-17cd-4e17-8ba6-17a984730fac/1573025806390.jpg"/>
    <s v="https://www.commcarehq.org/a/demo-18/api/form/attachment/4da54726-17cd-4e17-8ba6-17a984730fac/1573025823612.jpg"/>
    <s v="https://www.commcarehq.org/a/demo-18/api/form/attachment/4da54726-17cd-4e17-8ba6-17a984730fac/1573025849501.jpg"/>
    <s v="https://www.commcarehq.org/a/demo-18/api/form/attachment/4da54726-17cd-4e17-8ba6-17a984730fac/1573025878971.jpg"/>
    <d v="2019-11-06T07:38:22"/>
    <d v="2019-11-06T07:33:35"/>
    <s v="papias"/>
    <d v="2019-11-06T07:51:47"/>
    <s v="https://www.commcarehq.org/a/demo-18/reports/form_data/4da54726-17cd-4e17-8ba6-17a984730fac/"/>
    <s v="4da54726-17cd-4e17-8ba6-17a984730fac"/>
  </r>
  <r>
    <x v="82"/>
    <x v="0"/>
    <d v="2019-11-13T00:00:00"/>
    <d v="2019-12-21T00:00:00"/>
    <s v="clinic_ran_out_of_cards"/>
    <n v="2.8"/>
    <s v="https://www.commcarehq.org/a/demo-18/api/form/attachment/3939841e-594a-4133-a472-9c14f729589c/1573627855782.jpg"/>
    <s v="https://www.commcarehq.org/a/demo-18/api/form/attachment/3939841e-594a-4133-a472-9c14f729589c/1573627866767.jpg"/>
    <s v="https://www.commcarehq.org/a/demo-18/api/form/attachment/3939841e-594a-4133-a472-9c14f729589c/1573627947233.jpg"/>
    <s v="https://www.commcarehq.org/a/demo-18/api/form/attachment/3939841e-594a-4133-a472-9c14f729589c/1573627960503.jpg"/>
    <s v="https://www.commcarehq.org/a/demo-18/api/form/attachment/3939841e-594a-4133-a472-9c14f729589c/1573627981956.jpg"/>
    <s v="https://www.commcarehq.org/a/demo-18/api/form/attachment/3939841e-594a-4133-a472-9c14f729589c/1573627996631.jpg"/>
    <d v="2019-11-13T06:53:18"/>
    <d v="2019-11-13T06:50:06"/>
    <s v="arnold"/>
    <d v="2019-11-13T09:06:20"/>
    <s v="https://www.commcarehq.org/a/demo-18/reports/form_data/3939841e-594a-4133-a472-9c14f729589c/"/>
    <s v="3939841e-594a-4133-a472-9c14f729589c"/>
  </r>
  <r>
    <x v="83"/>
    <x v="0"/>
    <d v="2019-11-14T00:00:00"/>
    <d v="2019-12-22T00:00:00"/>
    <s v="clinic_ran_out_of_cards"/>
    <n v="3"/>
    <s v="https://www.commcarehq.org/a/demo-18/api/form/attachment/1f33c872-65d7-454d-ba6d-6e05c4408de4/1573716878975.jpg"/>
    <s v="https://www.commcarehq.org/a/demo-18/api/form/attachment/1f33c872-65d7-454d-ba6d-6e05c4408de4/1573716899332.jpg"/>
    <s v="https://www.commcarehq.org/a/demo-18/api/form/attachment/1f33c872-65d7-454d-ba6d-6e05c4408de4/1573716952657.jpg"/>
    <s v="https://www.commcarehq.org/a/demo-18/api/form/attachment/1f33c872-65d7-454d-ba6d-6e05c4408de4/1573716964585.jpg"/>
    <s v="https://www.commcarehq.org/a/demo-18/api/form/attachment/1f33c872-65d7-454d-ba6d-6e05c4408de4/1573717002302.jpg"/>
    <s v="https://www.commcarehq.org/a/demo-18/api/form/attachment/1f33c872-65d7-454d-ba6d-6e05c4408de4/1573717018144.jpg"/>
    <d v="2019-11-14T07:37:00"/>
    <d v="2019-11-14T07:33:41"/>
    <s v="arnold"/>
    <d v="2019-11-14T07:37:18"/>
    <s v="https://www.commcarehq.org/a/demo-18/reports/form_data/1f33c872-65d7-454d-ba6d-6e05c4408de4/"/>
    <s v="1f33c872-65d7-454d-ba6d-6e05c4408de4"/>
  </r>
  <r>
    <x v="84"/>
    <x v="0"/>
    <d v="2019-11-08T00:00:00"/>
    <d v="2019-12-16T00:00:00"/>
    <s v="clinic_ran_out_of_cards"/>
    <n v="3.1"/>
    <s v="https://www.commcarehq.org/a/demo-18/api/form/attachment/e464438a-bda1-44d8-9cb9-6aff7c3b8499/1573196354398.jpg"/>
    <s v="https://www.commcarehq.org/a/demo-18/api/form/attachment/e464438a-bda1-44d8-9cb9-6aff7c3b8499/1573196374818.jpg"/>
    <s v="https://www.commcarehq.org/a/demo-18/api/form/attachment/e464438a-bda1-44d8-9cb9-6aff7c3b8499/1573196438588.jpg"/>
    <s v="https://www.commcarehq.org/a/demo-18/api/form/attachment/e464438a-bda1-44d8-9cb9-6aff7c3b8499/1573196452800.jpg"/>
    <s v="https://www.commcarehq.org/a/demo-18/api/form/attachment/e464438a-bda1-44d8-9cb9-6aff7c3b8499/1573196543900.jpg"/>
    <s v="https://www.commcarehq.org/a/demo-18/api/form/attachment/e464438a-bda1-44d8-9cb9-6aff7c3b8499/1573196556347.jpg"/>
    <d v="2019-11-08T07:02:51"/>
    <d v="2019-11-08T06:58:45"/>
    <s v="papias"/>
    <d v="2019-11-08T15:03:10"/>
    <s v="https://www.commcarehq.org/a/demo-18/reports/form_data/e464438a-bda1-44d8-9cb9-6aff7c3b8499/"/>
    <s v="e464438a-bda1-44d8-9cb9-6aff7c3b8499"/>
  </r>
  <r>
    <x v="85"/>
    <x v="0"/>
    <d v="2019-11-08T00:00:00"/>
    <d v="2019-12-16T00:00:00"/>
    <s v="clinic_ran_out_of_cards"/>
    <n v="3.5"/>
    <s v="https://www.commcarehq.org/a/demo-18/api/form/attachment/e4105f62-c0aa-426f-9fd2-611657db052d/1573199141567.jpg"/>
    <s v="https://www.commcarehq.org/a/demo-18/api/form/attachment/e4105f62-c0aa-426f-9fd2-611657db052d/1573199163971.jpg"/>
    <s v="https://www.commcarehq.org/a/demo-18/api/form/attachment/e4105f62-c0aa-426f-9fd2-611657db052d/1573199237808.jpg"/>
    <s v="https://www.commcarehq.org/a/demo-18/api/form/attachment/e4105f62-c0aa-426f-9fd2-611657db052d/1573199251271.jpg"/>
    <s v="https://www.commcarehq.org/a/demo-18/api/form/attachment/e4105f62-c0aa-426f-9fd2-611657db052d/1573199279723.jpg"/>
    <s v="https://www.commcarehq.org/a/demo-18/api/form/attachment/e4105f62-c0aa-426f-9fd2-611657db052d/1573199293313.jpg"/>
    <d v="2019-11-08T07:48:16"/>
    <d v="2019-11-08T07:44:29"/>
    <s v="papias"/>
    <d v="2019-11-08T15:03:57"/>
    <s v="https://www.commcarehq.org/a/demo-18/reports/form_data/e4105f62-c0aa-426f-9fd2-611657db052d/"/>
    <s v="e4105f62-c0aa-426f-9fd2-611657db052d"/>
  </r>
  <r>
    <x v="86"/>
    <x v="0"/>
    <d v="2019-12-12T00:00:00"/>
    <d v="2020-01-19T00:00:00"/>
    <s v="clinic_ran_out_of_cards"/>
    <n v="2.9"/>
    <s v="https://www.commcarehq.org/a/demo-18/api/form/attachment/8323259a-3072-46bd-851d-abbaa75f8671/1576140628764.jpg"/>
    <s v="https://www.commcarehq.org/a/demo-18/api/form/attachment/8323259a-3072-46bd-851d-abbaa75f8671/1576140638315.jpg"/>
    <s v="https://www.commcarehq.org/a/demo-18/api/form/attachment/8323259a-3072-46bd-851d-abbaa75f8671/1576140717618.jpg"/>
    <s v="https://www.commcarehq.org/a/demo-18/api/form/attachment/8323259a-3072-46bd-851d-abbaa75f8671/1576140727037.jpg"/>
    <s v="https://www.commcarehq.org/a/demo-18/api/form/attachment/8323259a-3072-46bd-851d-abbaa75f8671/1576140768583.jpg"/>
    <s v="https://www.commcarehq.org/a/demo-18/api/form/attachment/8323259a-3072-46bd-851d-abbaa75f8671/1576140778530.jpg"/>
    <d v="2019-12-12T08:53:00"/>
    <d v="2019-12-12T08:49:47"/>
    <s v="arnold"/>
    <d v="2019-12-12T09:59:03"/>
    <s v="https://www.commcarehq.org/a/demo-18/reports/form_data/8323259a-3072-46bd-851d-abbaa75f8671/"/>
    <s v="8323259a-3072-46bd-851d-abbaa75f8671"/>
  </r>
  <r>
    <x v="87"/>
    <x v="0"/>
    <d v="2019-12-13T00:00:00"/>
    <d v="2020-01-20T00:00:00"/>
    <s v="clinic_ran_out_of_cards"/>
    <n v="3.2"/>
    <s v="https://www.commcarehq.org/a/demo-18/api/form/attachment/53c4d875-526e-4f14-b588-9238884066b5/1576228404507.jpg"/>
    <s v="https://www.commcarehq.org/a/demo-18/api/form/attachment/53c4d875-526e-4f14-b588-9238884066b5/1576228426372.jpg"/>
    <s v="https://www.commcarehq.org/a/demo-18/api/form/attachment/53c4d875-526e-4f14-b588-9238884066b5/1576228474030.jpg"/>
    <s v="https://www.commcarehq.org/a/demo-18/api/form/attachment/53c4d875-526e-4f14-b588-9238884066b5/1576228483636.jpg"/>
    <s v="https://www.commcarehq.org/a/demo-18/api/form/attachment/53c4d875-526e-4f14-b588-9238884066b5/1576228504333.jpg"/>
    <s v="https://www.commcarehq.org/a/demo-18/api/form/attachment/53c4d875-526e-4f14-b588-9238884066b5/1576228513888.jpg"/>
    <d v="2019-12-13T09:15:15"/>
    <d v="2019-12-13T09:12:50"/>
    <s v="arnold"/>
    <d v="2019-12-13T09:15:32"/>
    <s v="https://www.commcarehq.org/a/demo-18/reports/form_data/53c4d875-526e-4f14-b588-9238884066b5/"/>
    <s v="53c4d875-526e-4f14-b588-9238884066b5"/>
  </r>
  <r>
    <x v="88"/>
    <x v="0"/>
    <d v="2019-12-16T00:00:00"/>
    <d v="2020-01-23T00:00:00"/>
    <s v="clinic_ran_out_of_cards"/>
    <n v="3"/>
    <s v="https://www.commcarehq.org/a/demo-18/api/form/attachment/5566a11a-f612-44c9-9640-f5243af4425f/1576480537136.jpg"/>
    <s v="https://www.commcarehq.org/a/demo-18/api/form/attachment/5566a11a-f612-44c9-9640-f5243af4425f/1576480552735.jpg"/>
    <s v="https://www.commcarehq.org/a/demo-18/api/form/attachment/5566a11a-f612-44c9-9640-f5243af4425f/1576480637575.jpg"/>
    <s v="https://www.commcarehq.org/a/demo-18/api/form/attachment/5566a11a-f612-44c9-9640-f5243af4425f/1576480647716.jpg"/>
    <s v="https://www.commcarehq.org/a/demo-18/api/form/attachment/5566a11a-f612-44c9-9640-f5243af4425f/1576480680484.jpg"/>
    <s v="https://www.commcarehq.org/a/demo-18/api/form/attachment/5566a11a-f612-44c9-9640-f5243af4425f/1576480690597.jpg"/>
    <d v="2019-12-16T07:18:12"/>
    <d v="2019-12-16T07:14:48"/>
    <s v="arnold"/>
    <d v="2019-12-16T07:18:28"/>
    <s v="https://www.commcarehq.org/a/demo-18/reports/form_data/5566a11a-f612-44c9-9640-f5243af4425f/"/>
    <s v="5566a11a-f612-44c9-9640-f5243af4425f"/>
  </r>
  <r>
    <x v="89"/>
    <x v="0"/>
    <d v="2019-11-18T00:00:00"/>
    <d v="2019-12-26T00:00:00"/>
    <s v="clinic_ran_out_of_cards"/>
    <n v="3.7"/>
    <s v="https://www.commcarehq.org/a/demo-18/api/form/attachment/f0a632f2-6a0c-4006-8a2b-b843b11c36ae/1574060042901.jpg"/>
    <s v="https://www.commcarehq.org/a/demo-18/api/form/attachment/f0a632f2-6a0c-4006-8a2b-b843b11c36ae/1574060054289.jpg"/>
    <s v="https://www.commcarehq.org/a/demo-18/api/form/attachment/f0a632f2-6a0c-4006-8a2b-b843b11c36ae/1574060104436.jpg"/>
    <s v="https://www.commcarehq.org/a/demo-18/api/form/attachment/f0a632f2-6a0c-4006-8a2b-b843b11c36ae/1574060114663.jpg"/>
    <s v="https://www.commcarehq.org/a/demo-18/api/form/attachment/f0a632f2-6a0c-4006-8a2b-b843b11c36ae/1574060137221.jpg"/>
    <s v="https://www.commcarehq.org/a/demo-18/api/form/attachment/f0a632f2-6a0c-4006-8a2b-b843b11c36ae/1574060151108.jpg"/>
    <d v="2019-11-18T06:55:52"/>
    <d v="2019-11-18T06:53:24"/>
    <s v="arnold"/>
    <d v="2019-11-18T06:56:08"/>
    <s v="https://www.commcarehq.org/a/demo-18/reports/form_data/f0a632f2-6a0c-4006-8a2b-b843b11c36ae/"/>
    <s v="f0a632f2-6a0c-4006-8a2b-b843b11c36ae"/>
  </r>
  <r>
    <x v="90"/>
    <x v="0"/>
    <d v="2019-11-18T00:00:00"/>
    <d v="2019-12-26T00:00:00"/>
    <s v="clinic_ran_out_of_cards"/>
    <n v="3.5"/>
    <s v="https://www.commcarehq.org/a/demo-18/api/form/attachment/da92d3a0-9350-4dcf-a852-ec43dc5ba33d/1574061440138.jpg"/>
    <s v="https://www.commcarehq.org/a/demo-18/api/form/attachment/da92d3a0-9350-4dcf-a852-ec43dc5ba33d/1574061469950.jpg"/>
    <s v="https://www.commcarehq.org/a/demo-18/api/form/attachment/da92d3a0-9350-4dcf-a852-ec43dc5ba33d/1574061555335.jpg"/>
    <s v="https://www.commcarehq.org/a/demo-18/api/form/attachment/da92d3a0-9350-4dcf-a852-ec43dc5ba33d/1574061565593.jpg"/>
    <s v="https://www.commcarehq.org/a/demo-18/api/form/attachment/da92d3a0-9350-4dcf-a852-ec43dc5ba33d/1574061589218.jpg"/>
    <s v="https://www.commcarehq.org/a/demo-18/api/form/attachment/da92d3a0-9350-4dcf-a852-ec43dc5ba33d/1574061600233.jpg"/>
    <d v="2019-11-18T07:20:01"/>
    <d v="2019-11-18T07:16:41"/>
    <s v="arnold"/>
    <d v="2019-11-18T07:20:18"/>
    <s v="https://www.commcarehq.org/a/demo-18/reports/form_data/da92d3a0-9350-4dcf-a852-ec43dc5ba33d/"/>
    <s v="da92d3a0-9350-4dcf-a852-ec43dc5ba33d"/>
  </r>
  <r>
    <x v="91"/>
    <x v="0"/>
    <d v="2019-11-18T00:00:00"/>
    <d v="2019-12-26T00:00:00"/>
    <s v="clinic_ran_out_of_cards"/>
    <n v="2.6"/>
    <s v="https://www.commcarehq.org/a/demo-18/api/form/attachment/215db025-385a-4db4-8945-106a8af5e114/1574062765431.jpg"/>
    <s v="https://www.commcarehq.org/a/demo-18/api/form/attachment/215db025-385a-4db4-8945-106a8af5e114/1574062779948.jpg"/>
    <s v="https://www.commcarehq.org/a/demo-18/api/form/attachment/215db025-385a-4db4-8945-106a8af5e114/1574062826537.jpg"/>
    <s v="https://www.commcarehq.org/a/demo-18/api/form/attachment/215db025-385a-4db4-8945-106a8af5e114/1574062836516.jpg"/>
    <s v="https://www.commcarehq.org/a/demo-18/api/form/attachment/215db025-385a-4db4-8945-106a8af5e114/1574062856306.jpg"/>
    <s v="https://www.commcarehq.org/a/demo-18/api/form/attachment/215db025-385a-4db4-8945-106a8af5e114/1574062867210.jpg"/>
    <d v="2019-11-18T07:41:08"/>
    <d v="2019-11-18T07:38:59"/>
    <s v="arnold"/>
    <d v="2019-11-18T10:18:42"/>
    <s v="https://www.commcarehq.org/a/demo-18/reports/form_data/215db025-385a-4db4-8945-106a8af5e114/"/>
    <s v="215db025-385a-4db4-8945-106a8af5e114"/>
  </r>
  <r>
    <x v="92"/>
    <x v="0"/>
    <d v="2019-11-20T00:00:00"/>
    <d v="2019-12-28T00:00:00"/>
    <s v="clinic_ran_out_of_cards"/>
    <n v="2.8"/>
    <s v="https://www.commcarehq.org/a/demo-18/api/form/attachment/4d580ded-0772-47c0-abc5-4469a57da888/1574236590482.jpg"/>
    <s v="https://www.commcarehq.org/a/demo-18/api/form/attachment/4d580ded-0772-47c0-abc5-4469a57da888/1574236605083.jpg"/>
    <s v="https://www.commcarehq.org/a/demo-18/api/form/attachment/4d580ded-0772-47c0-abc5-4469a57da888/1574236694054.jpg"/>
    <s v="https://www.commcarehq.org/a/demo-18/api/form/attachment/4d580ded-0772-47c0-abc5-4469a57da888/1574236703668.jpg"/>
    <s v="https://www.commcarehq.org/a/demo-18/api/form/attachment/4d580ded-0772-47c0-abc5-4469a57da888/1574236764557.jpg"/>
    <s v="https://www.commcarehq.org/a/demo-18/api/form/attachment/4d580ded-0772-47c0-abc5-4469a57da888/1574236775160.jpg"/>
    <d v="2019-11-20T07:59:38"/>
    <d v="2019-11-20T07:56:01"/>
    <s v="arnold"/>
    <d v="2019-11-20T07:59:55"/>
    <s v="https://www.commcarehq.org/a/demo-18/reports/form_data/4d580ded-0772-47c0-abc5-4469a57da888/"/>
    <s v="4d580ded-0772-47c0-abc5-4469a57da888"/>
  </r>
  <r>
    <x v="93"/>
    <x v="0"/>
    <d v="2019-11-25T00:00:00"/>
    <d v="2020-01-02T00:00:00"/>
    <s v="clinic_ran_out_of_cards"/>
    <n v="3.1"/>
    <s v="https://www.commcarehq.org/a/demo-18/api/form/attachment/13489e88-8895-4fcb-a75c-2ef0191ee646/1574666458116.jpg"/>
    <s v="https://www.commcarehq.org/a/demo-18/api/form/attachment/13489e88-8895-4fcb-a75c-2ef0191ee646/1574666475049.jpg"/>
    <s v="https://www.commcarehq.org/a/demo-18/api/form/attachment/13489e88-8895-4fcb-a75c-2ef0191ee646/1574666524258.jpg"/>
    <s v="https://www.commcarehq.org/a/demo-18/api/form/attachment/13489e88-8895-4fcb-a75c-2ef0191ee646/1574666534375.jpg"/>
    <s v="https://www.commcarehq.org/a/demo-18/api/form/attachment/13489e88-8895-4fcb-a75c-2ef0191ee646/1574666551687.jpg"/>
    <s v="https://www.commcarehq.org/a/demo-18/api/form/attachment/13489e88-8895-4fcb-a75c-2ef0191ee646/1574666561415.jpg"/>
    <d v="2019-11-25T07:22:43"/>
    <d v="2019-11-25T07:20:29"/>
    <s v="arnold"/>
    <d v="2019-11-25T07:22:57"/>
    <s v="https://www.commcarehq.org/a/demo-18/reports/form_data/13489e88-8895-4fcb-a75c-2ef0191ee646/"/>
    <s v="13489e88-8895-4fcb-a75c-2ef0191ee646"/>
  </r>
  <r>
    <x v="94"/>
    <x v="0"/>
    <d v="2019-11-29T00:00:00"/>
    <d v="2020-01-06T00:00:00"/>
    <s v="clinic_ran_out_of_cards"/>
    <n v="3.2"/>
    <s v="https://www.commcarehq.org/a/demo-18/api/form/attachment/1c628b2a-3a55-4b8b-9d42-74e650dae136/1575009701349.jpg"/>
    <s v="https://www.commcarehq.org/a/demo-18/api/form/attachment/1c628b2a-3a55-4b8b-9d42-74e650dae136/1575009724284.jpg"/>
    <s v="https://www.commcarehq.org/a/demo-18/api/form/attachment/1c628b2a-3a55-4b8b-9d42-74e650dae136/1575009826668.jpg"/>
    <s v="https://www.commcarehq.org/a/demo-18/api/form/attachment/1c628b2a-3a55-4b8b-9d42-74e650dae136/1575009837380.jpg"/>
    <s v="https://www.commcarehq.org/a/demo-18/api/form/attachment/1c628b2a-3a55-4b8b-9d42-74e650dae136/1575009857618.jpg"/>
    <s v="https://www.commcarehq.org/a/demo-18/api/form/attachment/1c628b2a-3a55-4b8b-9d42-74e650dae136/1575009868747.jpg"/>
    <d v="2019-11-29T06:44:30"/>
    <d v="2019-11-29T06:40:59"/>
    <s v="arnold"/>
    <d v="2019-11-29T08:45:48"/>
    <s v="https://www.commcarehq.org/a/demo-18/reports/form_data/1c628b2a-3a55-4b8b-9d42-74e650dae136/"/>
    <s v="1c628b2a-3a55-4b8b-9d42-74e650dae136"/>
  </r>
  <r>
    <x v="95"/>
    <x v="0"/>
    <d v="2019-11-27T00:00:00"/>
    <d v="2020-01-04T00:00:00"/>
    <s v="clinic_ran_out_of_cards"/>
    <n v="2.6"/>
    <s v="https://www.commcarehq.org/a/demo-18/api/form/attachment/96fc6935-62bc-4ee6-b158-6aa9b13fc404/1574838936805.jpg"/>
    <s v="https://www.commcarehq.org/a/demo-18/api/form/attachment/96fc6935-62bc-4ee6-b158-6aa9b13fc404/1574838955480.jpg"/>
    <s v="https://www.commcarehq.org/a/demo-18/api/form/attachment/96fc6935-62bc-4ee6-b158-6aa9b13fc404/1574839013985.jpg"/>
    <s v="https://www.commcarehq.org/a/demo-18/api/form/attachment/96fc6935-62bc-4ee6-b158-6aa9b13fc404/1574839026696.jpg"/>
    <s v="https://www.commcarehq.org/a/demo-18/api/form/attachment/96fc6935-62bc-4ee6-b158-6aa9b13fc404/1574839049464.jpg"/>
    <s v="https://www.commcarehq.org/a/demo-18/api/form/attachment/96fc6935-62bc-4ee6-b158-6aa9b13fc404/1574839057540.jpg"/>
    <d v="2019-11-27T07:17:38"/>
    <d v="2019-11-27T07:15:08"/>
    <s v="arnold"/>
    <d v="2019-11-27T09:10:09"/>
    <s v="https://www.commcarehq.org/a/demo-18/reports/form_data/96fc6935-62bc-4ee6-b158-6aa9b13fc404/"/>
    <s v="96fc6935-62bc-4ee6-b158-6aa9b13fc404"/>
  </r>
  <r>
    <x v="96"/>
    <x v="0"/>
    <d v="2019-12-06T00:00:00"/>
    <d v="2020-01-13T00:00:00"/>
    <s v="clinic_ran_out_of_cards"/>
    <n v="2.6"/>
    <s v="https://www.commcarehq.org/a/demo-18/api/form/attachment/769d7330-1dda-429f-bcb7-b1b6bfd98fa7/1575618245034.jpg"/>
    <s v="https://www.commcarehq.org/a/demo-18/api/form/attachment/769d7330-1dda-429f-bcb7-b1b6bfd98fa7/1575618259657.jpg"/>
    <s v="https://www.commcarehq.org/a/demo-18/api/form/attachment/769d7330-1dda-429f-bcb7-b1b6bfd98fa7/1575618302769.jpg"/>
    <s v="https://www.commcarehq.org/a/demo-18/api/form/attachment/769d7330-1dda-429f-bcb7-b1b6bfd98fa7/1575618311164.jpg"/>
    <s v="https://www.commcarehq.org/a/demo-18/api/form/attachment/769d7330-1dda-429f-bcb7-b1b6bfd98fa7/1575618328266.jpg"/>
    <s v="https://www.commcarehq.org/a/demo-18/api/form/attachment/769d7330-1dda-429f-bcb7-b1b6bfd98fa7/1575618341145.jpg"/>
    <d v="2019-12-06T07:45:42"/>
    <d v="2019-12-06T07:43:42"/>
    <s v="arnold"/>
    <d v="2019-12-06T07:45:59"/>
    <s v="https://www.commcarehq.org/a/demo-18/reports/form_data/769d7330-1dda-429f-bcb7-b1b6bfd98fa7/"/>
    <s v="769d7330-1dda-429f-bcb7-b1b6bfd98fa7"/>
  </r>
  <r>
    <x v="97"/>
    <x v="0"/>
    <d v="2019-12-05T00:00:00"/>
    <d v="2020-01-12T00:00:00"/>
    <s v="clinic_ran_out_of_cards"/>
    <n v="3.1"/>
    <s v="https://www.commcarehq.org/a/demo-18/api/form/attachment/d140587d-8b3d-4a0e-8224-d9bc64349646/1575531241434.jpg"/>
    <s v="https://www.commcarehq.org/a/demo-18/api/form/attachment/d140587d-8b3d-4a0e-8224-d9bc64349646/1575531273728.jpg"/>
    <s v="https://www.commcarehq.org/a/demo-18/api/form/attachment/d140587d-8b3d-4a0e-8224-d9bc64349646/1575531345456.jpg"/>
    <s v="https://www.commcarehq.org/a/demo-18/api/form/attachment/d140587d-8b3d-4a0e-8224-d9bc64349646/1575531355158.jpg"/>
    <s v="https://www.commcarehq.org/a/demo-18/api/form/attachment/d140587d-8b3d-4a0e-8224-d9bc64349646/1575531371913.jpg"/>
    <s v="https://www.commcarehq.org/a/demo-18/api/form/attachment/d140587d-8b3d-4a0e-8224-d9bc64349646/1575531397865.jpg"/>
    <d v="2019-12-05T07:36:39"/>
    <d v="2019-12-05T07:33:23"/>
    <s v="arnold"/>
    <d v="2019-12-05T09:45:12"/>
    <s v="https://www.commcarehq.org/a/demo-18/reports/form_data/d140587d-8b3d-4a0e-8224-d9bc64349646/"/>
    <s v="d140587d-8b3d-4a0e-8224-d9bc64349646"/>
  </r>
  <r>
    <x v="98"/>
    <x v="0"/>
    <d v="2019-12-09T00:00:00"/>
    <d v="2020-01-16T00:00:00"/>
    <s v="clinic_ran_out_of_cards"/>
    <n v="3.2"/>
    <s v="https://www.commcarehq.org/a/demo-18/api/form/attachment/b7abc63c-4218-4b3a-b4aa-f83de2321592/1575874692293.jpg"/>
    <s v="https://www.commcarehq.org/a/demo-18/api/form/attachment/b7abc63c-4218-4b3a-b4aa-f83de2321592/1575874718311.jpg"/>
    <s v="https://www.commcarehq.org/a/demo-18/api/form/attachment/b7abc63c-4218-4b3a-b4aa-f83de2321592/1575874782892.jpg"/>
    <s v="https://www.commcarehq.org/a/demo-18/api/form/attachment/b7abc63c-4218-4b3a-b4aa-f83de2321592/1575874791595.jpg"/>
    <s v="https://www.commcarehq.org/a/demo-18/api/form/attachment/b7abc63c-4218-4b3a-b4aa-f83de2321592/1575874813612.jpg"/>
    <s v="https://www.commcarehq.org/a/demo-18/api/form/attachment/b7abc63c-4218-4b3a-b4aa-f83de2321592/1575874824247.jpg"/>
    <d v="2019-12-09T07:00:26"/>
    <d v="2019-12-09T06:57:45"/>
    <s v="arnold"/>
    <d v="2019-12-09T10:03:13"/>
    <s v="https://www.commcarehq.org/a/demo-18/reports/form_data/b7abc63c-4218-4b3a-b4aa-f83de2321592/"/>
    <s v="b7abc63c-4218-4b3a-b4aa-f83de2321592"/>
  </r>
  <r>
    <x v="99"/>
    <x v="0"/>
    <d v="2019-12-09T00:00:00"/>
    <d v="2020-01-16T00:00:00"/>
    <s v="clinic_ran_out_of_cards"/>
    <n v="3.1"/>
    <s v="https://www.commcarehq.org/a/demo-18/api/form/attachment/e8b96029-76de-417c-8756-51a61188a814/1575880112451.jpg"/>
    <s v="https://www.commcarehq.org/a/demo-18/api/form/attachment/e8b96029-76de-417c-8756-51a61188a814/1575880130301.jpg"/>
    <s v="https://www.commcarehq.org/a/demo-18/api/form/attachment/e8b96029-76de-417c-8756-51a61188a814/1575880169690.jpg"/>
    <s v="https://www.commcarehq.org/a/demo-18/api/form/attachment/e8b96029-76de-417c-8756-51a61188a814/1575880177849.jpg"/>
    <s v="https://www.commcarehq.org/a/demo-18/api/form/attachment/e8b96029-76de-417c-8756-51a61188a814/1575880197302.jpg"/>
    <s v="https://www.commcarehq.org/a/demo-18/api/form/attachment/e8b96029-76de-417c-8756-51a61188a814/1575880206752.jpg"/>
    <d v="2019-12-09T08:30:08"/>
    <d v="2019-12-09T08:28:07"/>
    <s v="arnold"/>
    <d v="2019-12-09T10:06:38"/>
    <s v="https://www.commcarehq.org/a/demo-18/reports/form_data/e8b96029-76de-417c-8756-51a61188a814/"/>
    <s v="e8b96029-76de-417c-8756-51a61188a814"/>
  </r>
  <r>
    <x v="100"/>
    <x v="0"/>
    <d v="2019-11-06T00:00:00"/>
    <d v="2019-12-14T00:00:00"/>
    <s v="clinic_ran_out_of_cards"/>
    <n v="3.5"/>
    <s v="https://www.commcarehq.org/a/demo-18/api/form/attachment/092df509-d149-4846-a339-fb94cb4ab43e/1573027307649.jpg"/>
    <s v="https://www.commcarehq.org/a/demo-18/api/form/attachment/092df509-d149-4846-a339-fb94cb4ab43e/1573027319923.jpg"/>
    <s v="https://www.commcarehq.org/a/demo-18/api/form/attachment/092df509-d149-4846-a339-fb94cb4ab43e/1573027538932.jpg"/>
    <s v="https://www.commcarehq.org/a/demo-18/api/form/attachment/092df509-d149-4846-a339-fb94cb4ab43e/1573027553316.jpg"/>
    <s v="https://www.commcarehq.org/a/demo-18/api/form/attachment/092df509-d149-4846-a339-fb94cb4ab43e/1573027735988.jpg"/>
    <s v="https://www.commcarehq.org/a/demo-18/api/form/attachment/092df509-d149-4846-a339-fb94cb4ab43e/1573027752516.jpg"/>
    <d v="2019-11-06T08:09:18"/>
    <d v="2019-11-06T08:00:54"/>
    <s v="papias"/>
    <d v="2019-11-06T08:48:54"/>
    <s v="https://www.commcarehq.org/a/demo-18/reports/form_data/092df509-d149-4846-a339-fb94cb4ab43e/"/>
    <s v="092df509-d149-4846-a339-fb94cb4ab43e"/>
  </r>
  <r>
    <x v="101"/>
    <x v="0"/>
    <d v="2019-11-06T00:00:00"/>
    <d v="2019-12-14T00:00:00"/>
    <s v="clinic_ran_out_of_cards"/>
    <n v="3.2"/>
    <s v="https://www.commcarehq.org/a/demo-18/api/form/attachment/22e71530-0d3c-41b3-adda-7038ca20c79e/1573024116805.jpg"/>
    <s v="https://www.commcarehq.org/a/demo-18/api/form/attachment/22e71530-0d3c-41b3-adda-7038ca20c79e/1573024148242.jpg"/>
    <s v="https://www.commcarehq.org/a/demo-18/api/form/attachment/22e71530-0d3c-41b3-adda-7038ca20c79e/1573024240018.jpg"/>
    <s v="https://www.commcarehq.org/a/demo-18/api/form/attachment/22e71530-0d3c-41b3-adda-7038ca20c79e/1573024256864.jpg"/>
    <s v="https://www.commcarehq.org/a/demo-18/api/form/attachment/22e71530-0d3c-41b3-adda-7038ca20c79e/1573024318048.jpg"/>
    <s v="https://www.commcarehq.org/a/demo-18/api/form/attachment/22e71530-0d3c-41b3-adda-7038ca20c79e/1573024336417.jpg"/>
    <d v="2019-11-06T07:12:21"/>
    <d v="2019-11-06T07:07:45"/>
    <s v="papias"/>
    <d v="2019-11-06T07:12:38"/>
    <s v="https://www.commcarehq.org/a/demo-18/reports/form_data/22e71530-0d3c-41b3-adda-7038ca20c79e/"/>
    <s v="22e71530-0d3c-41b3-adda-7038ca20c79e"/>
  </r>
  <r>
    <x v="102"/>
    <x v="0"/>
    <d v="2019-11-11T00:00:00"/>
    <d v="2019-12-19T00:00:00"/>
    <s v="clinic_ran_out_of_cards"/>
    <n v="3"/>
    <s v="https://www.commcarehq.org/a/demo-18/api/form/attachment/eb71d4b6-4373-42cc-a3c2-37de2d6971b3/1573459915859.jpg"/>
    <s v="https://www.commcarehq.org/a/demo-18/api/form/attachment/eb71d4b6-4373-42cc-a3c2-37de2d6971b3/1573459931876.jpg"/>
    <s v="https://www.commcarehq.org/a/demo-18/api/form/attachment/eb71d4b6-4373-42cc-a3c2-37de2d6971b3/1573459994010.jpg"/>
    <s v="https://www.commcarehq.org/a/demo-18/api/form/attachment/eb71d4b6-4373-42cc-a3c2-37de2d6971b3/1573460008306.jpg"/>
    <s v="https://www.commcarehq.org/a/demo-18/api/form/attachment/eb71d4b6-4373-42cc-a3c2-37de2d6971b3/1573460035570.jpg"/>
    <s v="https://www.commcarehq.org/a/demo-18/api/form/attachment/eb71d4b6-4373-42cc-a3c2-37de2d6971b3/1573460049874.jpg"/>
    <d v="2019-11-11T08:14:12"/>
    <d v="2019-11-11T08:11:28"/>
    <s v="arnold"/>
    <d v="2019-11-11T10:07:24"/>
    <s v="https://www.commcarehq.org/a/demo-18/reports/form_data/eb71d4b6-4373-42cc-a3c2-37de2d6971b3/"/>
    <s v="eb71d4b6-4373-42cc-a3c2-37de2d6971b3"/>
  </r>
  <r>
    <x v="103"/>
    <x v="0"/>
    <d v="2019-11-11T00:00:00"/>
    <d v="2019-12-19T00:00:00"/>
    <s v="clinic_ran_out_of_cards"/>
    <n v="2.7"/>
    <s v="https://www.commcarehq.org/a/demo-18/api/form/attachment/660c5550-3340-4b8a-b704-ca73b81ab92d/1573457401181.jpg"/>
    <s v="https://www.commcarehq.org/a/demo-18/api/form/attachment/660c5550-3340-4b8a-b704-ca73b81ab92d/1573457422294.jpg"/>
    <s v="https://www.commcarehq.org/a/demo-18/api/form/attachment/660c5550-3340-4b8a-b704-ca73b81ab92d/1573457505409.jpg"/>
    <s v="https://www.commcarehq.org/a/demo-18/api/form/attachment/660c5550-3340-4b8a-b704-ca73b81ab92d/1573457518017.jpg"/>
    <s v="https://www.commcarehq.org/a/demo-18/api/form/attachment/660c5550-3340-4b8a-b704-ca73b81ab92d/1573457536302.jpg"/>
    <s v="https://www.commcarehq.org/a/demo-18/api/form/attachment/660c5550-3340-4b8a-b704-ca73b81ab92d/1573457552411.jpg"/>
    <d v="2019-11-11T07:32:37"/>
    <d v="2019-11-11T07:29:37"/>
    <s v="arnold"/>
    <d v="2019-11-11T10:06:19"/>
    <s v="https://www.commcarehq.org/a/demo-18/reports/form_data/660c5550-3340-4b8a-b704-ca73b81ab92d/"/>
    <s v="660c5550-3340-4b8a-b704-ca73b81ab92d"/>
  </r>
  <r>
    <x v="104"/>
    <x v="0"/>
    <d v="2019-11-11T00:00:00"/>
    <d v="2019-12-19T00:00:00"/>
    <s v="clinic_ran_out_of_cards"/>
    <n v="2.7"/>
    <s v="https://www.commcarehq.org/a/demo-18/api/form/attachment/8b644c51-de0b-4d13-bb80-34da58a7e6d2/1573458638738.jpg"/>
    <s v="https://www.commcarehq.org/a/demo-18/api/form/attachment/8b644c51-de0b-4d13-bb80-34da58a7e6d2/1573458660725.jpg"/>
    <s v="https://www.commcarehq.org/a/demo-18/api/form/attachment/8b644c51-de0b-4d13-bb80-34da58a7e6d2/1573458748005.jpg"/>
    <s v="https://www.commcarehq.org/a/demo-18/api/form/attachment/8b644c51-de0b-4d13-bb80-34da58a7e6d2/1573458760128.jpg"/>
    <s v="https://www.commcarehq.org/a/demo-18/api/form/attachment/8b644c51-de0b-4d13-bb80-34da58a7e6d2/1573458779837.jpg"/>
    <s v="https://www.commcarehq.org/a/demo-18/api/form/attachment/8b644c51-de0b-4d13-bb80-34da58a7e6d2/1573458794395.jpg"/>
    <d v="2019-11-11T07:53:16"/>
    <d v="2019-11-11T07:49:59"/>
    <s v="arnold"/>
    <d v="2019-11-11T10:06:36"/>
    <s v="https://www.commcarehq.org/a/demo-18/reports/form_data/8b644c51-de0b-4d13-bb80-34da58a7e6d2/"/>
    <s v="8b644c51-de0b-4d13-bb80-34da58a7e6d2"/>
  </r>
  <r>
    <x v="105"/>
    <x v="0"/>
    <d v="2019-11-13T00:00:00"/>
    <d v="2019-12-21T00:00:00"/>
    <s v="clinic_ran_out_of_cards"/>
    <n v="3.5"/>
    <s v="https://www.commcarehq.org/a/demo-18/api/form/attachment/1c5e8fe3-97e9-455f-8bb2-d68a2dea9781/1573630671765.jpg"/>
    <s v="https://www.commcarehq.org/a/demo-18/api/form/attachment/1c5e8fe3-97e9-455f-8bb2-d68a2dea9781/1573630689906.jpg"/>
    <s v="https://www.commcarehq.org/a/demo-18/api/form/attachment/1c5e8fe3-97e9-455f-8bb2-d68a2dea9781/1573630785722.jpg"/>
    <s v="https://www.commcarehq.org/a/demo-18/api/form/attachment/1c5e8fe3-97e9-455f-8bb2-d68a2dea9781/1573630798038.jpg"/>
    <s v="https://www.commcarehq.org/a/demo-18/api/form/attachment/1c5e8fe3-97e9-455f-8bb2-d68a2dea9781/1573630853825.jpg"/>
    <s v="https://www.commcarehq.org/a/demo-18/api/form/attachment/1c5e8fe3-97e9-455f-8bb2-d68a2dea9781/1573630875385.jpg"/>
    <d v="2019-11-13T07:41:19"/>
    <d v="2019-11-13T07:37:09"/>
    <s v="arnold"/>
    <d v="2019-11-13T09:06:48"/>
    <s v="https://www.commcarehq.org/a/demo-18/reports/form_data/1c5e8fe3-97e9-455f-8bb2-d68a2dea9781/"/>
    <s v="1c5e8fe3-97e9-455f-8bb2-d68a2dea9781"/>
  </r>
  <r>
    <x v="106"/>
    <x v="0"/>
    <d v="2019-11-15T00:00:00"/>
    <d v="2019-12-23T00:00:00"/>
    <s v="clinic_ran_out_of_cards"/>
    <n v="3.4"/>
    <s v="https://www.commcarehq.org/a/demo-18/api/form/attachment/70c7002f-dcc4-41c4-b9e9-638fe219b6ca/1573802196048.jpg"/>
    <s v="https://www.commcarehq.org/a/demo-18/api/form/attachment/70c7002f-dcc4-41c4-b9e9-638fe219b6ca/1573802232747.jpg"/>
    <s v="https://www.commcarehq.org/a/demo-18/api/form/attachment/70c7002f-dcc4-41c4-b9e9-638fe219b6ca/1573802359217.jpg"/>
    <s v="https://www.commcarehq.org/a/demo-18/api/form/attachment/70c7002f-dcc4-41c4-b9e9-638fe219b6ca/1573802371978.jpg"/>
    <s v="https://www.commcarehq.org/a/demo-18/api/form/attachment/70c7002f-dcc4-41c4-b9e9-638fe219b6ca/1573802395130.jpg"/>
    <s v="https://www.commcarehq.org/a/demo-18/api/form/attachment/70c7002f-dcc4-41c4-b9e9-638fe219b6ca/1573802408075.jpg"/>
    <d v="2019-11-15T07:20:10"/>
    <d v="2019-11-15T07:16:03"/>
    <s v="arnold"/>
    <d v="2019-11-15T07:20:28"/>
    <s v="https://www.commcarehq.org/a/demo-18/reports/form_data/70c7002f-dcc4-41c4-b9e9-638fe219b6ca/"/>
    <s v="70c7002f-dcc4-41c4-b9e9-638fe219b6ca"/>
  </r>
  <r>
    <x v="107"/>
    <x v="0"/>
    <d v="2019-11-08T00:00:00"/>
    <d v="2019-12-16T00:00:00"/>
    <s v="clinic_ran_out_of_cards"/>
    <n v="2.8"/>
    <s v="https://www.commcarehq.org/a/demo-18/api/form/attachment/69b00aa7-279d-4f87-afb1-346d673c3230/1573197407234.jpg"/>
    <s v="https://www.commcarehq.org/a/demo-18/api/form/attachment/69b00aa7-279d-4f87-afb1-346d673c3230/1573197420777.jpg"/>
    <s v="https://www.commcarehq.org/a/demo-18/api/form/attachment/69b00aa7-279d-4f87-afb1-346d673c3230/1573197532389.jpg"/>
    <s v="https://www.commcarehq.org/a/demo-18/api/form/attachment/69b00aa7-279d-4f87-afb1-346d673c3230/1573197549019.jpg"/>
    <s v="https://www.commcarehq.org/a/demo-18/api/form/attachment/69b00aa7-279d-4f87-afb1-346d673c3230/1573197587691.jpg"/>
    <s v="https://www.commcarehq.org/a/demo-18/api/form/attachment/69b00aa7-279d-4f87-afb1-346d673c3230/1573197659237.jpg"/>
    <d v="2019-11-08T07:21:04"/>
    <d v="2019-11-08T07:16:25"/>
    <s v="papias"/>
    <d v="2019-11-08T15:03:29"/>
    <s v="https://www.commcarehq.org/a/demo-18/reports/form_data/69b00aa7-279d-4f87-afb1-346d673c3230/"/>
    <s v="69b00aa7-279d-4f87-afb1-346d673c3230"/>
  </r>
  <r>
    <x v="108"/>
    <x v="0"/>
    <d v="2019-11-08T00:00:00"/>
    <d v="2019-12-16T00:00:00"/>
    <s v="clinic_ran_out_of_cards"/>
    <n v="3.3"/>
    <s v="https://www.commcarehq.org/a/demo-18/api/form/attachment/95713670-d0b2-4803-a7f4-32e89bd1e571/1573197001222.jpg"/>
    <s v="https://www.commcarehq.org/a/demo-18/api/form/attachment/95713670-d0b2-4803-a7f4-32e89bd1e571/1573197014924.jpg"/>
    <s v="https://www.commcarehq.org/a/demo-18/api/form/attachment/95713670-d0b2-4803-a7f4-32e89bd1e571/1573197089105.jpg"/>
    <s v="https://www.commcarehq.org/a/demo-18/api/form/attachment/95713670-d0b2-4803-a7f4-32e89bd1e571/1573197104015.jpg"/>
    <s v="https://www.commcarehq.org/a/demo-18/api/form/attachment/95713670-d0b2-4803-a7f4-32e89bd1e571/1573197138323.jpg"/>
    <s v="https://www.commcarehq.org/a/demo-18/api/form/attachment/95713670-d0b2-4803-a7f4-32e89bd1e571/1573197152533.jpg"/>
    <d v="2019-11-08T07:12:34"/>
    <d v="2019-11-08T07:09:06"/>
    <s v="papias"/>
    <d v="2019-11-08T15:03:18"/>
    <s v="https://www.commcarehq.org/a/demo-18/reports/form_data/95713670-d0b2-4803-a7f4-32e89bd1e571/"/>
    <s v="95713670-d0b2-4803-a7f4-32e89bd1e571"/>
  </r>
  <r>
    <x v="109"/>
    <x v="0"/>
    <d v="2019-11-08T00:00:00"/>
    <d v="2019-12-16T00:00:00"/>
    <s v="clinic_ran_out_of_cards"/>
    <n v="3"/>
    <s v="https://www.commcarehq.org/a/demo-18/api/form/attachment/9a34607d-9647-4a9a-9cd0-c650164d756a/1573203165613.jpg"/>
    <s v="https://www.commcarehq.org/a/demo-18/api/form/attachment/9a34607d-9647-4a9a-9cd0-c650164d756a/1573203182841.jpg"/>
    <s v="https://www.commcarehq.org/a/demo-18/api/form/attachment/9a34607d-9647-4a9a-9cd0-c650164d756a/1573203294843.jpg"/>
    <s v="https://www.commcarehq.org/a/demo-18/api/form/attachment/9a34607d-9647-4a9a-9cd0-c650164d756a/1573203319984.jpg"/>
    <s v="https://www.commcarehq.org/a/demo-18/api/form/attachment/9a34607d-9647-4a9a-9cd0-c650164d756a/1573203386950.jpg"/>
    <s v="https://www.commcarehq.org/a/demo-18/api/form/attachment/9a34607d-9647-4a9a-9cd0-c650164d756a/1573203400949.jpg"/>
    <d v="2019-11-08T08:56:43"/>
    <d v="2019-11-08T08:52:27"/>
    <s v="papias"/>
    <d v="2019-11-08T15:05:36"/>
    <s v="https://www.commcarehq.org/a/demo-18/reports/form_data/9a34607d-9647-4a9a-9cd0-c650164d756a/"/>
    <s v="9a34607d-9647-4a9a-9cd0-c650164d756a"/>
  </r>
  <r>
    <x v="110"/>
    <x v="0"/>
    <d v="2019-11-08T00:00:00"/>
    <d v="2019-12-16T00:00:00"/>
    <s v="clinic_ran_out_of_cards"/>
    <n v="2.5"/>
    <s v="https://www.commcarehq.org/a/demo-18/api/form/attachment/6e8de26e-7eca-447c-bb8f-9cacf8e75725/1573201145547.jpg"/>
    <s v="https://www.commcarehq.org/a/demo-18/api/form/attachment/6e8de26e-7eca-447c-bb8f-9cacf8e75725/1573201159581.jpg"/>
    <s v="https://www.commcarehq.org/a/demo-18/api/form/attachment/6e8de26e-7eca-447c-bb8f-9cacf8e75725/1573201225534.jpg"/>
    <s v="https://www.commcarehq.org/a/demo-18/api/form/attachment/6e8de26e-7eca-447c-bb8f-9cacf8e75725/1573201242420.jpg"/>
    <s v="https://www.commcarehq.org/a/demo-18/api/form/attachment/6e8de26e-7eca-447c-bb8f-9cacf8e75725/1573201271089.jpg"/>
    <s v="https://www.commcarehq.org/a/demo-18/api/form/attachment/6e8de26e-7eca-447c-bb8f-9cacf8e75725/1573201287621.jpg"/>
    <d v="2019-11-08T08:21:34"/>
    <d v="2019-11-08T08:18:34"/>
    <s v="papias"/>
    <d v="2019-11-08T15:04:43"/>
    <s v="https://www.commcarehq.org/a/demo-18/reports/form_data/6e8de26e-7eca-447c-bb8f-9cacf8e75725/"/>
    <s v="6e8de26e-7eca-447c-bb8f-9cacf8e75725"/>
  </r>
  <r>
    <x v="111"/>
    <x v="0"/>
    <d v="2019-11-07T00:00:00"/>
    <d v="2019-12-15T00:00:00"/>
    <s v="clinic_ran_out_of_cards"/>
    <n v="2.5"/>
    <s v="https://www.commcarehq.org/a/demo-18/api/form/attachment/02ae0020-52f6-4cd4-8111-22d6d2377b73/1573115469170.jpg"/>
    <s v="https://www.commcarehq.org/a/demo-18/api/form/attachment/02ae0020-52f6-4cd4-8111-22d6d2377b73/1573115480788.jpg"/>
    <s v="https://www.commcarehq.org/a/demo-18/api/form/attachment/02ae0020-52f6-4cd4-8111-22d6d2377b73/1573115545400.jpg"/>
    <s v="https://www.commcarehq.org/a/demo-18/api/form/attachment/02ae0020-52f6-4cd4-8111-22d6d2377b73/1573115558845.jpg"/>
    <s v="https://www.commcarehq.org/a/demo-18/api/form/attachment/02ae0020-52f6-4cd4-8111-22d6d2377b73/1573115581453.jpg"/>
    <s v="https://www.commcarehq.org/a/demo-18/api/form/attachment/02ae0020-52f6-4cd4-8111-22d6d2377b73/1573115593433.jpg"/>
    <d v="2019-11-07T08:33:15"/>
    <d v="2019-11-07T08:30:43"/>
    <s v="arnold"/>
    <d v="2019-11-07T10:11:01"/>
    <s v="https://www.commcarehq.org/a/demo-18/reports/form_data/02ae0020-52f6-4cd4-8111-22d6d2377b73/"/>
    <s v="02ae0020-52f6-4cd4-8111-22d6d2377b73"/>
  </r>
  <r>
    <x v="112"/>
    <x v="0"/>
    <d v="2019-11-18T00:00:00"/>
    <d v="2019-12-26T00:00:00"/>
    <s v="clinic_ran_out_of_cards"/>
    <n v="3"/>
    <s v="https://www.commcarehq.org/a/demo-18/api/form/attachment/7c2c3d36-3e4e-4641-9ce9-2549bbd49f0c/1574071843364.jpg"/>
    <s v="https://www.commcarehq.org/a/demo-18/api/form/attachment/7c2c3d36-3e4e-4641-9ce9-2549bbd49f0c/1574071865539.jpg"/>
    <s v="https://www.commcarehq.org/a/demo-18/api/form/attachment/7c2c3d36-3e4e-4641-9ce9-2549bbd49f0c/1574071924480.jpg"/>
    <s v="https://www.commcarehq.org/a/demo-18/api/form/attachment/7c2c3d36-3e4e-4641-9ce9-2549bbd49f0c/1574071937032.jpg"/>
    <s v="https://www.commcarehq.org/a/demo-18/api/form/attachment/7c2c3d36-3e4e-4641-9ce9-2549bbd49f0c/1574071989542.jpg"/>
    <s v="https://www.commcarehq.org/a/demo-18/api/form/attachment/7c2c3d36-3e4e-4641-9ce9-2549bbd49f0c/1574072004668.jpg"/>
    <d v="2019-11-18T10:13:26"/>
    <d v="2019-11-18T10:10:08"/>
    <s v="arnold"/>
    <d v="2019-11-18T10:22:39"/>
    <s v="https://www.commcarehq.org/a/demo-18/reports/form_data/7c2c3d36-3e4e-4641-9ce9-2549bbd49f0c/"/>
    <s v="7c2c3d36-3e4e-4641-9ce9-2549bbd49f0c"/>
  </r>
  <r>
    <x v="113"/>
    <x v="0"/>
    <d v="2019-11-18T00:00:00"/>
    <d v="2019-12-26T00:00:00"/>
    <s v="clinic_ran_out_of_cards"/>
    <n v="2.5"/>
    <s v="https://www.commcarehq.org/a/demo-18/api/form/attachment/e31a80a4-ea37-4845-99a0-16e11d61e638/1574062412919.jpg"/>
    <s v="https://www.commcarehq.org/a/demo-18/api/form/attachment/e31a80a4-ea37-4845-99a0-16e11d61e638/1574062425241.jpg"/>
    <s v="https://www.commcarehq.org/a/demo-18/api/form/attachment/e31a80a4-ea37-4845-99a0-16e11d61e638/1574062475535.jpg"/>
    <s v="https://www.commcarehq.org/a/demo-18/api/form/attachment/e31a80a4-ea37-4845-99a0-16e11d61e638/1574062484707.jpg"/>
    <s v="https://www.commcarehq.org/a/demo-18/api/form/attachment/e31a80a4-ea37-4845-99a0-16e11d61e638/1574062512132.jpg"/>
    <s v="https://www.commcarehq.org/a/demo-18/api/form/attachment/e31a80a4-ea37-4845-99a0-16e11d61e638/1574062523188.jpg"/>
    <d v="2019-11-18T07:35:24"/>
    <d v="2019-11-18T07:33:11"/>
    <s v="arnold"/>
    <d v="2019-11-18T10:17:39"/>
    <s v="https://www.commcarehq.org/a/demo-18/reports/form_data/e31a80a4-ea37-4845-99a0-16e11d61e638/"/>
    <s v="e31a80a4-ea37-4845-99a0-16e11d61e638"/>
  </r>
  <r>
    <x v="114"/>
    <x v="0"/>
    <d v="2019-11-21T00:00:00"/>
    <d v="2019-12-29T00:00:00"/>
    <s v="clinic_ran_out_of_cards"/>
    <n v="2.9"/>
    <s v="https://www.commcarehq.org/a/demo-18/api/form/attachment/79908ef5-adf2-44b6-b2d3-a1108218d64d/1574327346613.jpg"/>
    <s v="https://www.commcarehq.org/a/demo-18/api/form/attachment/79908ef5-adf2-44b6-b2d3-a1108218d64d/1574327361397.jpg"/>
    <s v="https://www.commcarehq.org/a/demo-18/api/form/attachment/79908ef5-adf2-44b6-b2d3-a1108218d64d/1574327412395.jpg"/>
    <s v="https://www.commcarehq.org/a/demo-18/api/form/attachment/79908ef5-adf2-44b6-b2d3-a1108218d64d/1574327421051.jpg"/>
    <s v="https://www.commcarehq.org/a/demo-18/api/form/attachment/79908ef5-adf2-44b6-b2d3-a1108218d64d/1574327440571.jpg"/>
    <s v="https://www.commcarehq.org/a/demo-18/api/form/attachment/79908ef5-adf2-44b6-b2d3-a1108218d64d/1574327459300.jpg"/>
    <d v="2019-11-21T09:11:02"/>
    <d v="2019-11-21T09:08:36"/>
    <s v="arnold"/>
    <d v="2019-11-21T09:31:49"/>
    <s v="https://www.commcarehq.org/a/demo-18/reports/form_data/79908ef5-adf2-44b6-b2d3-a1108218d64d/"/>
    <s v="79908ef5-adf2-44b6-b2d3-a1108218d64d"/>
  </r>
  <r>
    <x v="115"/>
    <x v="0"/>
    <d v="2019-11-21T00:00:00"/>
    <d v="2019-12-29T00:00:00"/>
    <s v="clinic_ran_out_of_cards"/>
    <n v="3.3"/>
    <s v="https://www.commcarehq.org/a/demo-18/api/form/attachment/6518379f-9a5c-4992-88e4-bf2e5a70c75e/1574325050566.jpg"/>
    <s v="https://www.commcarehq.org/a/demo-18/api/form/attachment/6518379f-9a5c-4992-88e4-bf2e5a70c75e/1574325063527.jpg"/>
    <s v="https://www.commcarehq.org/a/demo-18/api/form/attachment/6518379f-9a5c-4992-88e4-bf2e5a70c75e/1574325139864.jpg"/>
    <s v="https://www.commcarehq.org/a/demo-18/api/form/attachment/6518379f-9a5c-4992-88e4-bf2e5a70c75e/1574325150011.jpg"/>
    <s v="https://www.commcarehq.org/a/demo-18/api/form/attachment/6518379f-9a5c-4992-88e4-bf2e5a70c75e/1574325179347.jpg"/>
    <s v="https://www.commcarehq.org/a/demo-18/api/form/attachment/6518379f-9a5c-4992-88e4-bf2e5a70c75e/1574325188033.jpg"/>
    <d v="2019-11-21T08:33:09"/>
    <d v="2019-11-21T08:30:25"/>
    <s v="arnold"/>
    <d v="2019-11-21T08:33:27"/>
    <s v="https://www.commcarehq.org/a/demo-18/reports/form_data/6518379f-9a5c-4992-88e4-bf2e5a70c75e/"/>
    <s v="6518379f-9a5c-4992-88e4-bf2e5a70c75e"/>
  </r>
  <r>
    <x v="116"/>
    <x v="0"/>
    <d v="2019-11-21T00:00:00"/>
    <d v="2019-12-29T00:00:00"/>
    <s v="clinic_ran_out_of_cards"/>
    <n v="2.7"/>
    <s v="https://www.commcarehq.org/a/demo-18/api/form/attachment/8980c92d-367b-49ca-a578-3c855be05287/1574325937666.jpg"/>
    <s v="https://www.commcarehq.org/a/demo-18/api/form/attachment/8980c92d-367b-49ca-a578-3c855be05287/1574325953915.jpg"/>
    <s v="https://www.commcarehq.org/a/demo-18/api/form/attachment/8980c92d-367b-49ca-a578-3c855be05287/1574326013284.jpg"/>
    <s v="https://www.commcarehq.org/a/demo-18/api/form/attachment/8980c92d-367b-49ca-a578-3c855be05287/1574326022281.jpg"/>
    <s v="https://www.commcarehq.org/a/demo-18/api/form/attachment/8980c92d-367b-49ca-a578-3c855be05287/1574326044634.jpg"/>
    <s v="https://www.commcarehq.org/a/demo-18/api/form/attachment/8980c92d-367b-49ca-a578-3c855be05287/1574326054474.jpg"/>
    <d v="2019-11-21T08:47:36"/>
    <d v="2019-11-21T08:44:56"/>
    <s v="arnold"/>
    <d v="2019-11-21T08:47:50"/>
    <s v="https://www.commcarehq.org/a/demo-18/reports/form_data/8980c92d-367b-49ca-a578-3c855be05287/"/>
    <s v="8980c92d-367b-49ca-a578-3c855be05287"/>
  </r>
  <r>
    <x v="117"/>
    <x v="0"/>
    <d v="2019-11-20T00:00:00"/>
    <d v="2019-12-28T00:00:00"/>
    <s v="clinic_ran_out_of_cards"/>
    <n v="3.5"/>
    <s v="https://www.commcarehq.org/a/demo-18/api/form/attachment/22358fe2-fad2-41a2-8d35-b45feec228b1/1574233944255.jpg"/>
    <s v="https://www.commcarehq.org/a/demo-18/api/form/attachment/22358fe2-fad2-41a2-8d35-b45feec228b1/1574233959356.jpg"/>
    <s v="https://www.commcarehq.org/a/demo-18/api/form/attachment/22358fe2-fad2-41a2-8d35-b45feec228b1/1574234053124.jpg"/>
    <s v="https://www.commcarehq.org/a/demo-18/api/form/attachment/22358fe2-fad2-41a2-8d35-b45feec228b1/1574234065838.jpg"/>
    <s v="https://www.commcarehq.org/a/demo-18/api/form/attachment/22358fe2-fad2-41a2-8d35-b45feec228b1/1574234107819.jpg"/>
    <s v="https://www.commcarehq.org/a/demo-18/api/form/attachment/22358fe2-fad2-41a2-8d35-b45feec228b1/1574234119306.jpg"/>
    <d v="2019-11-20T07:15:21"/>
    <d v="2019-11-20T07:11:54"/>
    <s v="arnold"/>
    <d v="2019-11-20T07:15:37"/>
    <s v="https://www.commcarehq.org/a/demo-18/reports/form_data/22358fe2-fad2-41a2-8d35-b45feec228b1/"/>
    <s v="22358fe2-fad2-41a2-8d35-b45feec228b1"/>
  </r>
  <r>
    <x v="118"/>
    <x v="0"/>
    <d v="2019-11-20T00:00:00"/>
    <d v="2019-12-28T00:00:00"/>
    <s v="clinic_ran_out_of_cards"/>
    <n v="2.8"/>
    <s v="https://www.commcarehq.org/a/demo-18/api/form/attachment/cd3f1025-20ef-4598-a755-6aaae7423ebf/1574240016561.jpg"/>
    <s v="https://www.commcarehq.org/a/demo-18/api/form/attachment/cd3f1025-20ef-4598-a755-6aaae7423ebf/1574240037460.jpg"/>
    <s v="https://www.commcarehq.org/a/demo-18/api/form/attachment/cd3f1025-20ef-4598-a755-6aaae7423ebf/1574240097765.jpg"/>
    <s v="https://www.commcarehq.org/a/demo-18/api/form/attachment/cd3f1025-20ef-4598-a755-6aaae7423ebf/1574240108699.jpg"/>
    <s v="https://www.commcarehq.org/a/demo-18/api/form/attachment/cd3f1025-20ef-4598-a755-6aaae7423ebf/1574240131034.jpg"/>
    <s v="https://www.commcarehq.org/a/demo-18/api/form/attachment/cd3f1025-20ef-4598-a755-6aaae7423ebf/1574240142303.jpg"/>
    <d v="2019-11-20T08:55:44"/>
    <d v="2019-11-20T08:53:05"/>
    <s v="arnold"/>
    <d v="2019-11-20T08:56:02"/>
    <s v="https://www.commcarehq.org/a/demo-18/reports/form_data/cd3f1025-20ef-4598-a755-6aaae7423ebf/"/>
    <s v="cd3f1025-20ef-4598-a755-6aaae7423ebf"/>
  </r>
  <r>
    <x v="119"/>
    <x v="0"/>
    <d v="2019-11-20T00:00:00"/>
    <d v="2019-12-28T00:00:00"/>
    <s v="clinic_ran_out_of_cards"/>
    <n v="3.2"/>
    <s v="https://www.commcarehq.org/a/demo-18/api/form/attachment/7dbcdbfd-1605-4801-82fe-89936eb3d329/1574240988442.jpg"/>
    <s v="https://www.commcarehq.org/a/demo-18/api/form/attachment/7dbcdbfd-1605-4801-82fe-89936eb3d329/1574241003461.jpg"/>
    <s v="https://www.commcarehq.org/a/demo-18/api/form/attachment/7dbcdbfd-1605-4801-82fe-89936eb3d329/1574241073861.jpg"/>
    <s v="https://www.commcarehq.org/a/demo-18/api/form/attachment/7dbcdbfd-1605-4801-82fe-89936eb3d329/1574241082724.jpg"/>
    <s v="https://www.commcarehq.org/a/demo-18/api/form/attachment/7dbcdbfd-1605-4801-82fe-89936eb3d329/1574241108455.jpg"/>
    <s v="https://www.commcarehq.org/a/demo-18/api/form/attachment/7dbcdbfd-1605-4801-82fe-89936eb3d329/1574241118494.jpg"/>
    <d v="2019-11-20T09:12:00"/>
    <d v="2019-11-20T09:09:18"/>
    <s v="arnold"/>
    <d v="2019-11-20T09:12:18"/>
    <s v="https://www.commcarehq.org/a/demo-18/reports/form_data/7dbcdbfd-1605-4801-82fe-89936eb3d329/"/>
    <s v="7dbcdbfd-1605-4801-82fe-89936eb3d329"/>
  </r>
  <r>
    <x v="120"/>
    <x v="0"/>
    <d v="2019-11-28T00:00:00"/>
    <d v="2020-01-05T00:00:00"/>
    <s v="clinic_ran_out_of_cards"/>
    <n v="2.5"/>
    <s v="https://www.commcarehq.org/a/demo-18/api/form/attachment/71e7e77b-5cbf-4c00-af80-a9b0dc3dd647/1574927884802.jpg"/>
    <s v="https://www.commcarehq.org/a/demo-18/api/form/attachment/71e7e77b-5cbf-4c00-af80-a9b0dc3dd647/1574927899915.jpg"/>
    <s v="https://www.commcarehq.org/a/demo-18/api/form/attachment/71e7e77b-5cbf-4c00-af80-a9b0dc3dd647/1574928138192.jpg"/>
    <s v="https://www.commcarehq.org/a/demo-18/api/form/attachment/71e7e77b-5cbf-4c00-af80-a9b0dc3dd647/1574928146785.jpg"/>
    <s v="https://www.commcarehq.org/a/demo-18/api/form/attachment/71e7e77b-5cbf-4c00-af80-a9b0dc3dd647/1574928164767.jpg"/>
    <s v="https://www.commcarehq.org/a/demo-18/api/form/attachment/71e7e77b-5cbf-4c00-af80-a9b0dc3dd647/1574928173841.jpg"/>
    <d v="2019-11-28T08:02:55"/>
    <d v="2019-11-28T07:57:35"/>
    <s v="arnold"/>
    <d v="2019-11-28T08:03:12"/>
    <s v="https://www.commcarehq.org/a/demo-18/reports/form_data/71e7e77b-5cbf-4c00-af80-a9b0dc3dd647/"/>
    <s v="71e7e77b-5cbf-4c00-af80-a9b0dc3dd647"/>
  </r>
  <r>
    <x v="121"/>
    <x v="0"/>
    <d v="2019-11-29T00:00:00"/>
    <d v="2020-01-06T00:00:00"/>
    <s v="clinic_ran_out_of_cards"/>
    <n v="2.9"/>
    <s v="https://www.commcarehq.org/a/demo-18/api/form/attachment/5c09af30-384a-41c5-ba55-1c4b33b9f44d/1575010617965.jpg"/>
    <s v="https://www.commcarehq.org/a/demo-18/api/form/attachment/5c09af30-384a-41c5-ba55-1c4b33b9f44d/1575010632697.jpg"/>
    <s v="https://www.commcarehq.org/a/demo-18/api/form/attachment/5c09af30-384a-41c5-ba55-1c4b33b9f44d/1575010687119.jpg"/>
    <s v="https://www.commcarehq.org/a/demo-18/api/form/attachment/5c09af30-384a-41c5-ba55-1c4b33b9f44d/1575010695313.jpg"/>
    <s v="https://www.commcarehq.org/a/demo-18/api/form/attachment/5c09af30-384a-41c5-ba55-1c4b33b9f44d/1575010714556.jpg"/>
    <s v="https://www.commcarehq.org/a/demo-18/api/form/attachment/5c09af30-384a-41c5-ba55-1c4b33b9f44d/1575010727578.jpg"/>
    <d v="2019-11-29T06:58:55"/>
    <d v="2019-11-29T06:56:29"/>
    <s v="arnold"/>
    <d v="2019-11-29T08:46:22"/>
    <s v="https://www.commcarehq.org/a/demo-18/reports/form_data/5c09af30-384a-41c5-ba55-1c4b33b9f44d/"/>
    <s v="5c09af30-384a-41c5-ba55-1c4b33b9f44d"/>
  </r>
  <r>
    <x v="122"/>
    <x v="0"/>
    <d v="2019-12-02T00:00:00"/>
    <d v="2020-01-09T00:00:00"/>
    <s v="clinic_ran_out_of_cards"/>
    <n v="3"/>
    <s v="https://www.commcarehq.org/a/demo-18/api/form/attachment/3ce7b0ba-3899-4e6f-b202-3561e7603dbd/1575270801417.jpg"/>
    <s v="https://www.commcarehq.org/a/demo-18/api/form/attachment/3ce7b0ba-3899-4e6f-b202-3561e7603dbd/1575270817312.jpg"/>
    <s v="https://www.commcarehq.org/a/demo-18/api/form/attachment/3ce7b0ba-3899-4e6f-b202-3561e7603dbd/1575270870056.jpg"/>
    <s v="https://www.commcarehq.org/a/demo-18/api/form/attachment/3ce7b0ba-3899-4e6f-b202-3561e7603dbd/1575270879692.jpg"/>
    <s v="https://www.commcarehq.org/a/demo-18/api/form/attachment/3ce7b0ba-3899-4e6f-b202-3561e7603dbd/1575270895138.jpg"/>
    <s v="https://www.commcarehq.org/a/demo-18/api/form/attachment/3ce7b0ba-3899-4e6f-b202-3561e7603dbd/1575270905540.jpg"/>
    <d v="2019-12-02T07:15:08"/>
    <d v="2019-12-02T07:12:57"/>
    <s v="arnold"/>
    <d v="2019-12-02T07:15:24"/>
    <s v="https://www.commcarehq.org/a/demo-18/reports/form_data/3ce7b0ba-3899-4e6f-b202-3561e7603dbd/"/>
    <s v="3ce7b0ba-3899-4e6f-b202-3561e7603dbd"/>
  </r>
  <r>
    <x v="123"/>
    <x v="0"/>
    <d v="2019-12-02T00:00:00"/>
    <d v="2020-01-09T00:00:00"/>
    <s v="clinic_ran_out_of_cards"/>
    <n v="3"/>
    <s v="https://www.commcarehq.org/a/demo-18/api/form/attachment/0c44f3cb-698b-4789-9f9c-f4b9289f9a90/1575274273340.jpg"/>
    <s v="https://www.commcarehq.org/a/demo-18/api/form/attachment/0c44f3cb-698b-4789-9f9c-f4b9289f9a90/1575274296421.jpg"/>
    <s v="https://www.commcarehq.org/a/demo-18/api/form/attachment/0c44f3cb-698b-4789-9f9c-f4b9289f9a90/1575274384927.jpg"/>
    <s v="https://www.commcarehq.org/a/demo-18/api/form/attachment/0c44f3cb-698b-4789-9f9c-f4b9289f9a90/1575274396508.jpg"/>
    <s v="https://www.commcarehq.org/a/demo-18/api/form/attachment/0c44f3cb-698b-4789-9f9c-f4b9289f9a90/1575274436416.jpg"/>
    <s v="https://www.commcarehq.org/a/demo-18/api/form/attachment/0c44f3cb-698b-4789-9f9c-f4b9289f9a90/1575274453135.jpg"/>
    <d v="2019-12-02T08:14:15"/>
    <d v="2019-12-02T08:10:40"/>
    <s v="arnold"/>
    <d v="2019-12-02T08:14:30"/>
    <s v="https://www.commcarehq.org/a/demo-18/reports/form_data/0c44f3cb-698b-4789-9f9c-f4b9289f9a90/"/>
    <s v="0c44f3cb-698b-4789-9f9c-f4b9289f9a90"/>
  </r>
  <r>
    <x v="124"/>
    <x v="0"/>
    <d v="2019-12-04T00:00:00"/>
    <d v="2020-01-11T00:00:00"/>
    <s v="clinic_ran_out_of_cards"/>
    <n v="2.9"/>
    <s v="https://www.commcarehq.org/a/demo-18/api/form/attachment/0f275ad4-9576-46b8-8f15-140be5ab8049/1575443516602.jpg"/>
    <s v="https://www.commcarehq.org/a/demo-18/api/form/attachment/0f275ad4-9576-46b8-8f15-140be5ab8049/1575443537119.jpg"/>
    <s v="https://www.commcarehq.org/a/demo-18/api/form/attachment/0f275ad4-9576-46b8-8f15-140be5ab8049/1575443669499.jpg"/>
    <s v="https://www.commcarehq.org/a/demo-18/api/form/attachment/0f275ad4-9576-46b8-8f15-140be5ab8049/1575443677216.jpg"/>
    <s v="https://www.commcarehq.org/a/demo-18/api/form/attachment/0f275ad4-9576-46b8-8f15-140be5ab8049/1575443694389.jpg"/>
    <s v="https://www.commcarehq.org/a/demo-18/api/form/attachment/0f275ad4-9576-46b8-8f15-140be5ab8049/1575443705012.jpg"/>
    <d v="2019-12-04T07:15:08"/>
    <d v="2019-12-04T07:11:14"/>
    <s v="arnold"/>
    <d v="2019-12-04T07:15:29"/>
    <s v="https://www.commcarehq.org/a/demo-18/reports/form_data/0f275ad4-9576-46b8-8f15-140be5ab8049/"/>
    <s v="0f275ad4-9576-46b8-8f15-140be5ab8049"/>
  </r>
  <r>
    <x v="125"/>
    <x v="0"/>
    <d v="2019-11-27T00:00:00"/>
    <d v="2020-01-04T00:00:00"/>
    <s v="clinic_ran_out_of_cards"/>
    <n v="2.7"/>
    <s v="https://www.commcarehq.org/a/demo-18/api/form/attachment/30496a5d-9b8c-42fa-9c40-caf11693ca05/1574838398295.jpg"/>
    <s v="https://www.commcarehq.org/a/demo-18/api/form/attachment/30496a5d-9b8c-42fa-9c40-caf11693ca05/1574838413347.jpg"/>
    <s v="https://www.commcarehq.org/a/demo-18/api/form/attachment/30496a5d-9b8c-42fa-9c40-caf11693ca05/1574838478688.jpg"/>
    <s v="https://www.commcarehq.org/a/demo-18/api/form/attachment/30496a5d-9b8c-42fa-9c40-caf11693ca05/1574838487255.jpg"/>
    <s v="https://www.commcarehq.org/a/demo-18/api/form/attachment/30496a5d-9b8c-42fa-9c40-caf11693ca05/1574838508026.jpg"/>
    <s v="https://www.commcarehq.org/a/demo-18/api/form/attachment/30496a5d-9b8c-42fa-9c40-caf11693ca05/1574838519032.jpg"/>
    <d v="2019-11-27T07:08:41"/>
    <d v="2019-11-27T07:06:13"/>
    <s v="arnold"/>
    <d v="2019-11-27T09:09:50"/>
    <s v="https://www.commcarehq.org/a/demo-18/reports/form_data/30496a5d-9b8c-42fa-9c40-caf11693ca05/"/>
    <s v="30496a5d-9b8c-42fa-9c40-caf11693ca05"/>
  </r>
  <r>
    <x v="126"/>
    <x v="0"/>
    <d v="2019-11-27T00:00:00"/>
    <d v="2020-01-04T00:00:00"/>
    <s v="clinic_ran_out_of_cards"/>
    <n v="3.2"/>
    <s v="https://www.commcarehq.org/a/demo-18/api/form/attachment/96165bc8-8c57-47ad-a196-4d1bafd19bde/1574839595994.jpg"/>
    <s v="https://www.commcarehq.org/a/demo-18/api/form/attachment/96165bc8-8c57-47ad-a196-4d1bafd19bde/1574839614266.jpg"/>
    <s v="https://www.commcarehq.org/a/demo-18/api/form/attachment/96165bc8-8c57-47ad-a196-4d1bafd19bde/1574839657679.jpg"/>
    <s v="https://www.commcarehq.org/a/demo-18/api/form/attachment/96165bc8-8c57-47ad-a196-4d1bafd19bde/1574839668167.jpg"/>
    <s v="https://www.commcarehq.org/a/demo-18/api/form/attachment/96165bc8-8c57-47ad-a196-4d1bafd19bde/1574839683764.jpg"/>
    <s v="https://www.commcarehq.org/a/demo-18/api/form/attachment/96165bc8-8c57-47ad-a196-4d1bafd19bde/1574839696247.jpg"/>
    <d v="2019-11-27T07:28:18"/>
    <d v="2019-11-27T07:26:14"/>
    <s v="arnold"/>
    <d v="2019-11-27T09:10:55"/>
    <s v="https://www.commcarehq.org/a/demo-18/reports/form_data/96165bc8-8c57-47ad-a196-4d1bafd19bde/"/>
    <s v="96165bc8-8c57-47ad-a196-4d1bafd19bde"/>
  </r>
  <r>
    <x v="127"/>
    <x v="0"/>
    <d v="2019-11-27T00:00:00"/>
    <d v="2020-01-04T00:00:00"/>
    <s v="clinic_ran_out_of_cards"/>
    <n v="3.4"/>
    <s v="https://www.commcarehq.org/a/demo-18/api/form/attachment/df54a525-e3a9-4bc4-87fb-9713ae2c6658/1574839233827.jpg"/>
    <s v="https://www.commcarehq.org/a/demo-18/api/form/attachment/df54a525-e3a9-4bc4-87fb-9713ae2c6658/1574839247774.jpg"/>
    <s v="https://www.commcarehq.org/a/demo-18/api/form/attachment/df54a525-e3a9-4bc4-87fb-9713ae2c6658/1574839288088.jpg"/>
    <s v="https://www.commcarehq.org/a/demo-18/api/form/attachment/df54a525-e3a9-4bc4-87fb-9713ae2c6658/1574839302578.jpg"/>
    <s v="https://www.commcarehq.org/a/demo-18/api/form/attachment/df54a525-e3a9-4bc4-87fb-9713ae2c6658/1574839321869.jpg"/>
    <s v="https://www.commcarehq.org/a/demo-18/api/form/attachment/df54a525-e3a9-4bc4-87fb-9713ae2c6658/1574839330810.jpg"/>
    <d v="2019-11-27T07:22:13"/>
    <d v="2019-11-27T07:20:09"/>
    <s v="arnold"/>
    <d v="2019-11-27T09:10:32"/>
    <s v="https://www.commcarehq.org/a/demo-18/reports/form_data/df54a525-e3a9-4bc4-87fb-9713ae2c6658/"/>
    <s v="df54a525-e3a9-4bc4-87fb-9713ae2c6658"/>
  </r>
  <r>
    <x v="128"/>
    <x v="0"/>
    <d v="2019-12-09T00:00:00"/>
    <d v="2020-01-16T00:00:00"/>
    <s v="clinic_ran_out_of_cards"/>
    <n v="3.5"/>
    <s v="https://www.commcarehq.org/a/demo-18/api/form/attachment/8d0bda86-ee17-44a8-a5c3-1b509a87cc13/1575875235584.jpg"/>
    <s v="https://www.commcarehq.org/a/demo-18/api/form/attachment/8d0bda86-ee17-44a8-a5c3-1b509a87cc13/1575875258403.jpg"/>
    <s v="https://www.commcarehq.org/a/demo-18/api/form/attachment/8d0bda86-ee17-44a8-a5c3-1b509a87cc13/1575875325927.jpg"/>
    <s v="https://www.commcarehq.org/a/demo-18/api/form/attachment/8d0bda86-ee17-44a8-a5c3-1b509a87cc13/1575875334934.jpg"/>
    <s v="https://www.commcarehq.org/a/demo-18/api/form/attachment/8d0bda86-ee17-44a8-a5c3-1b509a87cc13/1575875352756.jpg"/>
    <s v="https://www.commcarehq.org/a/demo-18/api/form/attachment/8d0bda86-ee17-44a8-a5c3-1b509a87cc13/1575875362572.jpg"/>
    <d v="2019-12-09T07:09:24"/>
    <d v="2019-12-09T07:06:53"/>
    <s v="arnold"/>
    <d v="2019-12-09T10:03:35"/>
    <s v="https://www.commcarehq.org/a/demo-18/reports/form_data/8d0bda86-ee17-44a8-a5c3-1b509a87cc13/"/>
    <s v="8d0bda86-ee17-44a8-a5c3-1b509a87cc13"/>
  </r>
  <r>
    <x v="129"/>
    <x v="0"/>
    <d v="2019-12-09T00:00:00"/>
    <d v="2020-01-16T00:00:00"/>
    <s v="clinic_ran_out_of_cards"/>
    <n v="2.9"/>
    <s v="https://www.commcarehq.org/a/demo-18/api/form/attachment/0f8946fa-5cc2-45b6-bf93-3f8903dc46ed/1575874219352.jpg"/>
    <s v="https://www.commcarehq.org/a/demo-18/api/form/attachment/0f8946fa-5cc2-45b6-bf93-3f8903dc46ed/1575874234168.jpg"/>
    <s v="https://www.commcarehq.org/a/demo-18/api/form/attachment/0f8946fa-5cc2-45b6-bf93-3f8903dc46ed/1575874372243.jpg"/>
    <s v="https://www.commcarehq.org/a/demo-18/api/form/attachment/0f8946fa-5cc2-45b6-bf93-3f8903dc46ed/1575874380744.jpg"/>
    <s v="https://www.commcarehq.org/a/demo-18/api/form/attachment/0f8946fa-5cc2-45b6-bf93-3f8903dc46ed/1575874395525.jpg"/>
    <s v="https://www.commcarehq.org/a/demo-18/api/form/attachment/0f8946fa-5cc2-45b6-bf93-3f8903dc46ed/1575874404908.jpg"/>
    <d v="2019-12-09T06:53:26"/>
    <d v="2019-12-09T06:49:50"/>
    <s v="arnold"/>
    <d v="2019-12-09T10:02:50"/>
    <s v="https://www.commcarehq.org/a/demo-18/reports/form_data/0f8946fa-5cc2-45b6-bf93-3f8903dc46ed/"/>
    <s v="0f8946fa-5cc2-45b6-bf93-3f8903dc46ed"/>
  </r>
  <r>
    <x v="130"/>
    <x v="0"/>
    <d v="2019-12-13T00:00:00"/>
    <d v="2020-01-20T00:00:00"/>
    <s v="clinic_ran_out_of_cards"/>
    <n v="3.1"/>
    <s v="https://www.commcarehq.org/a/demo-18/api/form/attachment/739670ca-2d51-4f7f-969c-a55b59ac5970/1576226588182.jpg"/>
    <s v="https://www.commcarehq.org/a/demo-18/api/form/attachment/739670ca-2d51-4f7f-969c-a55b59ac5970/1576226603305.jpg"/>
    <s v="https://www.commcarehq.org/a/demo-18/api/form/attachment/739670ca-2d51-4f7f-969c-a55b59ac5970/1576226682927.jpg"/>
    <s v="https://www.commcarehq.org/a/demo-18/api/form/attachment/739670ca-2d51-4f7f-969c-a55b59ac5970/1576226691989.jpg"/>
    <s v="https://www.commcarehq.org/a/demo-18/api/form/attachment/739670ca-2d51-4f7f-969c-a55b59ac5970/1576226712476.jpg"/>
    <s v="https://www.commcarehq.org/a/demo-18/api/form/attachment/739670ca-2d51-4f7f-969c-a55b59ac5970/1576226725277.jpg"/>
    <d v="2019-12-13T08:45:27"/>
    <d v="2019-12-13T08:42:30"/>
    <s v="arnold"/>
    <d v="2019-12-13T08:45:45"/>
    <s v="https://www.commcarehq.org/a/demo-18/reports/form_data/739670ca-2d51-4f7f-969c-a55b59ac5970/"/>
    <s v="739670ca-2d51-4f7f-969c-a55b59ac5970"/>
  </r>
  <r>
    <x v="131"/>
    <x v="0"/>
    <d v="2019-12-13T00:00:00"/>
    <d v="2020-01-20T00:00:00"/>
    <s v="clinic_ran_out_of_cards"/>
    <n v="3.5"/>
    <s v="https://www.commcarehq.org/a/demo-18/api/form/attachment/bc554072-f7a9-4b7f-891c-720b435934ee/1576227419100.jpg"/>
    <s v="https://www.commcarehq.org/a/demo-18/api/form/attachment/bc554072-f7a9-4b7f-891c-720b435934ee/1576227440744.jpg"/>
    <s v="https://www.commcarehq.org/a/demo-18/api/form/attachment/bc554072-f7a9-4b7f-891c-720b435934ee/1576227487134.jpg"/>
    <s v="https://www.commcarehq.org/a/demo-18/api/form/attachment/bc554072-f7a9-4b7f-891c-720b435934ee/1576227496873.jpg"/>
    <s v="https://www.commcarehq.org/a/demo-18/api/form/attachment/bc554072-f7a9-4b7f-891c-720b435934ee/1576227514406.jpg"/>
    <s v="https://www.commcarehq.org/a/demo-18/api/form/attachment/bc554072-f7a9-4b7f-891c-720b435934ee/1576227523955.jpg"/>
    <d v="2019-12-13T08:58:45"/>
    <d v="2019-12-13T08:56:29"/>
    <s v="arnold"/>
    <d v="2019-12-13T08:59:03"/>
    <s v="https://www.commcarehq.org/a/demo-18/reports/form_data/bc554072-f7a9-4b7f-891c-720b435934ee/"/>
    <s v="bc554072-f7a9-4b7f-891c-720b435934ee"/>
  </r>
  <r>
    <x v="132"/>
    <x v="0"/>
    <d v="2019-12-16T00:00:00"/>
    <d v="2020-01-23T00:00:00"/>
    <s v="clinic_ran_out_of_cards"/>
    <n v="2.8"/>
    <s v="https://www.commcarehq.org/a/demo-18/api/form/attachment/cd6f2571-599c-4d05-aaba-53d164fd5dbb/1576480885737.jpg"/>
    <s v="https://www.commcarehq.org/a/demo-18/api/form/attachment/cd6f2571-599c-4d05-aaba-53d164fd5dbb/1576480903786.jpg"/>
    <s v="https://www.commcarehq.org/a/demo-18/api/form/attachment/cd6f2571-599c-4d05-aaba-53d164fd5dbb/1576480952738.jpg"/>
    <s v="https://www.commcarehq.org/a/demo-18/api/form/attachment/cd6f2571-599c-4d05-aaba-53d164fd5dbb/1576480961959.jpg"/>
    <s v="https://www.commcarehq.org/a/demo-18/api/form/attachment/cd6f2571-599c-4d05-aaba-53d164fd5dbb/1576480978622.jpg"/>
    <s v="https://www.commcarehq.org/a/demo-18/api/form/attachment/cd6f2571-599c-4d05-aaba-53d164fd5dbb/1576480987592.jpg"/>
    <d v="2019-12-16T07:23:09"/>
    <d v="2019-12-16T07:20:51"/>
    <s v="arnold"/>
    <d v="2019-12-16T07:23:26"/>
    <s v="https://www.commcarehq.org/a/demo-18/reports/form_data/cd6f2571-599c-4d05-aaba-53d164fd5dbb/"/>
    <s v="cd6f2571-599c-4d05-aaba-53d164fd5dbb"/>
  </r>
  <r>
    <x v="133"/>
    <x v="1"/>
    <m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4">
  <r>
    <x v="0"/>
    <n v="6"/>
    <d v="2019-12-08T00:00:00"/>
    <d v="2019-11-08T00:00:00"/>
    <s v="no"/>
    <s v="---"/>
    <s v="---"/>
    <s v="---"/>
    <x v="0"/>
    <s v="---"/>
    <s v="---"/>
    <s v="https://www.commcarehq.org/a/demo-18/api/form/attachment/f3c6dda3-06b1-4cc5-9d9e-2252a15a5127/1573204511231.jpg"/>
    <s v="https://www.commcarehq.org/a/demo-18/api/form/attachment/f3c6dda3-06b1-4cc5-9d9e-2252a15a5127/1573204521535.jpg"/>
    <s v="https://www.commcarehq.org/a/demo-18/api/form/attachment/f3c6dda3-06b1-4cc5-9d9e-2252a15a5127/1573204585037.jpg"/>
    <s v="https://www.commcarehq.org/a/demo-18/api/form/attachment/f3c6dda3-06b1-4cc5-9d9e-2252a15a5127/1573204598935.jpg"/>
    <s v="https://www.commcarehq.org/a/demo-18/api/form/attachment/f3c6dda3-06b1-4cc5-9d9e-2252a15a5127/1573204639494.jpg"/>
    <s v="https://www.commcarehq.org/a/demo-18/api/form/attachment/f3c6dda3-06b1-4cc5-9d9e-2252a15a5127/1573204653744.jpg"/>
    <d v="2019-11-08T09:17:36"/>
    <d v="2019-11-08T09:14:08"/>
    <s v="papias"/>
    <d v="2019-11-08T15:06:00"/>
    <s v="f3c6dda3-06b1-4cc5-9d9e-2252a15a5127"/>
    <s v="https://www.commcarehq.org/a/demo-18/reports/form_data/f3c6dda3-06b1-4cc5-9d9e-2252a15a5127/"/>
  </r>
  <r>
    <x v="1"/>
    <n v="7.1"/>
    <d v="2019-12-07T00:00:00"/>
    <d v="2019-11-07T00:00:00"/>
    <s v="no"/>
    <s v="---"/>
    <s v="---"/>
    <s v="---"/>
    <x v="1"/>
    <s v="---"/>
    <s v="---"/>
    <s v="https://www.commcarehq.org/a/demo-18/api/form/attachment/7fb73889-eeab-4289-95fb-6e5abc958b16/1573118992066.jpg"/>
    <s v="https://www.commcarehq.org/a/demo-18/api/form/attachment/7fb73889-eeab-4289-95fb-6e5abc958b16/1573119030128.jpg"/>
    <s v="https://www.commcarehq.org/a/demo-18/api/form/attachment/7fb73889-eeab-4289-95fb-6e5abc958b16/1573119082139.jpg"/>
    <s v="https://www.commcarehq.org/a/demo-18/api/form/attachment/7fb73889-eeab-4289-95fb-6e5abc958b16/1573119096575.jpg"/>
    <s v="https://www.commcarehq.org/a/demo-18/api/form/attachment/7fb73889-eeab-4289-95fb-6e5abc958b16/1573119117078.jpg"/>
    <s v="https://www.commcarehq.org/a/demo-18/api/form/attachment/7fb73889-eeab-4289-95fb-6e5abc958b16/1573119131668.jpg"/>
    <d v="2019-11-07T09:32:13"/>
    <d v="2019-11-07T09:29:06"/>
    <s v="arnold"/>
    <d v="2019-11-07T10:12:11"/>
    <s v="7fb73889-eeab-4289-95fb-6e5abc958b16"/>
    <s v="https://www.commcarehq.org/a/demo-18/reports/form_data/7fb73889-eeab-4289-95fb-6e5abc958b16/"/>
  </r>
  <r>
    <x v="2"/>
    <n v="6.5"/>
    <d v="2019-12-11T00:00:00"/>
    <d v="2019-11-11T00:00:00"/>
    <s v="no"/>
    <s v="---"/>
    <s v="---"/>
    <s v="---"/>
    <x v="1"/>
    <s v="---"/>
    <s v="---"/>
    <s v="https://www.commcarehq.org/a/demo-18/api/form/attachment/d093b333-336c-48a7-887f-ed8f619b3d10/1573465269503.jpg"/>
    <s v="https://www.commcarehq.org/a/demo-18/api/form/attachment/d093b333-336c-48a7-887f-ed8f619b3d10/1573465289835.jpg"/>
    <s v="https://www.commcarehq.org/a/demo-18/api/form/attachment/d093b333-336c-48a7-887f-ed8f619b3d10/1573465354117.jpg"/>
    <s v="https://www.commcarehq.org/a/demo-18/api/form/attachment/d093b333-336c-48a7-887f-ed8f619b3d10/1573465367065.jpg"/>
    <s v="https://www.commcarehq.org/a/demo-18/api/form/attachment/d093b333-336c-48a7-887f-ed8f619b3d10/1573465392681.jpg"/>
    <s v="https://www.commcarehq.org/a/demo-18/api/form/attachment/d093b333-336c-48a7-887f-ed8f619b3d10/1573465412710.jpg"/>
    <d v="2019-11-11T09:43:39"/>
    <d v="2019-11-11T09:40:30"/>
    <s v="arnold"/>
    <d v="2019-11-11T10:09:17"/>
    <s v="d093b333-336c-48a7-887f-ed8f619b3d10"/>
    <s v="https://www.commcarehq.org/a/demo-18/reports/form_data/d093b333-336c-48a7-887f-ed8f619b3d10/"/>
  </r>
  <r>
    <x v="3"/>
    <n v="6"/>
    <d v="2019-12-18T00:00:00"/>
    <d v="2019-11-18T00:00:00"/>
    <s v="no"/>
    <s v="---"/>
    <s v="---"/>
    <s v="---"/>
    <x v="0"/>
    <s v="---"/>
    <s v="---"/>
    <s v="https://www.commcarehq.org/a/demo-18/api/form/attachment/119937ed-0bb5-445b-8f68-ffcecbee7b5c/1574066904979.jpg"/>
    <s v="https://www.commcarehq.org/a/demo-18/api/form/attachment/119937ed-0bb5-445b-8f68-ffcecbee7b5c/1574066919974.jpg"/>
    <s v="https://www.commcarehq.org/a/demo-18/api/form/attachment/119937ed-0bb5-445b-8f68-ffcecbee7b5c/1574067278601.jpg"/>
    <s v="https://www.commcarehq.org/a/demo-18/api/form/attachment/119937ed-0bb5-445b-8f68-ffcecbee7b5c/1574067357793.jpg"/>
    <s v="https://www.commcarehq.org/a/demo-18/api/form/attachment/119937ed-0bb5-445b-8f68-ffcecbee7b5c/1574067376192.jpg"/>
    <s v="https://www.commcarehq.org/a/demo-18/api/form/attachment/119937ed-0bb5-445b-8f68-ffcecbee7b5c/1574067392586.jpg"/>
    <d v="2019-11-18T08:56:35"/>
    <d v="2019-11-18T08:47:44"/>
    <s v="arnold"/>
    <d v="2019-11-18T10:20:00"/>
    <s v="119937ed-0bb5-445b-8f68-ffcecbee7b5c"/>
    <s v="https://www.commcarehq.org/a/demo-18/reports/form_data/119937ed-0bb5-445b-8f68-ffcecbee7b5c/"/>
  </r>
  <r>
    <x v="4"/>
    <n v="6.5"/>
    <d v="2019-12-21T00:00:00"/>
    <d v="2019-11-21T00:00:00"/>
    <s v="no"/>
    <s v="---"/>
    <s v="---"/>
    <s v="---"/>
    <x v="0"/>
    <s v="---"/>
    <s v="---"/>
    <s v="https://www.commcarehq.org/a/demo-18/api/form/attachment/8792b0e6-c863-4d45-a7f1-d7ef7bc9d205/1574320895834.jpg"/>
    <s v="https://www.commcarehq.org/a/demo-18/api/form/attachment/8792b0e6-c863-4d45-a7f1-d7ef7bc9d205/1574320915934.jpg"/>
    <s v="https://www.commcarehq.org/a/demo-18/api/form/attachment/8792b0e6-c863-4d45-a7f1-d7ef7bc9d205/1574320981009.jpg"/>
    <s v="https://www.commcarehq.org/a/demo-18/api/form/attachment/8792b0e6-c863-4d45-a7f1-d7ef7bc9d205/1574320991660.jpg"/>
    <s v="https://www.commcarehq.org/a/demo-18/api/form/attachment/8792b0e6-c863-4d45-a7f1-d7ef7bc9d205/1574321010124.jpg"/>
    <s v="https://www.commcarehq.org/a/demo-18/api/form/attachment/8792b0e6-c863-4d45-a7f1-d7ef7bc9d205/1574321020877.jpg"/>
    <d v="2019-11-21T07:23:43"/>
    <d v="2019-11-21T07:20:43"/>
    <s v="arnold"/>
    <d v="2019-11-21T07:23:55"/>
    <s v="8792b0e6-c863-4d45-a7f1-d7ef7bc9d205"/>
    <s v="https://www.commcarehq.org/a/demo-18/reports/form_data/8792b0e6-c863-4d45-a7f1-d7ef7bc9d205/"/>
  </r>
  <r>
    <x v="5"/>
    <n v="5.5"/>
    <d v="2020-01-15T00:00:00"/>
    <d v="2019-12-16T00:00:00"/>
    <s v="no"/>
    <s v="---"/>
    <s v="---"/>
    <s v="---"/>
    <x v="1"/>
    <s v="---"/>
    <s v="---"/>
    <s v="https://www.commcarehq.org/a/demo-18/api/form/attachment/cc67ed43-5c42-40ca-bd0d-61bf3ee5c028/1576488594740.jpg"/>
    <s v="https://www.commcarehq.org/a/demo-18/api/form/attachment/cc67ed43-5c42-40ca-bd0d-61bf3ee5c028/1576488614173.jpg"/>
    <s v="https://www.commcarehq.org/a/demo-18/api/form/attachment/cc67ed43-5c42-40ca-bd0d-61bf3ee5c028/1576488652350.jpg"/>
    <s v="https://www.commcarehq.org/a/demo-18/api/form/attachment/cc67ed43-5c42-40ca-bd0d-61bf3ee5c028/1576488663814.jpg"/>
    <s v="https://www.commcarehq.org/a/demo-18/api/form/attachment/cc67ed43-5c42-40ca-bd0d-61bf3ee5c028/1576488697275.jpg"/>
    <s v="https://www.commcarehq.org/a/demo-18/api/form/attachment/cc67ed43-5c42-40ca-bd0d-61bf3ee5c028/1576488706167.jpg"/>
    <d v="2019-12-16T09:31:48"/>
    <d v="2019-12-16T09:29:10"/>
    <s v="arnold"/>
    <d v="2019-12-16T09:32:03"/>
    <s v="cc67ed43-5c42-40ca-bd0d-61bf3ee5c028"/>
    <s v="https://www.commcarehq.org/a/demo-18/reports/form_data/cc67ed43-5c42-40ca-bd0d-61bf3ee5c028/"/>
  </r>
  <r>
    <x v="6"/>
    <n v="6.1"/>
    <d v="2020-01-11T00:00:00"/>
    <d v="2019-12-12T00:00:00"/>
    <s v="no"/>
    <s v="---"/>
    <s v="---"/>
    <s v="---"/>
    <x v="0"/>
    <s v="---"/>
    <s v="---"/>
    <s v="https://www.commcarehq.org/a/demo-18/api/form/attachment/c67f89fe-2e0b-4700-8524-61fa6e1f7a44/1576137912491.jpg"/>
    <s v="https://www.commcarehq.org/a/demo-18/api/form/attachment/c67f89fe-2e0b-4700-8524-61fa6e1f7a44/1576137930709.jpg"/>
    <s v="https://www.commcarehq.org/a/demo-18/api/form/attachment/c67f89fe-2e0b-4700-8524-61fa6e1f7a44/1576137992508.jpg"/>
    <s v="https://www.commcarehq.org/a/demo-18/api/form/attachment/c67f89fe-2e0b-4700-8524-61fa6e1f7a44/1576138002853.jpg"/>
    <s v="https://www.commcarehq.org/a/demo-18/api/form/attachment/c67f89fe-2e0b-4700-8524-61fa6e1f7a44/1576138021818.jpg"/>
    <s v="https://www.commcarehq.org/a/demo-18/api/form/attachment/c67f89fe-2e0b-4700-8524-61fa6e1f7a44/1576138030443.jpg"/>
    <d v="2019-12-12T08:07:12"/>
    <d v="2019-12-12T08:04:01"/>
    <s v="arnold"/>
    <d v="2019-12-12T08:07:44"/>
    <s v="c67f89fe-2e0b-4700-8524-61fa6e1f7a44"/>
    <s v="https://www.commcarehq.org/a/demo-18/reports/form_data/c67f89fe-2e0b-4700-8524-61fa6e1f7a44/"/>
  </r>
  <r>
    <x v="7"/>
    <n v="6.5"/>
    <d v="2020-01-10T00:00:00"/>
    <d v="2019-12-11T00:00:00"/>
    <s v="no"/>
    <s v="---"/>
    <s v="---"/>
    <s v="---"/>
    <x v="1"/>
    <s v="---"/>
    <s v="---"/>
    <s v="https://www.commcarehq.org/a/demo-18/api/form/attachment/8fe9acc6-14a6-479d-bfc1-f9d5368e2ff9/1576054907515.jpg"/>
    <s v="https://www.commcarehq.org/a/demo-18/api/form/attachment/8fe9acc6-14a6-479d-bfc1-f9d5368e2ff9/1576054929907.jpg"/>
    <s v="https://www.commcarehq.org/a/demo-18/api/form/attachment/8fe9acc6-14a6-479d-bfc1-f9d5368e2ff9/1576054990725.jpg"/>
    <s v="https://www.commcarehq.org/a/demo-18/api/form/attachment/8fe9acc6-14a6-479d-bfc1-f9d5368e2ff9/1576055000461.jpg"/>
    <s v="https://www.commcarehq.org/a/demo-18/api/form/attachment/8fe9acc6-14a6-479d-bfc1-f9d5368e2ff9/1576055027633.jpg"/>
    <s v="https://www.commcarehq.org/a/demo-18/api/form/attachment/8fe9acc6-14a6-479d-bfc1-f9d5368e2ff9/1576055041080.jpg"/>
    <d v="2019-12-11T09:04:04"/>
    <d v="2019-12-11T09:01:11"/>
    <s v="arnold"/>
    <d v="2019-12-11T10:35:56"/>
    <s v="8fe9acc6-14a6-479d-bfc1-f9d5368e2ff9"/>
    <s v="https://www.commcarehq.org/a/demo-18/reports/form_data/8fe9acc6-14a6-479d-bfc1-f9d5368e2ff9/"/>
  </r>
  <r>
    <x v="8"/>
    <n v="7.1"/>
    <d v="2020-02-21T00:00:00"/>
    <d v="2020-01-22T00:00:00"/>
    <s v="no"/>
    <s v="---"/>
    <s v="---"/>
    <s v="---"/>
    <x v="0"/>
    <s v="no"/>
    <s v="---"/>
    <s v="https://www.commcarehq.org/a/demo-18/api/form/attachment/75bcfc74-c6f4-42f6-a7f3-b874713935a5/1579679886014.jpg"/>
    <s v="https://www.commcarehq.org/a/demo-18/api/form/attachment/75bcfc74-c6f4-42f6-a7f3-b874713935a5/1579679901059.jpg"/>
    <s v="https://www.commcarehq.org/a/demo-18/api/form/attachment/75bcfc74-c6f4-42f6-a7f3-b874713935a5/1579679957656.jpg"/>
    <s v="https://www.commcarehq.org/a/demo-18/api/form/attachment/75bcfc74-c6f4-42f6-a7f3-b874713935a5/1579679966491.jpg"/>
    <s v="https://www.commcarehq.org/a/demo-18/api/form/attachment/75bcfc74-c6f4-42f6-a7f3-b874713935a5/1579679980559.jpg"/>
    <s v="https://www.commcarehq.org/a/demo-18/api/form/attachment/75bcfc74-c6f4-42f6-a7f3-b874713935a5/1579679990604.jpg"/>
    <d v="2020-01-22T07:59:52"/>
    <d v="2020-01-22T07:57:27"/>
    <s v="arnold"/>
    <d v="2020-01-22T08:00:09"/>
    <s v="75bcfc74-c6f4-42f6-a7f3-b874713935a5"/>
    <s v="https://www.commcarehq.org/a/demo-18/reports/form_data/75bcfc74-c6f4-42f6-a7f3-b874713935a5/"/>
  </r>
  <r>
    <x v="9"/>
    <n v="7.9"/>
    <d v="2020-03-21T00:00:00"/>
    <d v="2020-02-20T00:00:00"/>
    <s v="no"/>
    <s v="---"/>
    <s v="---"/>
    <s v="---"/>
    <x v="2"/>
    <s v="no"/>
    <s v="---"/>
    <s v="https://www.commcarehq.org/a/demo-18/api/form/attachment/3074335a-db8c-47eb-b4e2-c999726fbd15/1582182012988.jpg"/>
    <s v="https://www.commcarehq.org/a/demo-18/api/form/attachment/3074335a-db8c-47eb-b4e2-c999726fbd15/1582182045645.jpg"/>
    <s v="https://www.commcarehq.org/a/demo-18/api/form/attachment/3074335a-db8c-47eb-b4e2-c999726fbd15/1582182095596.jpg"/>
    <s v="https://www.commcarehq.org/a/demo-18/api/form/attachment/3074335a-db8c-47eb-b4e2-c999726fbd15/1582182105093.jpg"/>
    <s v="https://www.commcarehq.org/a/demo-18/api/form/attachment/3074335a-db8c-47eb-b4e2-c999726fbd15/1582182122199.jpg"/>
    <s v="https://www.commcarehq.org/a/demo-18/api/form/attachment/3074335a-db8c-47eb-b4e2-c999726fbd15/1582182134507.jpg"/>
    <d v="2020-02-20T07:02:16"/>
    <d v="2020-02-20T06:59:35"/>
    <s v="arnold"/>
    <d v="2020-02-20T07:02:44"/>
    <s v="3074335a-db8c-47eb-b4e2-c999726fbd15"/>
    <s v="https://www.commcarehq.org/a/demo-18/reports/form_data/3074335a-db8c-47eb-b4e2-c999726fbd15/"/>
  </r>
  <r>
    <x v="10"/>
    <n v="4.8"/>
    <d v="2020-03-15T00:00:00"/>
    <d v="2020-02-14T00:00:00"/>
    <s v="no"/>
    <s v="---"/>
    <s v="---"/>
    <s v="---"/>
    <x v="3"/>
    <s v="no"/>
    <s v="---"/>
    <s v="https://www.commcarehq.org/a/demo-18/api/form/attachment/b91e0efd-38e3-4039-8e16-c7829780f7ac/1581670898080.jpg"/>
    <s v="https://www.commcarehq.org/a/demo-18/api/form/attachment/b91e0efd-38e3-4039-8e16-c7829780f7ac/1581670909456.jpg"/>
    <s v="https://www.commcarehq.org/a/demo-18/api/form/attachment/b91e0efd-38e3-4039-8e16-c7829780f7ac/1581670969673.jpg"/>
    <s v="https://www.commcarehq.org/a/demo-18/api/form/attachment/b91e0efd-38e3-4039-8e16-c7829780f7ac/1581670980926.jpg"/>
    <s v="https://www.commcarehq.org/a/demo-18/api/form/attachment/b91e0efd-38e3-4039-8e16-c7829780f7ac/1581671008754.jpg"/>
    <s v="https://www.commcarehq.org/a/demo-18/api/form/attachment/b91e0efd-38e3-4039-8e16-c7829780f7ac/1581671017378.jpg"/>
    <d v="2020-02-14T09:03:39"/>
    <d v="2020-02-14T09:00:40"/>
    <s v="arnold"/>
    <d v="2020-02-14T09:04:04"/>
    <s v="b91e0efd-38e3-4039-8e16-c7829780f7ac"/>
    <s v="https://www.commcarehq.org/a/demo-18/reports/form_data/b91e0efd-38e3-4039-8e16-c7829780f7ac/"/>
  </r>
  <r>
    <x v="11"/>
    <n v="5.4"/>
    <d v="2020-03-25T00:00:00"/>
    <d v="2020-02-24T00:00:00"/>
    <s v="no"/>
    <s v="---"/>
    <s v="---"/>
    <s v="---"/>
    <x v="4"/>
    <s v="no"/>
    <s v="---"/>
    <s v="https://www.commcarehq.org/a/demo-18/api/form/attachment/4b201776-d4b3-4bdb-8c6d-5a4c9cb2ff52/1582536660965.jpg"/>
    <s v="https://www.commcarehq.org/a/demo-18/api/form/attachment/4b201776-d4b3-4bdb-8c6d-5a4c9cb2ff52/1582536676589.jpg"/>
    <s v="https://www.commcarehq.org/a/demo-18/api/form/attachment/4b201776-d4b3-4bdb-8c6d-5a4c9cb2ff52/1582536738653.jpg"/>
    <s v="https://www.commcarehq.org/a/demo-18/api/form/attachment/4b201776-d4b3-4bdb-8c6d-5a4c9cb2ff52/1582536747863.jpg"/>
    <s v="https://www.commcarehq.org/a/demo-18/api/form/attachment/4b201776-d4b3-4bdb-8c6d-5a4c9cb2ff52/1582536767443.jpg"/>
    <s v="https://www.commcarehq.org/a/demo-18/api/form/attachment/4b201776-d4b3-4bdb-8c6d-5a4c9cb2ff52/1582536776472.jpg"/>
    <d v="2020-02-24T09:32:58"/>
    <d v="2020-02-24T09:30:16"/>
    <s v="arnold"/>
    <d v="2020-02-24T09:33:19"/>
    <s v="4b201776-d4b3-4bdb-8c6d-5a4c9cb2ff52"/>
    <s v="https://www.commcarehq.org/a/demo-18/reports/form_data/4b201776-d4b3-4bdb-8c6d-5a4c9cb2ff52/"/>
  </r>
  <r>
    <x v="12"/>
    <n v="6.7"/>
    <d v="2020-03-25T00:00:00"/>
    <d v="2020-02-24T00:00:00"/>
    <s v="no"/>
    <s v="---"/>
    <s v="---"/>
    <s v="---"/>
    <x v="5"/>
    <s v="no"/>
    <s v="---"/>
    <s v="https://www.commcarehq.org/a/demo-18/api/form/attachment/2c51e4cf-7172-4ce3-a9a7-6fd48e55a824/1582539481993.jpg"/>
    <s v="https://www.commcarehq.org/a/demo-18/api/form/attachment/2c51e4cf-7172-4ce3-a9a7-6fd48e55a824/1582539496005.jpg"/>
    <s v="https://www.commcarehq.org/a/demo-18/api/form/attachment/2c51e4cf-7172-4ce3-a9a7-6fd48e55a824/1582539534912.jpg"/>
    <s v="https://www.commcarehq.org/a/demo-18/api/form/attachment/2c51e4cf-7172-4ce3-a9a7-6fd48e55a824/1582539546059.jpg"/>
    <s v="https://www.commcarehq.org/a/demo-18/api/form/attachment/2c51e4cf-7172-4ce3-a9a7-6fd48e55a824/1582539562417.jpg"/>
    <s v="https://www.commcarehq.org/a/demo-18/api/form/attachment/2c51e4cf-7172-4ce3-a9a7-6fd48e55a824/1582539573889.jpg"/>
    <d v="2020-02-24T10:19:36"/>
    <d v="2020-02-24T10:17:31"/>
    <s v="arnold"/>
    <d v="2020-02-24T10:19:53"/>
    <s v="2c51e4cf-7172-4ce3-a9a7-6fd48e55a824"/>
    <s v="https://www.commcarehq.org/a/demo-18/reports/form_data/2c51e4cf-7172-4ce3-a9a7-6fd48e55a824/"/>
  </r>
  <r>
    <x v="13"/>
    <n v="7.9"/>
    <d v="2020-03-25T00:00:00"/>
    <d v="2020-02-24T00:00:00"/>
    <s v="no"/>
    <s v="---"/>
    <s v="---"/>
    <s v="---"/>
    <x v="2"/>
    <s v="no"/>
    <s v="---"/>
    <s v="https://www.commcarehq.org/a/demo-18/api/form/attachment/a09ceeeb-bbe2-49a5-94be-947cf6097dff/1582529719119.jpg"/>
    <s v="https://www.commcarehq.org/a/demo-18/api/form/attachment/a09ceeeb-bbe2-49a5-94be-947cf6097dff/1582529737693.jpg"/>
    <s v="https://www.commcarehq.org/a/demo-18/api/form/attachment/a09ceeeb-bbe2-49a5-94be-947cf6097dff/1582529785760.jpg"/>
    <s v="https://www.commcarehq.org/a/demo-18/api/form/attachment/a09ceeeb-bbe2-49a5-94be-947cf6097dff/1582529796415.jpg"/>
    <s v="https://www.commcarehq.org/a/demo-18/api/form/attachment/a09ceeeb-bbe2-49a5-94be-947cf6097dff/1582529834771.jpg"/>
    <s v="https://www.commcarehq.org/a/demo-18/api/form/attachment/a09ceeeb-bbe2-49a5-94be-947cf6097dff/1582529844765.jpg"/>
    <d v="2020-02-24T07:37:26"/>
    <d v="2020-02-24T07:34:35"/>
    <s v="arnold"/>
    <d v="2020-02-24T07:37:47"/>
    <s v="a09ceeeb-bbe2-49a5-94be-947cf6097dff"/>
    <s v="https://www.commcarehq.org/a/demo-18/reports/form_data/a09ceeeb-bbe2-49a5-94be-947cf6097dff/"/>
  </r>
  <r>
    <x v="14"/>
    <n v="6.4"/>
    <d v="2020-01-08T00:00:00"/>
    <d v="2019-12-09T00:00:00"/>
    <s v="no"/>
    <s v="---"/>
    <s v="---"/>
    <s v="---"/>
    <x v="1"/>
    <s v="---"/>
    <s v="---"/>
    <s v="https://www.commcarehq.org/a/demo-18/api/form/attachment/cef89f28-ba35-4186-b1be-71dc51b3e0a9/1575879637600.jpg"/>
    <s v="https://www.commcarehq.org/a/demo-18/api/form/attachment/cef89f28-ba35-4186-b1be-71dc51b3e0a9/1575879654163.jpg"/>
    <s v="https://www.commcarehq.org/a/demo-18/api/form/attachment/cef89f28-ba35-4186-b1be-71dc51b3e0a9/1575879698415.jpg"/>
    <s v="https://www.commcarehq.org/a/demo-18/api/form/attachment/cef89f28-ba35-4186-b1be-71dc51b3e0a9/1575879707301.jpg"/>
    <s v="https://www.commcarehq.org/a/demo-18/api/form/attachment/cef89f28-ba35-4186-b1be-71dc51b3e0a9/1575879726182.jpg"/>
    <s v="https://www.commcarehq.org/a/demo-18/api/form/attachment/cef89f28-ba35-4186-b1be-71dc51b3e0a9/1575879734680.jpg"/>
    <d v="2019-12-09T08:22:16"/>
    <d v="2019-12-09T08:19:54"/>
    <s v="arnold"/>
    <d v="2019-12-09T10:06:17"/>
    <s v="cef89f28-ba35-4186-b1be-71dc51b3e0a9"/>
    <s v="https://www.commcarehq.org/a/demo-18/reports/form_data/cef89f28-ba35-4186-b1be-71dc51b3e0a9/"/>
  </r>
  <r>
    <x v="15"/>
    <n v="5.4"/>
    <d v="2020-03-07T00:00:00"/>
    <d v="2020-02-06T00:00:00"/>
    <s v="no"/>
    <s v="---"/>
    <s v="---"/>
    <s v="---"/>
    <x v="2"/>
    <s v="no"/>
    <s v="---"/>
    <s v="https://www.commcarehq.org/a/demo-18/api/form/attachment/56a647c7-759d-40e2-8c9e-3da99f441f42/1580971562231.jpg"/>
    <s v="https://www.commcarehq.org/a/demo-18/api/form/attachment/56a647c7-759d-40e2-8c9e-3da99f441f42/1580971579658.jpg"/>
    <s v="https://www.commcarehq.org/a/demo-18/api/form/attachment/56a647c7-759d-40e2-8c9e-3da99f441f42/1580971647653.jpg"/>
    <s v="https://www.commcarehq.org/a/demo-18/api/form/attachment/56a647c7-759d-40e2-8c9e-3da99f441f42/1580971655798.jpg"/>
    <s v="https://www.commcarehq.org/a/demo-18/api/form/attachment/56a647c7-759d-40e2-8c9e-3da99f441f42/1580971671673.jpg"/>
    <s v="https://www.commcarehq.org/a/demo-18/api/form/attachment/56a647c7-759d-40e2-8c9e-3da99f441f42/1580971699974.jpg"/>
    <d v="2020-02-06T06:48:21"/>
    <d v="2020-02-06T06:44:28"/>
    <s v="arnold"/>
    <d v="2020-02-06T06:48:42"/>
    <s v="56a647c7-759d-40e2-8c9e-3da99f441f42"/>
    <s v="https://www.commcarehq.org/a/demo-18/reports/form_data/56a647c7-759d-40e2-8c9e-3da99f441f42/"/>
  </r>
  <r>
    <x v="16"/>
    <n v="6.8"/>
    <d v="2020-03-20T00:00:00"/>
    <d v="2020-02-19T00:00:00"/>
    <s v="no"/>
    <s v="---"/>
    <s v="---"/>
    <s v="---"/>
    <x v="5"/>
    <s v="no"/>
    <s v="---"/>
    <s v="https://www.commcarehq.org/a/demo-18/api/form/attachment/20c6afdd-c665-4699-8cac-ab316ce9ccbd/1582096007171.jpg"/>
    <s v="https://www.commcarehq.org/a/demo-18/api/form/attachment/20c6afdd-c665-4699-8cac-ab316ce9ccbd/1582096021906.jpg"/>
    <s v="https://www.commcarehq.org/a/demo-18/api/form/attachment/20c6afdd-c665-4699-8cac-ab316ce9ccbd/1582096056008.jpg"/>
    <s v="https://www.commcarehq.org/a/demo-18/api/form/attachment/20c6afdd-c665-4699-8cac-ab316ce9ccbd/1582096065283.jpg"/>
    <s v="https://www.commcarehq.org/a/demo-18/api/form/attachment/20c6afdd-c665-4699-8cac-ab316ce9ccbd/1582096078876.jpg"/>
    <s v="https://www.commcarehq.org/a/demo-18/api/form/attachment/20c6afdd-c665-4699-8cac-ab316ce9ccbd/1582096088043.jpg"/>
    <d v="2020-02-19T07:08:09"/>
    <d v="2020-02-19T07:06:10"/>
    <s v="arnold"/>
    <d v="2020-02-19T07:08:31"/>
    <s v="20c6afdd-c665-4699-8cac-ab316ce9ccbd"/>
    <s v="https://www.commcarehq.org/a/demo-18/reports/form_data/20c6afdd-c665-4699-8cac-ab316ce9ccbd/"/>
  </r>
  <r>
    <x v="17"/>
    <n v="7.8"/>
    <d v="2019-12-11T00:00:00"/>
    <d v="2019-11-11T00:00:00"/>
    <s v="no"/>
    <s v="---"/>
    <s v="---"/>
    <s v="---"/>
    <x v="1"/>
    <s v="---"/>
    <s v="---"/>
    <s v="https://www.commcarehq.org/a/demo-18/api/form/attachment/2e70801f-b47a-4f80-abf8-6ef169cc727d/1573464870741.jpg"/>
    <s v="https://www.commcarehq.org/a/demo-18/api/form/attachment/2e70801f-b47a-4f80-abf8-6ef169cc727d/1573464888073.jpg"/>
    <s v="https://www.commcarehq.org/a/demo-18/api/form/attachment/2e70801f-b47a-4f80-abf8-6ef169cc727d/1573464928119.jpg"/>
    <s v="https://www.commcarehq.org/a/demo-18/api/form/attachment/2e70801f-b47a-4f80-abf8-6ef169cc727d/1573464941251.jpg"/>
    <s v="https://www.commcarehq.org/a/demo-18/api/form/attachment/2e70801f-b47a-4f80-abf8-6ef169cc727d/1573464970524.jpg"/>
    <s v="https://www.commcarehq.org/a/demo-18/api/form/attachment/2e70801f-b47a-4f80-abf8-6ef169cc727d/1573464989935.jpg"/>
    <d v="2019-11-11T09:36:32"/>
    <d v="2019-11-11T09:33:25"/>
    <s v="arnold"/>
    <d v="2019-11-11T10:09:00"/>
    <s v="2e70801f-b47a-4f80-abf8-6ef169cc727d"/>
    <s v="https://www.commcarehq.org/a/demo-18/reports/form_data/2e70801f-b47a-4f80-abf8-6ef169cc727d/"/>
  </r>
  <r>
    <x v="18"/>
    <n v="6"/>
    <d v="2020-01-03T00:00:00"/>
    <d v="2019-12-04T00:00:00"/>
    <s v="no"/>
    <s v="---"/>
    <s v="---"/>
    <s v="---"/>
    <x v="1"/>
    <s v="---"/>
    <s v="---"/>
    <s v="https://www.commcarehq.org/a/demo-18/api/form/attachment/b96017b8-db8a-4f68-a6d2-4915978b4581/1575446333936.jpg"/>
    <s v="https://www.commcarehq.org/a/demo-18/api/form/attachment/b96017b8-db8a-4f68-a6d2-4915978b4581/1575446361772.jpg"/>
    <s v="https://www.commcarehq.org/a/demo-18/api/form/attachment/b96017b8-db8a-4f68-a6d2-4915978b4581/1575446421237.jpg"/>
    <s v="https://www.commcarehq.org/a/demo-18/api/form/attachment/b96017b8-db8a-4f68-a6d2-4915978b4581/1575446429563.jpg"/>
    <s v="https://www.commcarehq.org/a/demo-18/api/form/attachment/b96017b8-db8a-4f68-a6d2-4915978b4581/1575446455143.jpg"/>
    <s v="https://www.commcarehq.org/a/demo-18/api/form/attachment/b96017b8-db8a-4f68-a6d2-4915978b4581/1575446465029.jpg"/>
    <d v="2019-12-04T08:01:06"/>
    <d v="2019-12-04T07:58:12"/>
    <s v="arnold"/>
    <d v="2019-12-04T08:01:22"/>
    <s v="b96017b8-db8a-4f68-a6d2-4915978b4581"/>
    <s v="https://www.commcarehq.org/a/demo-18/reports/form_data/b96017b8-db8a-4f68-a6d2-4915978b4581/"/>
  </r>
  <r>
    <x v="19"/>
    <n v="7.8"/>
    <d v="2019-12-25T00:00:00"/>
    <d v="2019-11-25T00:00:00"/>
    <s v="no"/>
    <s v="---"/>
    <s v="---"/>
    <s v="---"/>
    <x v="6"/>
    <s v="---"/>
    <s v="---"/>
    <s v="https://www.commcarehq.org/a/demo-18/api/form/attachment/f00f76d6-a81e-4119-936e-71504e09d534/1574668267568.jpg"/>
    <s v="https://www.commcarehq.org/a/demo-18/api/form/attachment/f00f76d6-a81e-4119-936e-71504e09d534/1574668281845.jpg"/>
    <s v="https://www.commcarehq.org/a/demo-18/api/form/attachment/f00f76d6-a81e-4119-936e-71504e09d534/1574668336810.jpg"/>
    <s v="https://www.commcarehq.org/a/demo-18/api/form/attachment/f00f76d6-a81e-4119-936e-71504e09d534/1574668347107.jpg"/>
    <s v="https://www.commcarehq.org/a/demo-18/api/form/attachment/f00f76d6-a81e-4119-936e-71504e09d534/1574668368223.jpg"/>
    <s v="https://www.commcarehq.org/a/demo-18/api/form/attachment/f00f76d6-a81e-4119-936e-71504e09d534/1574668383257.jpg"/>
    <d v="2019-11-25T07:53:05"/>
    <d v="2019-11-25T07:50:15"/>
    <s v="arnold"/>
    <d v="2019-11-25T07:53:18"/>
    <s v="f00f76d6-a81e-4119-936e-71504e09d534"/>
    <s v="https://www.commcarehq.org/a/demo-18/reports/form_data/f00f76d6-a81e-4119-936e-71504e09d534/"/>
  </r>
  <r>
    <x v="20"/>
    <n v="6.1"/>
    <d v="2019-12-25T00:00:00"/>
    <d v="2019-11-25T00:00:00"/>
    <s v="no"/>
    <s v="---"/>
    <s v="---"/>
    <s v="---"/>
    <x v="1"/>
    <s v="---"/>
    <s v="---"/>
    <s v="https://www.commcarehq.org/a/demo-18/api/form/attachment/bbb5249b-b2cd-46c8-9452-49fbc6683083/1574672915525.jpg"/>
    <s v="https://www.commcarehq.org/a/demo-18/api/form/attachment/bbb5249b-b2cd-46c8-9452-49fbc6683083/1574672934109.jpg"/>
    <s v="https://www.commcarehq.org/a/demo-18/api/form/attachment/bbb5249b-b2cd-46c8-9452-49fbc6683083/1574672977522.jpg"/>
    <s v="https://www.commcarehq.org/a/demo-18/api/form/attachment/bbb5249b-b2cd-46c8-9452-49fbc6683083/1574672985489.jpg"/>
    <s v="https://www.commcarehq.org/a/demo-18/api/form/attachment/bbb5249b-b2cd-46c8-9452-49fbc6683083/1574673017565.jpg"/>
    <s v="https://www.commcarehq.org/a/demo-18/api/form/attachment/bbb5249b-b2cd-46c8-9452-49fbc6683083/1574673026142.jpg"/>
    <d v="2019-11-25T09:10:28"/>
    <d v="2019-11-25T09:07:52"/>
    <s v="arnold"/>
    <d v="2019-11-25T09:10:55"/>
    <s v="bbb5249b-b2cd-46c8-9452-49fbc6683083"/>
    <s v="https://www.commcarehq.org/a/demo-18/reports/form_data/bbb5249b-b2cd-46c8-9452-49fbc6683083/"/>
  </r>
  <r>
    <x v="21"/>
    <n v="6.1"/>
    <d v="2019-12-28T00:00:00"/>
    <d v="2019-11-28T00:00:00"/>
    <s v="no"/>
    <s v="---"/>
    <s v="---"/>
    <s v="---"/>
    <x v="1"/>
    <s v="---"/>
    <s v="---"/>
    <s v="https://www.commcarehq.org/a/demo-18/api/form/attachment/a2e56cab-088e-41ee-9f57-20cd8bab17c4/1574932782820.jpg"/>
    <s v="https://www.commcarehq.org/a/demo-18/api/form/attachment/a2e56cab-088e-41ee-9f57-20cd8bab17c4/1574932799455.jpg"/>
    <s v="https://www.commcarehq.org/a/demo-18/api/form/attachment/a2e56cab-088e-41ee-9f57-20cd8bab17c4/1574932842271.jpg"/>
    <s v="https://www.commcarehq.org/a/demo-18/api/form/attachment/a2e56cab-088e-41ee-9f57-20cd8bab17c4/1574932852764.jpg"/>
    <s v="https://www.commcarehq.org/a/demo-18/api/form/attachment/a2e56cab-088e-41ee-9f57-20cd8bab17c4/1574932887381.jpg"/>
    <s v="https://www.commcarehq.org/a/demo-18/api/form/attachment/a2e56cab-088e-41ee-9f57-20cd8bab17c4/1574932897730.jpg"/>
    <d v="2019-11-28T09:21:39"/>
    <d v="2019-11-28T09:18:43"/>
    <s v="arnold"/>
    <d v="2019-11-28T09:21:54"/>
    <s v="a2e56cab-088e-41ee-9f57-20cd8bab17c4"/>
    <s v="https://www.commcarehq.org/a/demo-18/reports/form_data/a2e56cab-088e-41ee-9f57-20cd8bab17c4/"/>
  </r>
  <r>
    <x v="22"/>
    <n v="7"/>
    <d v="2020-01-15T00:00:00"/>
    <d v="2019-12-16T00:00:00"/>
    <s v="no"/>
    <s v="---"/>
    <s v="---"/>
    <s v="---"/>
    <x v="7"/>
    <s v="---"/>
    <s v="---"/>
    <s v="https://www.commcarehq.org/a/demo-18/api/form/attachment/c48841b8-1729-4574-a035-3028f8e6e1d4/1576488997530.jpg"/>
    <s v="https://www.commcarehq.org/a/demo-18/api/form/attachment/c48841b8-1729-4574-a035-3028f8e6e1d4/1576489012810.jpg"/>
    <s v="https://www.commcarehq.org/a/demo-18/api/form/attachment/c48841b8-1729-4574-a035-3028f8e6e1d4/1576489061159.jpg"/>
    <s v="https://www.commcarehq.org/a/demo-18/api/form/attachment/c48841b8-1729-4574-a035-3028f8e6e1d4/1576489075336.jpg"/>
    <s v="https://www.commcarehq.org/a/demo-18/api/form/attachment/c48841b8-1729-4574-a035-3028f8e6e1d4/1576489115041.jpg"/>
    <s v="https://www.commcarehq.org/a/demo-18/api/form/attachment/c48841b8-1729-4574-a035-3028f8e6e1d4/1576489126869.jpg"/>
    <d v="2019-12-16T09:38:48"/>
    <d v="2019-12-16T09:35:48"/>
    <s v="arnold"/>
    <d v="2019-12-16T09:39:07"/>
    <s v="c48841b8-1729-4574-a035-3028f8e6e1d4"/>
    <s v="https://www.commcarehq.org/a/demo-18/reports/form_data/c48841b8-1729-4574-a035-3028f8e6e1d4/"/>
  </r>
  <r>
    <x v="23"/>
    <n v="7"/>
    <d v="2019-12-18T00:00:00"/>
    <d v="2019-11-18T00:00:00"/>
    <s v="no"/>
    <s v="---"/>
    <s v="---"/>
    <s v="---"/>
    <x v="8"/>
    <s v="---"/>
    <s v="---"/>
    <s v="https://www.commcarehq.org/a/demo-18/api/form/attachment/1f8dfa3f-b246-46c4-805a-ab9d93c8994d/1574064956207.jpg"/>
    <s v="https://www.commcarehq.org/a/demo-18/api/form/attachment/1f8dfa3f-b246-46c4-805a-ab9d93c8994d/1574064969758.jpg"/>
    <s v="https://www.commcarehq.org/a/demo-18/api/form/attachment/1f8dfa3f-b246-46c4-805a-ab9d93c8994d/1574065025776.jpg"/>
    <s v="https://www.commcarehq.org/a/demo-18/api/form/attachment/1f8dfa3f-b246-46c4-805a-ab9d93c8994d/1574065036766.jpg"/>
    <s v="https://www.commcarehq.org/a/demo-18/api/form/attachment/1f8dfa3f-b246-46c4-805a-ab9d93c8994d/1574065059061.jpg"/>
    <s v="https://www.commcarehq.org/a/demo-18/api/form/attachment/1f8dfa3f-b246-46c4-805a-ab9d93c8994d/1574065070156.jpg"/>
    <d v="2019-11-18T08:17:57"/>
    <d v="2019-11-18T08:15:06"/>
    <s v="arnold"/>
    <d v="2019-11-18T10:19:23"/>
    <s v="1f8dfa3f-b246-46c4-805a-ab9d93c8994d"/>
    <s v="https://www.commcarehq.org/a/demo-18/reports/form_data/1f8dfa3f-b246-46c4-805a-ab9d93c8994d/"/>
  </r>
  <r>
    <x v="24"/>
    <n v="7.7"/>
    <d v="2019-12-18T00:00:00"/>
    <d v="2019-11-18T00:00:00"/>
    <s v="no"/>
    <s v="---"/>
    <s v="---"/>
    <s v="---"/>
    <x v="6"/>
    <s v="---"/>
    <s v="---"/>
    <s v="https://www.commcarehq.org/a/demo-18/api/form/attachment/ac419d6b-6a3e-48c8-be17-4c50aa70037a/1574069814540.jpg"/>
    <s v="https://www.commcarehq.org/a/demo-18/api/form/attachment/ac419d6b-6a3e-48c8-be17-4c50aa70037a/1574069839963.jpg"/>
    <s v="https://www.commcarehq.org/a/demo-18/api/form/attachment/ac419d6b-6a3e-48c8-be17-4c50aa70037a/1574069933953.jpg"/>
    <s v="https://www.commcarehq.org/a/demo-18/api/form/attachment/ac419d6b-6a3e-48c8-be17-4c50aa70037a/1574069945154.jpg"/>
    <s v="https://www.commcarehq.org/a/demo-18/api/form/attachment/ac419d6b-6a3e-48c8-be17-4c50aa70037a/1574069975559.jpg"/>
    <s v="https://www.commcarehq.org/a/demo-18/api/form/attachment/ac419d6b-6a3e-48c8-be17-4c50aa70037a/1574069987840.jpg"/>
    <d v="2019-11-18T09:39:49"/>
    <d v="2019-11-18T09:36:11"/>
    <s v="arnold"/>
    <d v="2019-11-18T10:21:23"/>
    <s v="ac419d6b-6a3e-48c8-be17-4c50aa70037a"/>
    <s v="https://www.commcarehq.org/a/demo-18/reports/form_data/ac419d6b-6a3e-48c8-be17-4c50aa70037a/"/>
  </r>
  <r>
    <x v="25"/>
    <n v="5.7"/>
    <d v="2019-12-21T00:00:00"/>
    <d v="2019-11-21T00:00:00"/>
    <s v="no"/>
    <s v="---"/>
    <s v="---"/>
    <s v="---"/>
    <x v="1"/>
    <s v="---"/>
    <s v="---"/>
    <s v="https://www.commcarehq.org/a/demo-18/api/form/attachment/33fb7ac3-612d-4d9d-8027-90b0cb88e382/1574321339826.jpg"/>
    <s v="https://www.commcarehq.org/a/demo-18/api/form/attachment/33fb7ac3-612d-4d9d-8027-90b0cb88e382/1574321356292.jpg"/>
    <s v="https://www.commcarehq.org/a/demo-18/api/form/attachment/33fb7ac3-612d-4d9d-8027-90b0cb88e382/1574321400979.jpg"/>
    <s v="https://www.commcarehq.org/a/demo-18/api/form/attachment/33fb7ac3-612d-4d9d-8027-90b0cb88e382/1574321410220.jpg"/>
    <s v="https://www.commcarehq.org/a/demo-18/api/form/attachment/33fb7ac3-612d-4d9d-8027-90b0cb88e382/1574321428479.jpg"/>
    <s v="https://www.commcarehq.org/a/demo-18/api/form/attachment/33fb7ac3-612d-4d9d-8027-90b0cb88e382/1574321442224.jpg"/>
    <d v="2019-11-21T07:30:46"/>
    <d v="2019-11-21T07:27:48"/>
    <s v="arnold"/>
    <d v="2019-11-21T07:31:00"/>
    <s v="33fb7ac3-612d-4d9d-8027-90b0cb88e382"/>
    <s v="https://www.commcarehq.org/a/demo-18/reports/form_data/33fb7ac3-612d-4d9d-8027-90b0cb88e382/"/>
  </r>
  <r>
    <x v="26"/>
    <n v="5.9"/>
    <d v="2020-03-18T00:00:00"/>
    <d v="2020-02-17T00:00:00"/>
    <s v="no"/>
    <s v="---"/>
    <s v="---"/>
    <s v="---"/>
    <x v="2"/>
    <s v="no"/>
    <s v="---"/>
    <s v="https://www.commcarehq.org/a/demo-18/api/form/attachment/782d9cc1-55f1-44e7-896e-f309f348c64b/1581926699359.jpg"/>
    <s v="https://www.commcarehq.org/a/demo-18/api/form/attachment/782d9cc1-55f1-44e7-896e-f309f348c64b/1581926714363.jpg"/>
    <s v="https://www.commcarehq.org/a/demo-18/api/form/attachment/782d9cc1-55f1-44e7-896e-f309f348c64b/1581926741625.jpg"/>
    <s v="https://www.commcarehq.org/a/demo-18/api/form/attachment/782d9cc1-55f1-44e7-896e-f309f348c64b/1581926750206.jpg"/>
    <s v="https://www.commcarehq.org/a/demo-18/api/form/attachment/782d9cc1-55f1-44e7-896e-f309f348c64b/1581926764932.jpg"/>
    <s v="https://www.commcarehq.org/a/demo-18/api/form/attachment/782d9cc1-55f1-44e7-896e-f309f348c64b/1581926789257.jpg"/>
    <d v="2020-02-17T08:06:32"/>
    <d v="2020-02-17T08:04:23"/>
    <s v="arnold"/>
    <d v="2020-02-17T10:35:32"/>
    <s v="782d9cc1-55f1-44e7-896e-f309f348c64b"/>
    <s v="https://www.commcarehq.org/a/demo-18/reports/form_data/782d9cc1-55f1-44e7-896e-f309f348c64b/"/>
  </r>
  <r>
    <x v="27"/>
    <n v="4.5999999999999996"/>
    <d v="2020-03-11T00:00:00"/>
    <d v="2020-02-10T00:00:00"/>
    <s v="no"/>
    <s v="---"/>
    <s v="---"/>
    <s v="---"/>
    <x v="0"/>
    <s v="no"/>
    <s v="---"/>
    <s v="https://www.commcarehq.org/a/demo-18/api/form/attachment/1dd59edf-2922-4624-b53e-8c251ffffea6/1581315674509.jpg"/>
    <s v="https://www.commcarehq.org/a/demo-18/api/form/attachment/1dd59edf-2922-4624-b53e-8c251ffffea6/1581315695404.jpg"/>
    <s v="https://www.commcarehq.org/a/demo-18/api/form/attachment/1dd59edf-2922-4624-b53e-8c251ffffea6/1581315766716.jpg"/>
    <s v="https://www.commcarehq.org/a/demo-18/api/form/attachment/1dd59edf-2922-4624-b53e-8c251ffffea6/1581315775831.jpg"/>
    <s v="https://www.commcarehq.org/a/demo-18/api/form/attachment/1dd59edf-2922-4624-b53e-8c251ffffea6/1581315787617.jpg"/>
    <s v="https://www.commcarehq.org/a/demo-18/api/form/attachment/1dd59edf-2922-4624-b53e-8c251ffffea6/1581315796651.jpg"/>
    <d v="2020-02-10T06:23:18"/>
    <d v="2020-02-10T06:20:30"/>
    <s v="arnold"/>
    <d v="2020-02-10T06:23:43"/>
    <s v="1dd59edf-2922-4624-b53e-8c251ffffea6"/>
    <s v="https://www.commcarehq.org/a/demo-18/reports/form_data/1dd59edf-2922-4624-b53e-8c251ffffea6/"/>
  </r>
  <r>
    <x v="28"/>
    <n v="5.2"/>
    <d v="2020-03-15T00:00:00"/>
    <d v="2020-02-14T00:00:00"/>
    <s v="no"/>
    <s v="---"/>
    <s v="---"/>
    <s v="---"/>
    <x v="7"/>
    <s v="no"/>
    <s v="---"/>
    <s v="https://www.commcarehq.org/a/demo-18/api/form/attachment/0585d3e7-a5e9-45c7-b182-c44e65fa7889/1581664946527.jpg"/>
    <s v="https://www.commcarehq.org/a/demo-18/api/form/attachment/0585d3e7-a5e9-45c7-b182-c44e65fa7889/1581664964127.jpg"/>
    <s v="https://www.commcarehq.org/a/demo-18/api/form/attachment/0585d3e7-a5e9-45c7-b182-c44e65fa7889/1581665061127.jpg"/>
    <s v="https://www.commcarehq.org/a/demo-18/api/form/attachment/0585d3e7-a5e9-45c7-b182-c44e65fa7889/1581665070012.jpg"/>
    <s v="https://www.commcarehq.org/a/demo-18/api/form/attachment/0585d3e7-a5e9-45c7-b182-c44e65fa7889/1581665086927.jpg"/>
    <s v="https://www.commcarehq.org/a/demo-18/api/form/attachment/0585d3e7-a5e9-45c7-b182-c44e65fa7889/1581665095643.jpg"/>
    <d v="2020-02-14T07:24:57"/>
    <d v="2020-02-14T07:21:53"/>
    <s v="arnold"/>
    <d v="2020-02-14T07:25:24"/>
    <s v="0585d3e7-a5e9-45c7-b182-c44e65fa7889"/>
    <s v="https://www.commcarehq.org/a/demo-18/reports/form_data/0585d3e7-a5e9-45c7-b182-c44e65fa7889/"/>
  </r>
  <r>
    <x v="29"/>
    <n v="5.5"/>
    <d v="2020-03-22T00:00:00"/>
    <d v="2020-02-21T00:00:00"/>
    <s v="no"/>
    <s v="---"/>
    <s v="---"/>
    <s v="---"/>
    <x v="6"/>
    <s v="no"/>
    <s v="---"/>
    <s v="https://www.commcarehq.org/a/demo-18/api/form/attachment/59428a7f-2625-4ee6-a58c-c0d276df09f5/1582267619226.jpg"/>
    <s v="https://www.commcarehq.org/a/demo-18/api/form/attachment/59428a7f-2625-4ee6-a58c-c0d276df09f5/1582267640449.jpg"/>
    <s v="https://www.commcarehq.org/a/demo-18/api/form/attachment/59428a7f-2625-4ee6-a58c-c0d276df09f5/1582267705303.jpg"/>
    <s v="https://www.commcarehq.org/a/demo-18/api/form/attachment/59428a7f-2625-4ee6-a58c-c0d276df09f5/1582267714438.jpg"/>
    <s v="https://www.commcarehq.org/a/demo-18/api/form/attachment/59428a7f-2625-4ee6-a58c-c0d276df09f5/1582267747952.jpg"/>
    <s v="https://www.commcarehq.org/a/demo-18/api/form/attachment/59428a7f-2625-4ee6-a58c-c0d276df09f5/1582267757450.jpg"/>
    <d v="2020-02-21T06:49:18"/>
    <d v="2020-02-21T06:46:24"/>
    <s v="arnold"/>
    <d v="2020-02-21T06:49:44"/>
    <s v="59428a7f-2625-4ee6-a58c-c0d276df09f5"/>
    <s v="https://www.commcarehq.org/a/demo-18/reports/form_data/59428a7f-2625-4ee6-a58c-c0d276df09f5/"/>
  </r>
  <r>
    <x v="30"/>
    <n v="5.8"/>
    <d v="2020-03-22T00:00:00"/>
    <d v="2020-02-21T00:00:00"/>
    <s v="no"/>
    <s v="---"/>
    <s v="---"/>
    <s v="---"/>
    <x v="0"/>
    <s v="no"/>
    <s v="---"/>
    <s v="https://www.commcarehq.org/a/demo-18/api/form/attachment/c341b218-395f-4a48-9614-bab55ef0c74c/1582268759872.jpg"/>
    <s v="https://www.commcarehq.org/a/demo-18/api/form/attachment/c341b218-395f-4a48-9614-bab55ef0c74c/1582268775901.jpg"/>
    <s v="https://www.commcarehq.org/a/demo-18/api/form/attachment/c341b218-395f-4a48-9614-bab55ef0c74c/1582268927129.jpg"/>
    <s v="https://www.commcarehq.org/a/demo-18/api/form/attachment/c341b218-395f-4a48-9614-bab55ef0c74c/1582268935374.jpg"/>
    <s v="https://www.commcarehq.org/a/demo-18/api/form/attachment/c341b218-395f-4a48-9614-bab55ef0c74c/1582268948818.jpg"/>
    <s v="https://www.commcarehq.org/a/demo-18/api/form/attachment/c341b218-395f-4a48-9614-bab55ef0c74c/1582268958103.jpg"/>
    <d v="2020-02-21T07:09:19"/>
    <d v="2020-02-21T07:05:21"/>
    <s v="arnold"/>
    <d v="2020-02-21T07:09:41"/>
    <s v="c341b218-395f-4a48-9614-bab55ef0c74c"/>
    <s v="https://www.commcarehq.org/a/demo-18/reports/form_data/c341b218-395f-4a48-9614-bab55ef0c74c/"/>
  </r>
  <r>
    <x v="31"/>
    <n v="6.7"/>
    <d v="2020-03-22T00:00:00"/>
    <d v="2020-02-21T00:00:00"/>
    <s v="no"/>
    <s v="---"/>
    <s v="---"/>
    <s v="---"/>
    <x v="0"/>
    <s v="no"/>
    <s v="---"/>
    <s v="https://www.commcarehq.org/a/demo-18/api/form/attachment/dd528639-4851-49fd-8932-9b782bc4cd03/1582269149900.jpg"/>
    <s v="https://www.commcarehq.org/a/demo-18/api/form/attachment/dd528639-4851-49fd-8932-9b782bc4cd03/1582269165696.jpg"/>
    <s v="https://www.commcarehq.org/a/demo-18/api/form/attachment/dd528639-4851-49fd-8932-9b782bc4cd03/1582269217862.jpg"/>
    <s v="https://www.commcarehq.org/a/demo-18/api/form/attachment/dd528639-4851-49fd-8932-9b782bc4cd03/1582269227458.jpg"/>
    <s v="https://www.commcarehq.org/a/demo-18/api/form/attachment/dd528639-4851-49fd-8932-9b782bc4cd03/1582269243674.jpg"/>
    <s v="https://www.commcarehq.org/a/demo-18/api/form/attachment/dd528639-4851-49fd-8932-9b782bc4cd03/1582269253582.jpg"/>
    <d v="2020-02-21T07:14:15"/>
    <d v="2020-02-21T07:12:02"/>
    <s v="arnold"/>
    <d v="2020-02-21T07:14:37"/>
    <s v="dd528639-4851-49fd-8932-9b782bc4cd03"/>
    <s v="https://www.commcarehq.org/a/demo-18/reports/form_data/dd528639-4851-49fd-8932-9b782bc4cd03/"/>
  </r>
  <r>
    <x v="32"/>
    <n v="6.8"/>
    <d v="2020-03-21T00:00:00"/>
    <d v="2020-02-20T00:00:00"/>
    <s v="no"/>
    <s v="---"/>
    <s v="---"/>
    <s v="---"/>
    <x v="0"/>
    <s v="no"/>
    <s v="---"/>
    <s v="https://www.commcarehq.org/a/demo-18/api/form/attachment/ea923db8-af7e-4614-9fa6-621614c60c7f/1582190841122.jpg"/>
    <s v="https://www.commcarehq.org/a/demo-18/api/form/attachment/ea923db8-af7e-4614-9fa6-621614c60c7f/1582190857643.jpg"/>
    <s v="https://www.commcarehq.org/a/demo-18/api/form/attachment/ea923db8-af7e-4614-9fa6-621614c60c7f/1582190889863.jpg"/>
    <s v="https://www.commcarehq.org/a/demo-18/api/form/attachment/ea923db8-af7e-4614-9fa6-621614c60c7f/1582190901996.jpg"/>
    <s v="https://www.commcarehq.org/a/demo-18/api/form/attachment/ea923db8-af7e-4614-9fa6-621614c60c7f/1582190917289.jpg"/>
    <s v="https://www.commcarehq.org/a/demo-18/api/form/attachment/ea923db8-af7e-4614-9fa6-621614c60c7f/1582190926441.jpg"/>
    <d v="2020-02-20T09:28:47"/>
    <d v="2020-02-20T09:26:42"/>
    <s v="arnold"/>
    <d v="2020-02-20T09:29:10"/>
    <s v="ea923db8-af7e-4614-9fa6-621614c60c7f"/>
    <s v="https://www.commcarehq.org/a/demo-18/reports/form_data/ea923db8-af7e-4614-9fa6-621614c60c7f/"/>
  </r>
  <r>
    <x v="33"/>
    <n v="5.3"/>
    <d v="2020-03-21T00:00:00"/>
    <d v="2020-02-20T00:00:00"/>
    <s v="no"/>
    <s v="---"/>
    <s v="---"/>
    <s v="---"/>
    <x v="2"/>
    <s v="no"/>
    <s v="---"/>
    <s v="https://www.commcarehq.org/a/demo-18/api/form/attachment/647c1f52-8eaf-47db-89f5-cfab3ede7076/1582181015343.jpg"/>
    <s v="https://www.commcarehq.org/a/demo-18/api/form/attachment/647c1f52-8eaf-47db-89f5-cfab3ede7076/1582181029731.jpg"/>
    <s v="https://www.commcarehq.org/a/demo-18/api/form/attachment/647c1f52-8eaf-47db-89f5-cfab3ede7076/1582181119792.jpg"/>
    <s v="https://www.commcarehq.org/a/demo-18/api/form/attachment/647c1f52-8eaf-47db-89f5-cfab3ede7076/1582181128873.jpg"/>
    <s v="https://www.commcarehq.org/a/demo-18/api/form/attachment/647c1f52-8eaf-47db-89f5-cfab3ede7076/1582181140465.jpg"/>
    <s v="https://www.commcarehq.org/a/demo-18/api/form/attachment/647c1f52-8eaf-47db-89f5-cfab3ede7076/1582181148634.jpg"/>
    <d v="2020-02-20T06:45:50"/>
    <d v="2020-02-20T06:42:52"/>
    <s v="arnold"/>
    <d v="2020-02-20T06:46:09"/>
    <s v="647c1f52-8eaf-47db-89f5-cfab3ede7076"/>
    <s v="https://www.commcarehq.org/a/demo-18/reports/form_data/647c1f52-8eaf-47db-89f5-cfab3ede7076/"/>
  </r>
  <r>
    <x v="34"/>
    <n v="6.5"/>
    <d v="2020-03-21T00:00:00"/>
    <d v="2020-02-20T00:00:00"/>
    <s v="no"/>
    <s v="---"/>
    <s v="---"/>
    <s v="---"/>
    <x v="2"/>
    <s v="no"/>
    <s v="---"/>
    <s v="https://www.commcarehq.org/a/demo-18/api/form/attachment/dd91e468-7ba6-46ad-8853-f4bc4497aba1/1582182319357.jpg"/>
    <s v="https://www.commcarehq.org/a/demo-18/api/form/attachment/dd91e468-7ba6-46ad-8853-f4bc4497aba1/1582182337282.jpg"/>
    <s v="https://www.commcarehq.org/a/demo-18/api/form/attachment/dd91e468-7ba6-46ad-8853-f4bc4497aba1/1582182365423.jpg"/>
    <s v="https://www.commcarehq.org/a/demo-18/api/form/attachment/dd91e468-7ba6-46ad-8853-f4bc4497aba1/1582182374331.jpg"/>
    <s v="https://www.commcarehq.org/a/demo-18/api/form/attachment/dd91e468-7ba6-46ad-8853-f4bc4497aba1/1582182393662.jpg"/>
    <s v="https://www.commcarehq.org/a/demo-18/api/form/attachment/dd91e468-7ba6-46ad-8853-f4bc4497aba1/1582182408278.jpg"/>
    <d v="2020-02-20T07:06:50"/>
    <d v="2020-02-20T07:04:45"/>
    <s v="arnold"/>
    <d v="2020-02-20T07:07:13"/>
    <s v="dd91e468-7ba6-46ad-8853-f4bc4497aba1"/>
    <s v="https://www.commcarehq.org/a/demo-18/reports/form_data/dd91e468-7ba6-46ad-8853-f4bc4497aba1/"/>
  </r>
  <r>
    <x v="35"/>
    <n v="5.0999999999999996"/>
    <d v="2020-03-25T00:00:00"/>
    <d v="2020-02-24T00:00:00"/>
    <s v="no"/>
    <s v="---"/>
    <s v="---"/>
    <s v="---"/>
    <x v="0"/>
    <s v="no"/>
    <s v="---"/>
    <s v="https://www.commcarehq.org/a/demo-18/api/form/attachment/b11f721c-40b5-4f94-a5db-653b302f12ed/1582525254077.jpg"/>
    <s v="https://www.commcarehq.org/a/demo-18/api/form/attachment/b11f721c-40b5-4f94-a5db-653b302f12ed/1582525269951.jpg"/>
    <s v="https://www.commcarehq.org/a/demo-18/api/form/attachment/b11f721c-40b5-4f94-a5db-653b302f12ed/1582525302406.jpg"/>
    <s v="https://www.commcarehq.org/a/demo-18/api/form/attachment/b11f721c-40b5-4f94-a5db-653b302f12ed/1582525311844.jpg"/>
    <s v="https://www.commcarehq.org/a/demo-18/api/form/attachment/b11f721c-40b5-4f94-a5db-653b302f12ed/1582525354839.jpg"/>
    <s v="https://www.commcarehq.org/a/demo-18/api/form/attachment/b11f721c-40b5-4f94-a5db-653b302f12ed/1582525369142.jpg"/>
    <d v="2020-02-24T06:22:50"/>
    <d v="2020-02-24T06:20:11"/>
    <s v="arnold"/>
    <d v="2020-02-24T06:23:11"/>
    <s v="b11f721c-40b5-4f94-a5db-653b302f12ed"/>
    <s v="https://www.commcarehq.org/a/demo-18/reports/form_data/b11f721c-40b5-4f94-a5db-653b302f12ed/"/>
  </r>
  <r>
    <x v="36"/>
    <n v="8"/>
    <d v="2020-03-28T00:00:00"/>
    <d v="2020-02-27T00:00:00"/>
    <s v="no"/>
    <s v="---"/>
    <s v="---"/>
    <s v="---"/>
    <x v="0"/>
    <s v="no"/>
    <s v="---"/>
    <s v="https://www.commcarehq.org/a/demo-18/api/form/attachment/abb685e7-5ae0-49fb-94e1-f3b3eb5da2f1/1582785669689.jpg"/>
    <s v="https://www.commcarehq.org/a/demo-18/api/form/attachment/abb685e7-5ae0-49fb-94e1-f3b3eb5da2f1/1582785683841.jpg"/>
    <s v="https://www.commcarehq.org/a/demo-18/api/form/attachment/abb685e7-5ae0-49fb-94e1-f3b3eb5da2f1/1582785724037.jpg"/>
    <s v="https://www.commcarehq.org/a/demo-18/api/form/attachment/abb685e7-5ae0-49fb-94e1-f3b3eb5da2f1/1582785732137.jpg"/>
    <s v="https://www.commcarehq.org/a/demo-18/api/form/attachment/abb685e7-5ae0-49fb-94e1-f3b3eb5da2f1/1582785751550.jpg"/>
    <s v="https://www.commcarehq.org/a/demo-18/api/form/attachment/abb685e7-5ae0-49fb-94e1-f3b3eb5da2f1/1582785759693.jpg"/>
    <d v="2020-02-27T06:42:41"/>
    <d v="2020-02-27T06:40:28"/>
    <s v="arnold"/>
    <d v="2020-02-27T06:43:02"/>
    <s v="abb685e7-5ae0-49fb-94e1-f3b3eb5da2f1"/>
    <s v="https://www.commcarehq.org/a/demo-18/reports/form_data/abb685e7-5ae0-49fb-94e1-f3b3eb5da2f1/"/>
  </r>
  <r>
    <x v="37"/>
    <n v="5.0999999999999996"/>
    <d v="2020-01-11T00:00:00"/>
    <d v="2019-12-12T00:00:00"/>
    <s v="no"/>
    <s v="---"/>
    <s v="---"/>
    <s v="---"/>
    <x v="1"/>
    <s v="---"/>
    <s v="---"/>
    <s v="https://www.commcarehq.org/a/demo-18/api/form/attachment/379ecb8a-255d-48c2-83b8-cd04b4758eee/1576136504195.jpg"/>
    <s v="https://www.commcarehq.org/a/demo-18/api/form/attachment/379ecb8a-255d-48c2-83b8-cd04b4758eee/1576136530854.jpg"/>
    <s v="https://www.commcarehq.org/a/demo-18/api/form/attachment/379ecb8a-255d-48c2-83b8-cd04b4758eee/1576136656075.jpg"/>
    <s v="https://www.commcarehq.org/a/demo-18/api/form/attachment/379ecb8a-255d-48c2-83b8-cd04b4758eee/1576136673365.jpg"/>
    <s v="https://www.commcarehq.org/a/demo-18/api/form/attachment/379ecb8a-255d-48c2-83b8-cd04b4758eee/1576136701932.jpg"/>
    <s v="https://www.commcarehq.org/a/demo-18/api/form/attachment/379ecb8a-255d-48c2-83b8-cd04b4758eee/1576136721001.jpg"/>
    <d v="2019-12-12T07:45:22"/>
    <d v="2019-12-12T07:40:50"/>
    <s v="arnold"/>
    <d v="2019-12-12T07:51:34"/>
    <s v="379ecb8a-255d-48c2-83b8-cd04b4758eee"/>
    <s v="https://www.commcarehq.org/a/demo-18/reports/form_data/379ecb8a-255d-48c2-83b8-cd04b4758eee/"/>
  </r>
  <r>
    <x v="38"/>
    <n v="6.2"/>
    <d v="2020-01-12T00:00:00"/>
    <d v="2019-12-13T00:00:00"/>
    <s v="no"/>
    <s v="---"/>
    <s v="---"/>
    <s v="---"/>
    <x v="0"/>
    <s v="---"/>
    <s v="---"/>
    <s v="https://www.commcarehq.org/a/demo-18/api/form/attachment/34e68453-df2c-45ed-9166-baa65e8e3a9c/1576222610988.jpg"/>
    <s v="https://www.commcarehq.org/a/demo-18/api/form/attachment/34e68453-df2c-45ed-9166-baa65e8e3a9c/1576222630001.jpg"/>
    <s v="https://www.commcarehq.org/a/demo-18/api/form/attachment/34e68453-df2c-45ed-9166-baa65e8e3a9c/1576222712522.jpg"/>
    <s v="https://www.commcarehq.org/a/demo-18/api/form/attachment/34e68453-df2c-45ed-9166-baa65e8e3a9c/1576222720772.jpg"/>
    <s v="https://www.commcarehq.org/a/demo-18/api/form/attachment/34e68453-df2c-45ed-9166-baa65e8e3a9c/1576222737301.jpg"/>
    <s v="https://www.commcarehq.org/a/demo-18/api/form/attachment/34e68453-df2c-45ed-9166-baa65e8e3a9c/1576222764739.jpg"/>
    <d v="2019-12-13T07:39:26"/>
    <d v="2019-12-13T07:35:57"/>
    <s v="arnold"/>
    <d v="2019-12-13T07:39:44"/>
    <s v="34e68453-df2c-45ed-9166-baa65e8e3a9c"/>
    <s v="https://www.commcarehq.org/a/demo-18/reports/form_data/34e68453-df2c-45ed-9166-baa65e8e3a9c/"/>
  </r>
  <r>
    <x v="39"/>
    <n v="6.6"/>
    <d v="2020-01-12T00:00:00"/>
    <d v="2019-12-13T00:00:00"/>
    <s v="no"/>
    <s v="---"/>
    <s v="---"/>
    <s v="---"/>
    <x v="0"/>
    <s v="---"/>
    <s v="---"/>
    <s v="https://www.commcarehq.org/a/demo-18/api/form/attachment/7539d4c9-9690-474d-9e0d-9c6c78fe708b/1576223565877.jpg"/>
    <s v="https://www.commcarehq.org/a/demo-18/api/form/attachment/7539d4c9-9690-474d-9e0d-9c6c78fe708b/1576223579413.jpg"/>
    <s v="https://www.commcarehq.org/a/demo-18/api/form/attachment/7539d4c9-9690-474d-9e0d-9c6c78fe708b/1576223626907.jpg"/>
    <s v="https://www.commcarehq.org/a/demo-18/api/form/attachment/7539d4c9-9690-474d-9e0d-9c6c78fe708b/1576223641645.jpg"/>
    <s v="https://www.commcarehq.org/a/demo-18/api/form/attachment/7539d4c9-9690-474d-9e0d-9c6c78fe708b/1576223667780.jpg"/>
    <s v="https://www.commcarehq.org/a/demo-18/api/form/attachment/7539d4c9-9690-474d-9e0d-9c6c78fe708b/1576223677679.jpg"/>
    <d v="2019-12-13T07:54:39"/>
    <d v="2019-12-13T07:52:11"/>
    <s v="arnold"/>
    <d v="2019-12-13T07:54:57"/>
    <s v="7539d4c9-9690-474d-9e0d-9c6c78fe708b"/>
    <s v="https://www.commcarehq.org/a/demo-18/reports/form_data/7539d4c9-9690-474d-9e0d-9c6c78fe708b/"/>
  </r>
  <r>
    <x v="40"/>
    <n v="5.6"/>
    <d v="2020-01-10T00:00:00"/>
    <d v="2019-12-11T00:00:00"/>
    <s v="no"/>
    <s v="---"/>
    <s v="---"/>
    <s v="---"/>
    <x v="0"/>
    <s v="---"/>
    <s v="---"/>
    <s v="https://www.commcarehq.org/a/demo-18/api/form/attachment/593e1b16-d820-49a0-b953-f759618ba8d1/1576058430084.jpg"/>
    <s v="https://www.commcarehq.org/a/demo-18/api/form/attachment/593e1b16-d820-49a0-b953-f759618ba8d1/1576058462702.jpg"/>
    <s v="https://www.commcarehq.org/a/demo-18/api/form/attachment/593e1b16-d820-49a0-b953-f759618ba8d1/1576058530000.jpg"/>
    <s v="https://www.commcarehq.org/a/demo-18/api/form/attachment/593e1b16-d820-49a0-b953-f759618ba8d1/1576058539749.jpg"/>
    <s v="https://www.commcarehq.org/a/demo-18/api/form/attachment/593e1b16-d820-49a0-b953-f759618ba8d1/1576058566688.jpg"/>
    <s v="https://www.commcarehq.org/a/demo-18/api/form/attachment/593e1b16-d820-49a0-b953-f759618ba8d1/1576058575885.jpg"/>
    <d v="2019-12-11T10:02:57"/>
    <d v="2019-12-11T09:59:28"/>
    <s v="arnold"/>
    <d v="2019-12-11T10:38:16"/>
    <s v="593e1b16-d820-49a0-b953-f759618ba8d1"/>
    <s v="https://www.commcarehq.org/a/demo-18/reports/form_data/593e1b16-d820-49a0-b953-f759618ba8d1/"/>
  </r>
  <r>
    <x v="41"/>
    <n v="6"/>
    <d v="2020-01-15T00:00:00"/>
    <d v="2019-12-16T00:00:00"/>
    <s v="no"/>
    <s v="---"/>
    <s v="---"/>
    <s v="---"/>
    <x v="0"/>
    <s v="---"/>
    <s v="---"/>
    <s v="https://www.commcarehq.org/a/demo-18/api/form/attachment/803658d3-1667-4a64-8659-80dd8ba9cf40/1576486935568.jpg"/>
    <s v="https://www.commcarehq.org/a/demo-18/api/form/attachment/803658d3-1667-4a64-8659-80dd8ba9cf40/1576486951404.jpg"/>
    <s v="https://www.commcarehq.org/a/demo-18/api/form/attachment/803658d3-1667-4a64-8659-80dd8ba9cf40/1576486989697.jpg"/>
    <s v="https://www.commcarehq.org/a/demo-18/api/form/attachment/803658d3-1667-4a64-8659-80dd8ba9cf40/1576487003713.jpg"/>
    <s v="https://www.commcarehq.org/a/demo-18/api/form/attachment/803658d3-1667-4a64-8659-80dd8ba9cf40/1576487020846.jpg"/>
    <s v="https://www.commcarehq.org/a/demo-18/api/form/attachment/803658d3-1667-4a64-8659-80dd8ba9cf40/1576487029517.jpg"/>
    <d v="2019-12-16T09:03:51"/>
    <d v="2019-12-16T09:01:36"/>
    <s v="arnold"/>
    <d v="2019-12-16T09:04:14"/>
    <s v="803658d3-1667-4a64-8659-80dd8ba9cf40"/>
    <s v="https://www.commcarehq.org/a/demo-18/reports/form_data/803658d3-1667-4a64-8659-80dd8ba9cf40/"/>
  </r>
  <r>
    <x v="42"/>
    <n v="7.8"/>
    <d v="2020-01-03T00:00:00"/>
    <d v="2019-12-04T00:00:00"/>
    <s v="no"/>
    <s v="---"/>
    <s v="---"/>
    <s v="---"/>
    <x v="0"/>
    <s v="---"/>
    <s v="---"/>
    <s v="https://www.commcarehq.org/a/demo-18/api/form/attachment/562ed7d0-f227-4daf-b667-45d2336c19f6/1575445592518.jpg"/>
    <s v="https://www.commcarehq.org/a/demo-18/api/form/attachment/562ed7d0-f227-4daf-b667-45d2336c19f6/1575445616316.jpg"/>
    <s v="https://www.commcarehq.org/a/demo-18/api/form/attachment/562ed7d0-f227-4daf-b667-45d2336c19f6/1575445656246.jpg"/>
    <s v="https://www.commcarehq.org/a/demo-18/api/form/attachment/562ed7d0-f227-4daf-b667-45d2336c19f6/1575445665328.jpg"/>
    <s v="https://www.commcarehq.org/a/demo-18/api/form/attachment/562ed7d0-f227-4daf-b667-45d2336c19f6/1575445677909.jpg"/>
    <s v="https://www.commcarehq.org/a/demo-18/api/form/attachment/562ed7d0-f227-4daf-b667-45d2336c19f6/1575445685468.jpg"/>
    <d v="2019-12-04T07:48:07"/>
    <d v="2019-12-04T07:45:52"/>
    <s v="arnold"/>
    <d v="2019-12-04T07:48:23"/>
    <s v="562ed7d0-f227-4daf-b667-45d2336c19f6"/>
    <s v="https://www.commcarehq.org/a/demo-18/reports/form_data/562ed7d0-f227-4daf-b667-45d2336c19f6/"/>
  </r>
  <r>
    <x v="43"/>
    <n v="5.9"/>
    <d v="2019-12-07T00:00:00"/>
    <d v="2019-11-07T00:00:00"/>
    <s v="no"/>
    <s v="---"/>
    <s v="---"/>
    <s v="---"/>
    <x v="0"/>
    <s v="---"/>
    <s v="---"/>
    <s v="https://www.commcarehq.org/a/demo-18/api/form/attachment/e797c21b-ff5c-4fd0-85ba-3723c544a9bd/1573119989430.jpg"/>
    <s v="https://www.commcarehq.org/a/demo-18/api/form/attachment/e797c21b-ff5c-4fd0-85ba-3723c544a9bd/1573120000644.jpg"/>
    <s v="https://www.commcarehq.org/a/demo-18/api/form/attachment/e797c21b-ff5c-4fd0-85ba-3723c544a9bd/1573120045567.jpg"/>
    <s v="https://www.commcarehq.org/a/demo-18/api/form/attachment/e797c21b-ff5c-4fd0-85ba-3723c544a9bd/1573120057261.jpg"/>
    <s v="https://www.commcarehq.org/a/demo-18/api/form/attachment/e797c21b-ff5c-4fd0-85ba-3723c544a9bd/1573120076020.jpg"/>
    <s v="https://www.commcarehq.org/a/demo-18/api/form/attachment/e797c21b-ff5c-4fd0-85ba-3723c544a9bd/1573120089504.jpg"/>
    <d v="2019-11-07T09:48:11"/>
    <d v="2019-11-07T09:45:23"/>
    <s v="arnold"/>
    <d v="2019-11-07T10:12:46"/>
    <s v="e797c21b-ff5c-4fd0-85ba-3723c544a9bd"/>
    <s v="https://www.commcarehq.org/a/demo-18/reports/form_data/e797c21b-ff5c-4fd0-85ba-3723c544a9bd/"/>
  </r>
  <r>
    <x v="44"/>
    <n v="6.5"/>
    <d v="2019-12-07T00:00:00"/>
    <d v="2019-11-07T00:00:00"/>
    <s v="no"/>
    <s v="---"/>
    <s v="---"/>
    <s v="---"/>
    <x v="1"/>
    <s v="---"/>
    <s v="---"/>
    <s v="https://www.commcarehq.org/a/demo-18/api/form/attachment/fa15e110-521a-4939-8906-0865d516223d/1573117809008.jpg"/>
    <s v="https://www.commcarehq.org/a/demo-18/api/form/attachment/fa15e110-521a-4939-8906-0865d516223d/1573117825953.jpg"/>
    <s v="https://www.commcarehq.org/a/demo-18/api/form/attachment/fa15e110-521a-4939-8906-0865d516223d/1573117877475.jpg"/>
    <s v="https://www.commcarehq.org/a/demo-18/api/form/attachment/fa15e110-521a-4939-8906-0865d516223d/1573117892220.jpg"/>
    <s v="https://www.commcarehq.org/a/demo-18/api/form/attachment/fa15e110-521a-4939-8906-0865d516223d/1573117914766.jpg"/>
    <s v="https://www.commcarehq.org/a/demo-18/api/form/attachment/fa15e110-521a-4939-8906-0865d516223d/1573117927018.jpg"/>
    <d v="2019-11-07T09:12:08"/>
    <d v="2019-11-07T09:09:08"/>
    <s v="arnold"/>
    <d v="2019-11-07T10:11:42"/>
    <s v="fa15e110-521a-4939-8906-0865d516223d"/>
    <s v="https://www.commcarehq.org/a/demo-18/reports/form_data/fa15e110-521a-4939-8906-0865d516223d/"/>
  </r>
  <r>
    <x v="45"/>
    <n v="6"/>
    <d v="2019-12-08T00:00:00"/>
    <d v="2019-11-08T00:00:00"/>
    <s v="no"/>
    <s v="---"/>
    <s v="---"/>
    <s v="---"/>
    <x v="9"/>
    <s v="---"/>
    <s v="---"/>
    <s v="https://www.commcarehq.org/a/demo-18/api/form/attachment/3f2ed042-224d-45f3-9852-cd05590e97ef/1573205358584.jpg"/>
    <s v="https://www.commcarehq.org/a/demo-18/api/form/attachment/3f2ed042-224d-45f3-9852-cd05590e97ef/1573205375868.jpg"/>
    <s v="https://www.commcarehq.org/a/demo-18/api/form/attachment/3f2ed042-224d-45f3-9852-cd05590e97ef/1573205603861.jpg"/>
    <s v="https://www.commcarehq.org/a/demo-18/api/form/attachment/3f2ed042-224d-45f3-9852-cd05590e97ef/1573205635178.jpg"/>
    <s v="https://www.commcarehq.org/a/demo-18/api/form/attachment/3f2ed042-224d-45f3-9852-cd05590e97ef/1573205718021.jpg"/>
    <s v="https://www.commcarehq.org/a/demo-18/api/form/attachment/3f2ed042-224d-45f3-9852-cd05590e97ef/1573205730602.jpg"/>
    <d v="2019-11-08T09:35:43"/>
    <d v="2019-11-08T09:28:18"/>
    <s v="papias"/>
    <d v="2019-11-08T15:06:13"/>
    <s v="3f2ed042-224d-45f3-9852-cd05590e97ef"/>
    <s v="https://www.commcarehq.org/a/demo-18/reports/form_data/3f2ed042-224d-45f3-9852-cd05590e97ef/"/>
  </r>
  <r>
    <x v="46"/>
    <n v="6.8"/>
    <d v="2020-03-20T00:00:00"/>
    <d v="2020-02-19T00:00:00"/>
    <s v="no"/>
    <s v="---"/>
    <s v="---"/>
    <s v="---"/>
    <x v="0"/>
    <s v="no"/>
    <s v="---"/>
    <s v="https://www.commcarehq.org/a/demo-18/api/form/attachment/c712e2ea-04da-4895-9691-ec496733abfa/1582098143143.jpg"/>
    <s v="https://www.commcarehq.org/a/demo-18/api/form/attachment/c712e2ea-04da-4895-9691-ec496733abfa/1582098157127.jpg"/>
    <s v="https://www.commcarehq.org/a/demo-18/api/form/attachment/c712e2ea-04da-4895-9691-ec496733abfa/1582098180036.jpg"/>
    <s v="https://www.commcarehq.org/a/demo-18/api/form/attachment/c712e2ea-04da-4895-9691-ec496733abfa/1582098188559.jpg"/>
    <s v="https://www.commcarehq.org/a/demo-18/api/form/attachment/c712e2ea-04da-4895-9691-ec496733abfa/1582098207147.jpg"/>
    <s v="https://www.commcarehq.org/a/demo-18/api/form/attachment/c712e2ea-04da-4895-9691-ec496733abfa/1582098216682.jpg"/>
    <d v="2020-02-19T07:43:38"/>
    <d v="2020-02-19T07:42:00"/>
    <s v="arnold"/>
    <d v="2020-02-19T07:44:02"/>
    <s v="c712e2ea-04da-4895-9691-ec496733abfa"/>
    <s v="https://www.commcarehq.org/a/demo-18/reports/form_data/c712e2ea-04da-4895-9691-ec496733abfa/"/>
  </r>
  <r>
    <x v="47"/>
    <n v="7.6"/>
    <d v="2020-03-18T00:00:00"/>
    <d v="2020-02-17T00:00:00"/>
    <s v="no"/>
    <s v="---"/>
    <s v="---"/>
    <s v="---"/>
    <x v="2"/>
    <s v="no"/>
    <s v="---"/>
    <s v="https://www.commcarehq.org/a/demo-18/api/form/attachment/c5669842-dd95-467b-8226-d31783bbf484/1581935619147.jpg"/>
    <s v="https://www.commcarehq.org/a/demo-18/api/form/attachment/c5669842-dd95-467b-8226-d31783bbf484/1581935635159.jpg"/>
    <s v="https://www.commcarehq.org/a/demo-18/api/form/attachment/c5669842-dd95-467b-8226-d31783bbf484/1581935663947.jpg"/>
    <s v="https://www.commcarehq.org/a/demo-18/api/form/attachment/c5669842-dd95-467b-8226-d31783bbf484/1581935672772.jpg"/>
    <s v="https://www.commcarehq.org/a/demo-18/api/form/attachment/c5669842-dd95-467b-8226-d31783bbf484/1581935690802.jpg"/>
    <s v="https://www.commcarehq.org/a/demo-18/api/form/attachment/c5669842-dd95-467b-8226-d31783bbf484/1581935707987.jpg"/>
    <d v="2020-02-17T10:35:15"/>
    <d v="2020-02-17T10:33:00"/>
    <s v="arnold"/>
    <d v="2020-02-17T10:35:47"/>
    <s v="c5669842-dd95-467b-8226-d31783bbf484"/>
    <s v="https://www.commcarehq.org/a/demo-18/reports/form_data/c5669842-dd95-467b-8226-d31783bbf484/"/>
  </r>
  <r>
    <x v="48"/>
    <n v="6"/>
    <d v="2020-03-21T00:00:00"/>
    <d v="2020-02-20T00:00:00"/>
    <s v="no"/>
    <s v="---"/>
    <s v="---"/>
    <s v="---"/>
    <x v="2"/>
    <s v="no"/>
    <s v="---"/>
    <s v="https://www.commcarehq.org/a/demo-18/api/form/attachment/be5891cb-57f0-4e83-b8de-dd3e9fd1d211/1582184510168.jpg"/>
    <s v="https://www.commcarehq.org/a/demo-18/api/form/attachment/be5891cb-57f0-4e83-b8de-dd3e9fd1d211/1582184526149.jpg"/>
    <s v="https://www.commcarehq.org/a/demo-18/api/form/attachment/be5891cb-57f0-4e83-b8de-dd3e9fd1d211/1582184586005.jpg"/>
    <s v="https://www.commcarehq.org/a/demo-18/api/form/attachment/be5891cb-57f0-4e83-b8de-dd3e9fd1d211/1582184595190.jpg"/>
    <s v="https://www.commcarehq.org/a/demo-18/api/form/attachment/be5891cb-57f0-4e83-b8de-dd3e9fd1d211/1582184629973.jpg"/>
    <s v="https://www.commcarehq.org/a/demo-18/api/form/attachment/be5891cb-57f0-4e83-b8de-dd3e9fd1d211/1582184639077.jpg"/>
    <d v="2020-02-20T07:44:01"/>
    <d v="2020-02-20T07:41:06"/>
    <s v="arnold"/>
    <d v="2020-02-20T07:44:19"/>
    <s v="be5891cb-57f0-4e83-b8de-dd3e9fd1d211"/>
    <s v="https://www.commcarehq.org/a/demo-18/reports/form_data/be5891cb-57f0-4e83-b8de-dd3e9fd1d211/"/>
  </r>
  <r>
    <x v="49"/>
    <n v="6.8"/>
    <d v="2020-03-21T00:00:00"/>
    <d v="2020-02-20T00:00:00"/>
    <s v="no"/>
    <s v="---"/>
    <s v="---"/>
    <s v="---"/>
    <x v="2"/>
    <s v="no"/>
    <s v="---"/>
    <s v="https://www.commcarehq.org/a/demo-18/api/form/attachment/0647eb06-07f6-46f2-a288-681ddc673fdb/1582185228600.jpg"/>
    <s v="https://www.commcarehq.org/a/demo-18/api/form/attachment/0647eb06-07f6-46f2-a288-681ddc673fdb/1582185242523.jpg"/>
    <s v="https://www.commcarehq.org/a/demo-18/api/form/attachment/0647eb06-07f6-46f2-a288-681ddc673fdb/1582185291192.jpg"/>
    <s v="https://www.commcarehq.org/a/demo-18/api/form/attachment/0647eb06-07f6-46f2-a288-681ddc673fdb/1582185301049.jpg"/>
    <s v="https://www.commcarehq.org/a/demo-18/api/form/attachment/0647eb06-07f6-46f2-a288-681ddc673fdb/1582185328201.jpg"/>
    <s v="https://www.commcarehq.org/a/demo-18/api/form/attachment/0647eb06-07f6-46f2-a288-681ddc673fdb/1582185337905.jpg"/>
    <d v="2020-02-20T07:55:39"/>
    <d v="2020-02-20T07:53:18"/>
    <s v="arnold"/>
    <d v="2020-02-20T07:56:03"/>
    <s v="0647eb06-07f6-46f2-a288-681ddc673fdb"/>
    <s v="https://www.commcarehq.org/a/demo-18/reports/form_data/0647eb06-07f6-46f2-a288-681ddc673fdb/"/>
  </r>
  <r>
    <x v="50"/>
    <n v="6.5"/>
    <d v="2020-03-15T00:00:00"/>
    <d v="2020-02-14T00:00:00"/>
    <s v="no"/>
    <s v="---"/>
    <s v="---"/>
    <s v="---"/>
    <x v="10"/>
    <s v="no"/>
    <s v="---"/>
    <s v="https://www.commcarehq.org/a/demo-18/api/form/attachment/bd230a75-d5a6-4855-b075-3f4866f498c2/1581667819422.jpg"/>
    <s v="https://www.commcarehq.org/a/demo-18/api/form/attachment/bd230a75-d5a6-4855-b075-3f4866f498c2/1581667834908.jpg"/>
    <s v="https://www.commcarehq.org/a/demo-18/api/form/attachment/bd230a75-d5a6-4855-b075-3f4866f498c2/1581667884342.jpg"/>
    <s v="https://www.commcarehq.org/a/demo-18/api/form/attachment/bd230a75-d5a6-4855-b075-3f4866f498c2/1581667893501.jpg"/>
    <s v="https://www.commcarehq.org/a/demo-18/api/form/attachment/bd230a75-d5a6-4855-b075-3f4866f498c2/1581667906959.jpg"/>
    <s v="https://www.commcarehq.org/a/demo-18/api/form/attachment/bd230a75-d5a6-4855-b075-3f4866f498c2/1581667916796.jpg"/>
    <d v="2020-02-14T08:11:58"/>
    <d v="2020-02-14T08:09:35"/>
    <s v="arnold"/>
    <d v="2020-02-14T08:12:27"/>
    <s v="bd230a75-d5a6-4855-b075-3f4866f498c2"/>
    <s v="https://www.commcarehq.org/a/demo-18/reports/form_data/bd230a75-d5a6-4855-b075-3f4866f498c2/"/>
  </r>
  <r>
    <x v="51"/>
    <n v="7.4"/>
    <d v="2020-03-15T00:00:00"/>
    <d v="2020-02-14T00:00:00"/>
    <s v="no"/>
    <s v="---"/>
    <s v="---"/>
    <s v="---"/>
    <x v="0"/>
    <s v="no"/>
    <s v="---"/>
    <s v="https://www.commcarehq.org/a/demo-18/api/form/attachment/bdebe167-cf1a-406c-ac92-98f341078e3c/1581667417703.jpg"/>
    <s v="https://www.commcarehq.org/a/demo-18/api/form/attachment/bdebe167-cf1a-406c-ac92-98f341078e3c/1581667434347.jpg"/>
    <s v="https://www.commcarehq.org/a/demo-18/api/form/attachment/bdebe167-cf1a-406c-ac92-98f341078e3c/1581667509059.jpg"/>
    <s v="https://www.commcarehq.org/a/demo-18/api/form/attachment/bdebe167-cf1a-406c-ac92-98f341078e3c/1581667519346.jpg"/>
    <s v="https://www.commcarehq.org/a/demo-18/api/form/attachment/bdebe167-cf1a-406c-ac92-98f341078e3c/1581667533481.jpg"/>
    <s v="https://www.commcarehq.org/a/demo-18/api/form/attachment/bdebe167-cf1a-406c-ac92-98f341078e3c/1581667541192.jpg"/>
    <d v="2020-02-14T08:05:42"/>
    <d v="2020-02-14T08:03:08"/>
    <s v="arnold"/>
    <d v="2020-02-14T08:06:06"/>
    <s v="bdebe167-cf1a-406c-ac92-98f341078e3c"/>
    <s v="https://www.commcarehq.org/a/demo-18/reports/form_data/bdebe167-cf1a-406c-ac92-98f341078e3c/"/>
  </r>
  <r>
    <x v="52"/>
    <n v="6.4"/>
    <d v="2020-03-25T00:00:00"/>
    <d v="2020-02-24T00:00:00"/>
    <s v="no"/>
    <s v="---"/>
    <s v="---"/>
    <s v="---"/>
    <x v="2"/>
    <s v="no"/>
    <s v="---"/>
    <s v="https://www.commcarehq.org/a/demo-18/api/form/attachment/7328ac3d-7509-4c67-8e04-91fbaf540c26/1582526894990.jpg"/>
    <s v="https://www.commcarehq.org/a/demo-18/api/form/attachment/7328ac3d-7509-4c67-8e04-91fbaf540c26/1582526912118.jpg"/>
    <s v="https://www.commcarehq.org/a/demo-18/api/form/attachment/7328ac3d-7509-4c67-8e04-91fbaf540c26/1582526972137.jpg"/>
    <s v="https://www.commcarehq.org/a/demo-18/api/form/attachment/7328ac3d-7509-4c67-8e04-91fbaf540c26/1582526983770.jpg"/>
    <s v="https://www.commcarehq.org/a/demo-18/api/form/attachment/7328ac3d-7509-4c67-8e04-91fbaf540c26/1582527005394.jpg"/>
    <s v="https://www.commcarehq.org/a/demo-18/api/form/attachment/7328ac3d-7509-4c67-8e04-91fbaf540c26/1582527013518.jpg"/>
    <d v="2020-02-24T06:50:16"/>
    <d v="2020-02-24T06:47:37"/>
    <s v="arnold"/>
    <d v="2020-02-24T06:50:49"/>
    <s v="7328ac3d-7509-4c67-8e04-91fbaf540c26"/>
    <s v="https://www.commcarehq.org/a/demo-18/reports/form_data/7328ac3d-7509-4c67-8e04-91fbaf540c26/"/>
  </r>
  <r>
    <x v="53"/>
    <n v="6.3"/>
    <d v="2020-03-25T00:00:00"/>
    <d v="2020-02-24T00:00:00"/>
    <s v="no"/>
    <s v="---"/>
    <s v="---"/>
    <s v="---"/>
    <x v="10"/>
    <s v="no"/>
    <s v="---"/>
    <s v="https://www.commcarehq.org/a/demo-18/api/form/attachment/dfce7e49-b85c-4f5e-9c80-5786d89d41bf/1582531683216.jpg"/>
    <s v="https://www.commcarehq.org/a/demo-18/api/form/attachment/dfce7e49-b85c-4f5e-9c80-5786d89d41bf/1582531696264.jpg"/>
    <s v="https://www.commcarehq.org/a/demo-18/api/form/attachment/dfce7e49-b85c-4f5e-9c80-5786d89d41bf/1582531822616.jpg"/>
    <s v="https://www.commcarehq.org/a/demo-18/api/form/attachment/dfce7e49-b85c-4f5e-9c80-5786d89d41bf/1582531831798.jpg"/>
    <s v="https://www.commcarehq.org/a/demo-18/api/form/attachment/dfce7e49-b85c-4f5e-9c80-5786d89d41bf/1582531846982.jpg"/>
    <s v="https://www.commcarehq.org/a/demo-18/api/form/attachment/dfce7e49-b85c-4f5e-9c80-5786d89d41bf/1582531855525.jpg"/>
    <d v="2020-02-24T08:10:57"/>
    <d v="2020-02-24T08:07:19"/>
    <s v="arnold"/>
    <d v="2020-02-24T08:11:16"/>
    <s v="dfce7e49-b85c-4f5e-9c80-5786d89d41bf"/>
    <s v="https://www.commcarehq.org/a/demo-18/reports/form_data/dfce7e49-b85c-4f5e-9c80-5786d89d41bf/"/>
  </r>
  <r>
    <x v="54"/>
    <n v="6.9"/>
    <d v="2020-03-25T00:00:00"/>
    <d v="2020-02-24T00:00:00"/>
    <s v="no"/>
    <s v="---"/>
    <s v="---"/>
    <s v="---"/>
    <x v="10"/>
    <s v="no"/>
    <s v="---"/>
    <s v="https://www.commcarehq.org/a/demo-18/api/form/attachment/30a50d6f-6fa3-45ba-bb50-3eb22c4f429c/1582526516777.jpg"/>
    <s v="https://www.commcarehq.org/a/demo-18/api/form/attachment/30a50d6f-6fa3-45ba-bb50-3eb22c4f429c/1582526533697.jpg"/>
    <s v="https://www.commcarehq.org/a/demo-18/api/form/attachment/30a50d6f-6fa3-45ba-bb50-3eb22c4f429c/1582526589046.jpg"/>
    <s v="https://www.commcarehq.org/a/demo-18/api/form/attachment/30a50d6f-6fa3-45ba-bb50-3eb22c4f429c/1582526598372.jpg"/>
    <s v="https://www.commcarehq.org/a/demo-18/api/form/attachment/30a50d6f-6fa3-45ba-bb50-3eb22c4f429c/1582526611619.jpg"/>
    <s v="https://www.commcarehq.org/a/demo-18/api/form/attachment/30a50d6f-6fa3-45ba-bb50-3eb22c4f429c/1582526619950.jpg"/>
    <d v="2020-02-24T06:43:41"/>
    <d v="2020-02-24T06:41:16"/>
    <s v="arnold"/>
    <d v="2020-02-24T06:43:59"/>
    <s v="30a50d6f-6fa3-45ba-bb50-3eb22c4f429c"/>
    <s v="https://www.commcarehq.org/a/demo-18/reports/form_data/30a50d6f-6fa3-45ba-bb50-3eb22c4f429c/"/>
  </r>
  <r>
    <x v="55"/>
    <n v="6"/>
    <d v="2020-03-25T00:00:00"/>
    <d v="2020-02-24T00:00:00"/>
    <s v="no"/>
    <s v="---"/>
    <s v="---"/>
    <s v="---"/>
    <x v="10"/>
    <s v="no"/>
    <s v="---"/>
    <s v="https://www.commcarehq.org/a/demo-18/api/form/attachment/e27af5af-9675-441f-956e-f9f890cb98c6/1582532900670.jpg"/>
    <s v="https://www.commcarehq.org/a/demo-18/api/form/attachment/e27af5af-9675-441f-956e-f9f890cb98c6/1582532915505.jpg"/>
    <s v="https://www.commcarehq.org/a/demo-18/api/form/attachment/e27af5af-9675-441f-956e-f9f890cb98c6/1582532949052.jpg"/>
    <s v="https://www.commcarehq.org/a/demo-18/api/form/attachment/e27af5af-9675-441f-956e-f9f890cb98c6/1582532958180.jpg"/>
    <s v="https://www.commcarehq.org/a/demo-18/api/form/attachment/e27af5af-9675-441f-956e-f9f890cb98c6/1582532973382.jpg"/>
    <s v="https://www.commcarehq.org/a/demo-18/api/form/attachment/e27af5af-9675-441f-956e-f9f890cb98c6/1582532983011.jpg"/>
    <d v="2020-02-24T08:29:44"/>
    <d v="2020-02-24T08:27:32"/>
    <s v="arnold"/>
    <d v="2020-02-24T08:30:02"/>
    <s v="e27af5af-9675-441f-956e-f9f890cb98c6"/>
    <s v="https://www.commcarehq.org/a/demo-18/reports/form_data/e27af5af-9675-441f-956e-f9f890cb98c6/"/>
  </r>
  <r>
    <x v="56"/>
    <n v="6"/>
    <d v="2020-03-27T00:00:00"/>
    <d v="2020-02-26T00:00:00"/>
    <s v="no"/>
    <s v="---"/>
    <s v="---"/>
    <s v="---"/>
    <x v="0"/>
    <s v="no"/>
    <s v="---"/>
    <s v="https://www.commcarehq.org/a/demo-18/api/form/attachment/11414e9a-ec3c-4756-b8ef-0a15e73a2225/1582700875751.jpg"/>
    <s v="https://www.commcarehq.org/a/demo-18/api/form/attachment/11414e9a-ec3c-4756-b8ef-0a15e73a2225/1582700892847.jpg"/>
    <s v="https://www.commcarehq.org/a/demo-18/api/form/attachment/11414e9a-ec3c-4756-b8ef-0a15e73a2225/1582700934799.jpg"/>
    <s v="https://www.commcarehq.org/a/demo-18/api/form/attachment/11414e9a-ec3c-4756-b8ef-0a15e73a2225/1582700952471.jpg"/>
    <s v="https://www.commcarehq.org/a/demo-18/api/form/attachment/11414e9a-ec3c-4756-b8ef-0a15e73a2225/1582700965718.jpg"/>
    <s v="https://www.commcarehq.org/a/demo-18/api/form/attachment/11414e9a-ec3c-4756-b8ef-0a15e73a2225/1582700974882.jpg"/>
    <d v="2020-02-26T07:09:36"/>
    <d v="2020-02-26T07:05:20"/>
    <s v="arnold"/>
    <d v="2020-02-26T11:18:59"/>
    <s v="11414e9a-ec3c-4756-b8ef-0a15e73a2225"/>
    <s v="https://www.commcarehq.org/a/demo-18/reports/form_data/11414e9a-ec3c-4756-b8ef-0a15e73a2225/"/>
  </r>
  <r>
    <x v="57"/>
    <n v="6.2"/>
    <d v="2020-03-28T00:00:00"/>
    <d v="2020-02-27T00:00:00"/>
    <s v="no"/>
    <s v="---"/>
    <s v="---"/>
    <s v="---"/>
    <x v="0"/>
    <s v="no"/>
    <s v="---"/>
    <s v="https://www.commcarehq.org/a/demo-18/api/form/attachment/ef36eb7a-e14c-485a-b7b5-8e007563d36e/1582790752280.jpg"/>
    <s v="https://www.commcarehq.org/a/demo-18/api/form/attachment/ef36eb7a-e14c-485a-b7b5-8e007563d36e/1582790773311.jpg"/>
    <s v="https://www.commcarehq.org/a/demo-18/api/form/attachment/ef36eb7a-e14c-485a-b7b5-8e007563d36e/1582790818329.jpg"/>
    <s v="https://www.commcarehq.org/a/demo-18/api/form/attachment/ef36eb7a-e14c-485a-b7b5-8e007563d36e/1582790828441.jpg"/>
    <s v="https://www.commcarehq.org/a/demo-18/api/form/attachment/ef36eb7a-e14c-485a-b7b5-8e007563d36e/1582790845515.jpg"/>
    <s v="https://www.commcarehq.org/a/demo-18/api/form/attachment/ef36eb7a-e14c-485a-b7b5-8e007563d36e/1582790855458.jpg"/>
    <d v="2020-02-27T08:07:36"/>
    <d v="2020-02-27T08:05:22"/>
    <s v="arnold"/>
    <d v="2020-02-27T08:07:57"/>
    <s v="ef36eb7a-e14c-485a-b7b5-8e007563d36e"/>
    <s v="https://www.commcarehq.org/a/demo-18/reports/form_data/ef36eb7a-e14c-485a-b7b5-8e007563d36e/"/>
  </r>
  <r>
    <x v="58"/>
    <n v="5.2"/>
    <d v="2019-12-08T00:00:00"/>
    <d v="2019-11-08T00:00:00"/>
    <s v="no"/>
    <s v="---"/>
    <s v="---"/>
    <s v="---"/>
    <x v="11"/>
    <s v="---"/>
    <s v="---"/>
    <s v="https://www.commcarehq.org/a/demo-18/api/form/attachment/64e9dfbf-c5f4-48b1-a3ee-ec851da0731c/1573206413484.jpg"/>
    <s v="https://www.commcarehq.org/a/demo-18/api/form/attachment/64e9dfbf-c5f4-48b1-a3ee-ec851da0731c/1573206438011.jpg"/>
    <s v="https://www.commcarehq.org/a/demo-18/api/form/attachment/64e9dfbf-c5f4-48b1-a3ee-ec851da0731c/1573206538068.jpg"/>
    <s v="https://www.commcarehq.org/a/demo-18/api/form/attachment/64e9dfbf-c5f4-48b1-a3ee-ec851da0731c/1573206554180.jpg"/>
    <s v="https://www.commcarehq.org/a/demo-18/api/form/attachment/64e9dfbf-c5f4-48b1-a3ee-ec851da0731c/1573206610120.jpg"/>
    <s v="https://www.commcarehq.org/a/demo-18/api/form/attachment/64e9dfbf-c5f4-48b1-a3ee-ec851da0731c/1573206635849.jpg"/>
    <d v="2019-11-08T09:50:53"/>
    <d v="2019-11-08T09:45:48"/>
    <s v="papias"/>
    <d v="2019-11-08T15:07:24"/>
    <s v="64e9dfbf-c5f4-48b1-a3ee-ec851da0731c"/>
    <s v="https://www.commcarehq.org/a/demo-18/reports/form_data/64e9dfbf-c5f4-48b1-a3ee-ec851da0731c/"/>
  </r>
  <r>
    <x v="59"/>
    <n v="6.8"/>
    <d v="2019-12-08T00:00:00"/>
    <d v="2019-11-08T00:00:00"/>
    <s v="no"/>
    <s v="---"/>
    <s v="---"/>
    <s v="---"/>
    <x v="0"/>
    <s v="---"/>
    <s v="---"/>
    <s v="https://www.commcarehq.org/a/demo-18/api/form/attachment/e952ffe3-48f6-405d-844d-a928b12b62ad/1573206935714.jpg"/>
    <s v="https://www.commcarehq.org/a/demo-18/api/form/attachment/e952ffe3-48f6-405d-844d-a928b12b62ad/1573206954414.jpg"/>
    <s v="https://www.commcarehq.org/a/demo-18/api/form/attachment/e952ffe3-48f6-405d-844d-a928b12b62ad/1573207016133.jpg"/>
    <s v="https://www.commcarehq.org/a/demo-18/api/form/attachment/e952ffe3-48f6-405d-844d-a928b12b62ad/1573207031721.jpg"/>
    <s v="https://www.commcarehq.org/a/demo-18/api/form/attachment/e952ffe3-48f6-405d-844d-a928b12b62ad/1573207100206.jpg"/>
    <s v="https://www.commcarehq.org/a/demo-18/api/form/attachment/e952ffe3-48f6-405d-844d-a928b12b62ad/1573207113822.jpg"/>
    <d v="2019-11-08T09:59:11"/>
    <d v="2019-11-08T09:54:30"/>
    <s v="papias"/>
    <d v="2019-11-08T15:07:39"/>
    <s v="e952ffe3-48f6-405d-844d-a928b12b62ad"/>
    <s v="https://www.commcarehq.org/a/demo-18/reports/form_data/e952ffe3-48f6-405d-844d-a928b12b62ad/"/>
  </r>
  <r>
    <x v="60"/>
    <n v="6.2"/>
    <d v="2020-01-08T00:00:00"/>
    <d v="2019-12-09T00:00:00"/>
    <s v="no"/>
    <s v="---"/>
    <s v="---"/>
    <s v="---"/>
    <x v="0"/>
    <s v="---"/>
    <s v="---"/>
    <s v="https://www.commcarehq.org/a/demo-18/api/form/attachment/6113e8b5-1ba4-451e-891e-a5d630392ce2/1575884062914.jpg"/>
    <s v="https://www.commcarehq.org/a/demo-18/api/form/attachment/6113e8b5-1ba4-451e-891e-a5d630392ce2/1575884078678.jpg"/>
    <s v="https://www.commcarehq.org/a/demo-18/api/form/attachment/6113e8b5-1ba4-451e-891e-a5d630392ce2/1575884107449.jpg"/>
    <s v="https://www.commcarehq.org/a/demo-18/api/form/attachment/6113e8b5-1ba4-451e-891e-a5d630392ce2/1575884120135.jpg"/>
    <s v="https://www.commcarehq.org/a/demo-18/api/form/attachment/6113e8b5-1ba4-451e-891e-a5d630392ce2/1575884133501.jpg"/>
    <s v="https://www.commcarehq.org/a/demo-18/api/form/attachment/6113e8b5-1ba4-451e-891e-a5d630392ce2/1575884143814.jpg"/>
    <d v="2019-12-09T09:35:45"/>
    <d v="2019-12-09T09:33:37"/>
    <s v="arnold"/>
    <d v="2019-12-09T10:09:31"/>
    <s v="6113e8b5-1ba4-451e-891e-a5d630392ce2"/>
    <s v="https://www.commcarehq.org/a/demo-18/reports/form_data/6113e8b5-1ba4-451e-891e-a5d630392ce2/"/>
  </r>
  <r>
    <x v="61"/>
    <n v="6.9"/>
    <d v="2019-12-28T00:00:00"/>
    <d v="2019-11-28T00:00:00"/>
    <s v="no"/>
    <s v="---"/>
    <s v="---"/>
    <s v="---"/>
    <x v="0"/>
    <s v="---"/>
    <s v="---"/>
    <s v="https://www.commcarehq.org/a/demo-18/api/form/attachment/2810c849-8abe-4c83-9810-f3fb99b9595c/1574933182503.jpg"/>
    <s v="https://www.commcarehq.org/a/demo-18/api/form/attachment/2810c849-8abe-4c83-9810-f3fb99b9595c/1574933200225.jpg"/>
    <s v="https://www.commcarehq.org/a/demo-18/api/form/attachment/2810c849-8abe-4c83-9810-f3fb99b9595c/1574933237529.jpg"/>
    <s v="https://www.commcarehq.org/a/demo-18/api/form/attachment/2810c849-8abe-4c83-9810-f3fb99b9595c/1574933245919.jpg"/>
    <s v="https://www.commcarehq.org/a/demo-18/api/form/attachment/2810c849-8abe-4c83-9810-f3fb99b9595c/1574933264995.jpg"/>
    <s v="https://www.commcarehq.org/a/demo-18/api/form/attachment/2810c849-8abe-4c83-9810-f3fb99b9595c/1574933273356.jpg"/>
    <d v="2019-11-28T09:27:55"/>
    <d v="2019-11-28T09:25:45"/>
    <s v="arnold"/>
    <d v="2019-11-28T09:28:11"/>
    <s v="2810c849-8abe-4c83-9810-f3fb99b9595c"/>
    <s v="https://www.commcarehq.org/a/demo-18/reports/form_data/2810c849-8abe-4c83-9810-f3fb99b9595c/"/>
  </r>
  <r>
    <x v="62"/>
    <n v="7.3"/>
    <d v="2019-12-28T00:00:00"/>
    <d v="2019-11-28T00:00:00"/>
    <s v="no"/>
    <s v="---"/>
    <s v="---"/>
    <s v="---"/>
    <x v="1"/>
    <s v="---"/>
    <s v="---"/>
    <s v="https://www.commcarehq.org/a/demo-18/api/form/attachment/39a72a4c-2ea9-4886-bc53-9842d8416b14/1574928752447.jpg"/>
    <s v="https://www.commcarehq.org/a/demo-18/api/form/attachment/39a72a4c-2ea9-4886-bc53-9842d8416b14/1574928783112.jpg"/>
    <s v="https://www.commcarehq.org/a/demo-18/api/form/attachment/39a72a4c-2ea9-4886-bc53-9842d8416b14/1574928817496.jpg"/>
    <s v="https://www.commcarehq.org/a/demo-18/api/form/attachment/39a72a4c-2ea9-4886-bc53-9842d8416b14/1574928827197.jpg"/>
    <s v="https://www.commcarehq.org/a/demo-18/api/form/attachment/39a72a4c-2ea9-4886-bc53-9842d8416b14/1574928855085.jpg"/>
    <s v="https://www.commcarehq.org/a/demo-18/api/form/attachment/39a72a4c-2ea9-4886-bc53-9842d8416b14/1574928865264.jpg"/>
    <d v="2019-11-28T08:14:28"/>
    <d v="2019-11-28T08:11:40"/>
    <s v="arnold"/>
    <d v="2019-11-28T08:14:49"/>
    <s v="39a72a4c-2ea9-4886-bc53-9842d8416b14"/>
    <s v="https://www.commcarehq.org/a/demo-18/reports/form_data/39a72a4c-2ea9-4886-bc53-9842d8416b14/"/>
  </r>
  <r>
    <x v="63"/>
    <n v="5.8"/>
    <d v="2019-12-21T00:00:00"/>
    <d v="2019-11-21T00:00:00"/>
    <s v="no"/>
    <s v="---"/>
    <s v="---"/>
    <s v="---"/>
    <x v="0"/>
    <s v="---"/>
    <s v="---"/>
    <s v="https://www.commcarehq.org/a/demo-18/api/form/attachment/8ab59151-5d88-4a78-9490-6ff5e29bc0c3/1574321874589.jpg"/>
    <s v="https://www.commcarehq.org/a/demo-18/api/form/attachment/8ab59151-5d88-4a78-9490-6ff5e29bc0c3/1574321887154.jpg"/>
    <s v="https://www.commcarehq.org/a/demo-18/api/form/attachment/8ab59151-5d88-4a78-9490-6ff5e29bc0c3/1574321925802.jpg"/>
    <s v="https://www.commcarehq.org/a/demo-18/api/form/attachment/8ab59151-5d88-4a78-9490-6ff5e29bc0c3/1574321947623.jpg"/>
    <s v="https://www.commcarehq.org/a/demo-18/api/form/attachment/8ab59151-5d88-4a78-9490-6ff5e29bc0c3/1574321959817.jpg"/>
    <s v="https://www.commcarehq.org/a/demo-18/api/form/attachment/8ab59151-5d88-4a78-9490-6ff5e29bc0c3/1574321968827.jpg"/>
    <d v="2019-11-21T07:39:30"/>
    <d v="2019-11-21T07:37:00"/>
    <s v="arnold"/>
    <d v="2019-11-21T07:39:44"/>
    <s v="8ab59151-5d88-4a78-9490-6ff5e29bc0c3"/>
    <s v="https://www.commcarehq.org/a/demo-18/reports/form_data/8ab59151-5d88-4a78-9490-6ff5e29bc0c3/"/>
  </r>
  <r>
    <x v="64"/>
    <n v="7.1"/>
    <d v="2020-01-11T00:00:00"/>
    <d v="2019-12-12T00:00:00"/>
    <s v="no"/>
    <s v="---"/>
    <s v="---"/>
    <s v="---"/>
    <x v="1"/>
    <s v="---"/>
    <s v="---"/>
    <s v="https://www.commcarehq.org/a/demo-18/api/form/attachment/e8a63110-9c07-430c-a1a8-5a467b8d4dd0/1576137130817.jpg"/>
    <s v="https://www.commcarehq.org/a/demo-18/api/form/attachment/e8a63110-9c07-430c-a1a8-5a467b8d4dd0/1576137141460.jpg"/>
    <s v="https://www.commcarehq.org/a/demo-18/api/form/attachment/e8a63110-9c07-430c-a1a8-5a467b8d4dd0/1576137242383.jpg"/>
    <s v="https://www.commcarehq.org/a/demo-18/api/form/attachment/e8a63110-9c07-430c-a1a8-5a467b8d4dd0/1576137250704.jpg"/>
    <s v="https://www.commcarehq.org/a/demo-18/api/form/attachment/e8a63110-9c07-430c-a1a8-5a467b8d4dd0/1576137288930.jpg"/>
    <s v="https://www.commcarehq.org/a/demo-18/api/form/attachment/e8a63110-9c07-430c-a1a8-5a467b8d4dd0/1576137299093.jpg"/>
    <d v="2019-12-12T07:55:01"/>
    <d v="2019-12-12T07:51:15"/>
    <s v="arnold"/>
    <d v="2019-12-12T07:55:46"/>
    <s v="e8a63110-9c07-430c-a1a8-5a467b8d4dd0"/>
    <s v="https://www.commcarehq.org/a/demo-18/reports/form_data/e8a63110-9c07-430c-a1a8-5a467b8d4dd0/"/>
  </r>
  <r>
    <x v="65"/>
    <n v="7.8"/>
    <d v="2020-01-12T00:00:00"/>
    <d v="2019-12-13T00:00:00"/>
    <s v="no"/>
    <s v="---"/>
    <s v="---"/>
    <s v="---"/>
    <x v="1"/>
    <s v="---"/>
    <s v="---"/>
    <s v="https://www.commcarehq.org/a/demo-18/api/form/attachment/9c13519e-eb92-4916-be01-f132b98c2057/1576223113473.jpg"/>
    <s v="https://www.commcarehq.org/a/demo-18/api/form/attachment/9c13519e-eb92-4916-be01-f132b98c2057/1576223128566.jpg"/>
    <s v="https://www.commcarehq.org/a/demo-18/api/form/attachment/9c13519e-eb92-4916-be01-f132b98c2057/1576223225083.jpg"/>
    <s v="https://www.commcarehq.org/a/demo-18/api/form/attachment/9c13519e-eb92-4916-be01-f132b98c2057/1576223234766.jpg"/>
    <s v="https://www.commcarehq.org/a/demo-18/api/form/attachment/9c13519e-eb92-4916-be01-f132b98c2057/1576223253209.jpg"/>
    <s v="https://www.commcarehq.org/a/demo-18/api/form/attachment/9c13519e-eb92-4916-be01-f132b98c2057/1576223264489.jpg"/>
    <d v="2019-12-13T07:47:47"/>
    <d v="2019-12-13T07:43:57"/>
    <s v="arnold"/>
    <d v="2019-12-13T07:48:05"/>
    <s v="9c13519e-eb92-4916-be01-f132b98c2057"/>
    <s v="https://www.commcarehq.org/a/demo-18/reports/form_data/9c13519e-eb92-4916-be01-f132b98c2057/"/>
  </r>
  <r>
    <x v="66"/>
    <n v="6.9"/>
    <d v="2020-01-10T00:00:00"/>
    <d v="2019-12-11T00:00:00"/>
    <s v="no"/>
    <s v="---"/>
    <s v="---"/>
    <s v="---"/>
    <x v="1"/>
    <s v="---"/>
    <s v="---"/>
    <s v="https://www.commcarehq.org/a/demo-18/api/form/attachment/37846413-e297-485c-811b-e060c3b46e7c/1576054497379.jpg"/>
    <s v="https://www.commcarehq.org/a/demo-18/api/form/attachment/37846413-e297-485c-811b-e060c3b46e7c/1576054511447.jpg"/>
    <s v="https://www.commcarehq.org/a/demo-18/api/form/attachment/37846413-e297-485c-811b-e060c3b46e7c/1576054561797.jpg"/>
    <s v="https://www.commcarehq.org/a/demo-18/api/form/attachment/37846413-e297-485c-811b-e060c3b46e7c/1576054577168.jpg"/>
    <s v="https://www.commcarehq.org/a/demo-18/api/form/attachment/37846413-e297-485c-811b-e060c3b46e7c/1576054607229.jpg"/>
    <s v="https://www.commcarehq.org/a/demo-18/api/form/attachment/37846413-e297-485c-811b-e060c3b46e7c/1576054619868.jpg"/>
    <d v="2019-12-11T08:57:01"/>
    <d v="2019-12-11T08:54:18"/>
    <s v="arnold"/>
    <d v="2019-12-11T10:35:30"/>
    <s v="37846413-e297-485c-811b-e060c3b46e7c"/>
    <s v="https://www.commcarehq.org/a/demo-18/reports/form_data/37846413-e297-485c-811b-e060c3b46e7c/"/>
  </r>
  <r>
    <x v="67"/>
    <n v="6.2"/>
    <d v="2020-01-15T00:00:00"/>
    <d v="2019-12-16T00:00:00"/>
    <s v="no"/>
    <s v="---"/>
    <s v="---"/>
    <s v="---"/>
    <x v="0"/>
    <s v="---"/>
    <s v="---"/>
    <s v="https://www.commcarehq.org/a/demo-18/api/form/attachment/6fd89bd1-7cb3-431d-9c5b-91aa19aa245a/1576488050768.jpg"/>
    <s v="https://www.commcarehq.org/a/demo-18/api/form/attachment/6fd89bd1-7cb3-431d-9c5b-91aa19aa245a/1576488067759.jpg"/>
    <s v="https://www.commcarehq.org/a/demo-18/api/form/attachment/6fd89bd1-7cb3-431d-9c5b-91aa19aa245a/1576488110609.jpg"/>
    <s v="https://www.commcarehq.org/a/demo-18/api/form/attachment/6fd89bd1-7cb3-431d-9c5b-91aa19aa245a/1576488123637.jpg"/>
    <s v="https://www.commcarehq.org/a/demo-18/api/form/attachment/6fd89bd1-7cb3-431d-9c5b-91aa19aa245a/1576488147810.jpg"/>
    <s v="https://www.commcarehq.org/a/demo-18/api/form/attachment/6fd89bd1-7cb3-431d-9c5b-91aa19aa245a/1576488158361.jpg"/>
    <d v="2019-12-16T09:22:50"/>
    <d v="2019-12-16T09:20:10"/>
    <s v="arnold"/>
    <d v="2019-12-16T09:23:06"/>
    <s v="6fd89bd1-7cb3-431d-9c5b-91aa19aa245a"/>
    <s v="https://www.commcarehq.org/a/demo-18/reports/form_data/6fd89bd1-7cb3-431d-9c5b-91aa19aa245a/"/>
  </r>
  <r>
    <x v="68"/>
    <n v="6.3"/>
    <d v="2019-12-25T00:00:00"/>
    <d v="2019-11-25T00:00:00"/>
    <s v="no"/>
    <s v="---"/>
    <s v="---"/>
    <s v="---"/>
    <x v="5"/>
    <s v="---"/>
    <s v="---"/>
    <s v="https://www.commcarehq.org/a/demo-18/api/form/attachment/be978f70-4e84-4e8c-8d77-596139fe5728/1574672501750.jpg"/>
    <s v="https://www.commcarehq.org/a/demo-18/api/form/attachment/be978f70-4e84-4e8c-8d77-596139fe5728/1574672512427.jpg"/>
    <s v="https://www.commcarehq.org/a/demo-18/api/form/attachment/be978f70-4e84-4e8c-8d77-596139fe5728/1574672549863.jpg"/>
    <s v="https://www.commcarehq.org/a/demo-18/api/form/attachment/be978f70-4e84-4e8c-8d77-596139fe5728/1574672558167.jpg"/>
    <s v="https://www.commcarehq.org/a/demo-18/api/form/attachment/be978f70-4e84-4e8c-8d77-596139fe5728/1574672605202.jpg"/>
    <s v="https://www.commcarehq.org/a/demo-18/api/form/attachment/be978f70-4e84-4e8c-8d77-596139fe5728/1574672624802.jpg"/>
    <d v="2019-11-25T09:03:47"/>
    <d v="2019-11-25T09:00:48"/>
    <s v="arnold"/>
    <d v="2019-11-25T09:04:34"/>
    <s v="be978f70-4e84-4e8c-8d77-596139fe5728"/>
    <s v="https://www.commcarehq.org/a/demo-18/reports/form_data/be978f70-4e84-4e8c-8d77-596139fe5728/"/>
  </r>
  <r>
    <x v="69"/>
    <n v="5.6"/>
    <d v="2020-02-29T00:00:00"/>
    <d v="2020-01-30T00:00:00"/>
    <s v="no"/>
    <s v="---"/>
    <s v="---"/>
    <s v="---"/>
    <x v="0"/>
    <s v="no"/>
    <s v="---"/>
    <s v="https://www.commcarehq.org/a/demo-18/api/form/attachment/4e69d2f4-04c3-4797-aa17-24f6500d3abe/1580369174976.jpg"/>
    <s v="https://www.commcarehq.org/a/demo-18/api/form/attachment/4e69d2f4-04c3-4797-aa17-24f6500d3abe/1580369189803.jpg"/>
    <s v="https://www.commcarehq.org/a/demo-18/api/form/attachment/4e69d2f4-04c3-4797-aa17-24f6500d3abe/1580369223125.jpg"/>
    <s v="https://www.commcarehq.org/a/demo-18/api/form/attachment/4e69d2f4-04c3-4797-aa17-24f6500d3abe/1580369234628.jpg"/>
    <s v="https://www.commcarehq.org/a/demo-18/api/form/attachment/4e69d2f4-04c3-4797-aa17-24f6500d3abe/1580369248644.jpg"/>
    <s v="https://www.commcarehq.org/a/demo-18/api/form/attachment/4e69d2f4-04c3-4797-aa17-24f6500d3abe/1580369257670.jpg"/>
    <d v="2020-01-30T07:27:39"/>
    <d v="2020-01-30T07:25:27"/>
    <s v="arnold"/>
    <d v="2020-01-30T07:27:58"/>
    <s v="4e69d2f4-04c3-4797-aa17-24f6500d3abe"/>
    <s v="https://www.commcarehq.org/a/demo-18/reports/form_data/4e69d2f4-04c3-4797-aa17-24f6500d3abe/"/>
  </r>
  <r>
    <x v="70"/>
    <n v="4.4000000000000004"/>
    <d v="2019-12-18T00:00:00"/>
    <d v="2019-11-18T00:00:00"/>
    <s v="no"/>
    <s v="---"/>
    <s v="---"/>
    <s v="---"/>
    <x v="1"/>
    <s v="---"/>
    <s v="---"/>
    <s v="https://www.commcarehq.org/a/demo-18/api/form/attachment/f9ba5ab4-5051-4314-9302-1c382c2b5335/1574064418104.jpg"/>
    <s v="https://www.commcarehq.org/a/demo-18/api/form/attachment/f9ba5ab4-5051-4314-9302-1c382c2b5335/1574064440751.jpg"/>
    <s v="https://www.commcarehq.org/a/demo-18/api/form/attachment/f9ba5ab4-5051-4314-9302-1c382c2b5335/1574064490430.jpg"/>
    <s v="https://www.commcarehq.org/a/demo-18/api/form/attachment/f9ba5ab4-5051-4314-9302-1c382c2b5335/1574064501636.jpg"/>
    <s v="https://www.commcarehq.org/a/demo-18/api/form/attachment/f9ba5ab4-5051-4314-9302-1c382c2b5335/1574064524012.jpg"/>
    <s v="https://www.commcarehq.org/a/demo-18/api/form/attachment/f9ba5ab4-5051-4314-9302-1c382c2b5335/1574064533275.jpg"/>
    <d v="2019-11-18T08:09:06"/>
    <d v="2019-11-18T08:06:02"/>
    <s v="arnold"/>
    <d v="2019-11-18T10:19:01"/>
    <s v="f9ba5ab4-5051-4314-9302-1c382c2b5335"/>
    <s v="https://www.commcarehq.org/a/demo-18/reports/form_data/f9ba5ab4-5051-4314-9302-1c382c2b5335/"/>
  </r>
  <r>
    <x v="71"/>
    <n v="6"/>
    <d v="2019-12-18T00:00:00"/>
    <d v="2019-11-18T00:00:00"/>
    <s v="no"/>
    <s v="---"/>
    <s v="---"/>
    <s v="---"/>
    <x v="6"/>
    <s v="---"/>
    <s v="---"/>
    <s v="https://www.commcarehq.org/a/demo-18/api/form/attachment/de3314aa-edf5-4ec8-9d4d-0641039e62fd/1574070289502.jpg"/>
    <s v="https://www.commcarehq.org/a/demo-18/api/form/attachment/de3314aa-edf5-4ec8-9d4d-0641039e62fd/1574070305130.jpg"/>
    <s v="https://www.commcarehq.org/a/demo-18/api/form/attachment/de3314aa-edf5-4ec8-9d4d-0641039e62fd/1574070400484.jpg"/>
    <s v="https://www.commcarehq.org/a/demo-18/api/form/attachment/de3314aa-edf5-4ec8-9d4d-0641039e62fd/1574070413531.jpg"/>
    <s v="https://www.commcarehq.org/a/demo-18/api/form/attachment/de3314aa-edf5-4ec8-9d4d-0641039e62fd/1574070434706.jpg"/>
    <s v="https://www.commcarehq.org/a/demo-18/api/form/attachment/de3314aa-edf5-4ec8-9d4d-0641039e62fd/1574070452571.jpg"/>
    <d v="2019-11-18T09:47:34"/>
    <d v="2019-11-18T09:43:54"/>
    <s v="arnold"/>
    <d v="2019-11-18T10:21:56"/>
    <s v="de3314aa-edf5-4ec8-9d4d-0641039e62fd"/>
    <s v="https://www.commcarehq.org/a/demo-18/reports/form_data/de3314aa-edf5-4ec8-9d4d-0641039e62fd/"/>
  </r>
  <r>
    <x v="72"/>
    <n v="5.6"/>
    <d v="2020-03-12T00:00:00"/>
    <d v="2020-02-11T00:00:00"/>
    <s v="no"/>
    <s v="---"/>
    <s v="---"/>
    <s v="---"/>
    <x v="0"/>
    <s v="no"/>
    <s v="---"/>
    <s v="https://www.commcarehq.org/a/demo-18/api/form/attachment/20cd8493-7cb0-4fd3-87ea-430d455a1699/1581407355515.jpg"/>
    <s v="https://www.commcarehq.org/a/demo-18/api/form/attachment/20cd8493-7cb0-4fd3-87ea-430d455a1699/1581407370600.jpg"/>
    <s v="https://www.commcarehq.org/a/demo-18/api/form/attachment/20cd8493-7cb0-4fd3-87ea-430d455a1699/1581407404558.jpg"/>
    <s v="https://www.commcarehq.org/a/demo-18/api/form/attachment/20cd8493-7cb0-4fd3-87ea-430d455a1699/1581407412753.jpg"/>
    <s v="https://www.commcarehq.org/a/demo-18/api/form/attachment/20cd8493-7cb0-4fd3-87ea-430d455a1699/1581407474296.jpg"/>
    <s v="https://www.commcarehq.org/a/demo-18/api/form/attachment/20cd8493-7cb0-4fd3-87ea-430d455a1699/1581407485173.jpg"/>
    <d v="2020-02-11T07:51:30"/>
    <d v="2020-02-11T07:48:12"/>
    <s v="arnold"/>
    <d v="2020-02-11T07:51:54"/>
    <s v="20cd8493-7cb0-4fd3-87ea-430d455a1699"/>
    <s v="https://www.commcarehq.org/a/demo-18/reports/form_data/20cd8493-7cb0-4fd3-87ea-430d455a1699/"/>
  </r>
  <r>
    <x v="73"/>
    <n v="7.8"/>
    <d v="2020-03-15T00:00:00"/>
    <d v="2020-02-14T00:00:00"/>
    <s v="no"/>
    <s v="---"/>
    <s v="---"/>
    <s v="---"/>
    <x v="2"/>
    <s v="no"/>
    <s v="---"/>
    <s v="https://www.commcarehq.org/a/demo-18/api/form/attachment/1be5db78-7903-4c45-b1fd-4bf262da16e0/1581663874244.jpg"/>
    <s v="https://www.commcarehq.org/a/demo-18/api/form/attachment/1be5db78-7903-4c45-b1fd-4bf262da16e0/1581663890534.jpg"/>
    <s v="https://www.commcarehq.org/a/demo-18/api/form/attachment/1be5db78-7903-4c45-b1fd-4bf262da16e0/1581663988639.jpg"/>
    <s v="https://www.commcarehq.org/a/demo-18/api/form/attachment/1be5db78-7903-4c45-b1fd-4bf262da16e0/1581663998497.jpg"/>
    <s v="https://www.commcarehq.org/a/demo-18/api/form/attachment/1be5db78-7903-4c45-b1fd-4bf262da16e0/1581664052470.jpg"/>
    <s v="https://www.commcarehq.org/a/demo-18/api/form/attachment/1be5db78-7903-4c45-b1fd-4bf262da16e0/1581664063131.jpg"/>
    <d v="2020-02-14T07:07:44"/>
    <d v="2020-02-14T07:01:43"/>
    <s v="arnold"/>
    <d v="2020-02-14T07:08:06"/>
    <s v="1be5db78-7903-4c45-b1fd-4bf262da16e0"/>
    <s v="https://www.commcarehq.org/a/demo-18/reports/form_data/1be5db78-7903-4c45-b1fd-4bf262da16e0/"/>
  </r>
  <r>
    <x v="74"/>
    <n v="7.9"/>
    <d v="2020-03-21T00:00:00"/>
    <d v="2020-02-20T00:00:00"/>
    <s v="no"/>
    <s v="---"/>
    <s v="---"/>
    <s v="---"/>
    <x v="2"/>
    <s v="no"/>
    <s v="---"/>
    <s v="https://www.commcarehq.org/a/demo-18/api/form/attachment/872bc9b0-7653-43ce-872c-1e162aee67ae/1582184906427.jpg"/>
    <s v="https://www.commcarehq.org/a/demo-18/api/form/attachment/872bc9b0-7653-43ce-872c-1e162aee67ae/1582184925749.jpg"/>
    <s v="https://www.commcarehq.org/a/demo-18/api/form/attachment/872bc9b0-7653-43ce-872c-1e162aee67ae/1582184956479.jpg"/>
    <s v="https://www.commcarehq.org/a/demo-18/api/form/attachment/872bc9b0-7653-43ce-872c-1e162aee67ae/1582184965252.jpg"/>
    <s v="https://www.commcarehq.org/a/demo-18/api/form/attachment/872bc9b0-7653-43ce-872c-1e162aee67ae/1582184980104.jpg"/>
    <s v="https://www.commcarehq.org/a/demo-18/api/form/attachment/872bc9b0-7653-43ce-872c-1e162aee67ae/1582184989096.jpg"/>
    <d v="2020-02-20T07:49:53"/>
    <d v="2020-02-20T07:47:53"/>
    <s v="arnold"/>
    <d v="2020-02-20T07:50:13"/>
    <s v="872bc9b0-7653-43ce-872c-1e162aee67ae"/>
    <s v="https://www.commcarehq.org/a/demo-18/reports/form_data/872bc9b0-7653-43ce-872c-1e162aee67ae/"/>
  </r>
  <r>
    <x v="75"/>
    <n v="5.9"/>
    <d v="2020-03-21T00:00:00"/>
    <d v="2020-02-20T00:00:00"/>
    <s v="no"/>
    <s v="---"/>
    <s v="---"/>
    <s v="---"/>
    <x v="2"/>
    <s v="no"/>
    <s v="---"/>
    <s v="https://www.commcarehq.org/a/demo-18/api/form/attachment/f02096a6-d407-41dd-8911-ac09942f9fb5/1582183061194.jpg"/>
    <s v="https://www.commcarehq.org/a/demo-18/api/form/attachment/f02096a6-d407-41dd-8911-ac09942f9fb5/1582183078288.jpg"/>
    <s v="https://www.commcarehq.org/a/demo-18/api/form/attachment/f02096a6-d407-41dd-8911-ac09942f9fb5/1582183136090.jpg"/>
    <s v="https://www.commcarehq.org/a/demo-18/api/form/attachment/f02096a6-d407-41dd-8911-ac09942f9fb5/1582183145274.jpg"/>
    <s v="https://www.commcarehq.org/a/demo-18/api/form/attachment/f02096a6-d407-41dd-8911-ac09942f9fb5/1582183184992.jpg"/>
    <s v="https://www.commcarehq.org/a/demo-18/api/form/attachment/f02096a6-d407-41dd-8911-ac09942f9fb5/1582183194452.jpg"/>
    <d v="2020-02-20T07:19:56"/>
    <d v="2020-02-20T07:16:43"/>
    <s v="arnold"/>
    <d v="2020-02-20T07:20:17"/>
    <s v="f02096a6-d407-41dd-8911-ac09942f9fb5"/>
    <s v="https://www.commcarehq.org/a/demo-18/reports/form_data/f02096a6-d407-41dd-8911-ac09942f9fb5/"/>
  </r>
  <r>
    <x v="76"/>
    <n v="5.9"/>
    <d v="2020-03-21T00:00:00"/>
    <d v="2020-02-20T00:00:00"/>
    <s v="no"/>
    <s v="---"/>
    <s v="---"/>
    <s v="---"/>
    <x v="0"/>
    <s v="no"/>
    <s v="---"/>
    <s v="https://www.commcarehq.org/a/demo-18/api/form/attachment/1bfcc2fe-fe3a-4a14-8e88-84786cbf707a/1582189478070.jpg"/>
    <s v="https://www.commcarehq.org/a/demo-18/api/form/attachment/1bfcc2fe-fe3a-4a14-8e88-84786cbf707a/1582189494585.jpg"/>
    <s v="https://www.commcarehq.org/a/demo-18/api/form/attachment/1bfcc2fe-fe3a-4a14-8e88-84786cbf707a/1582189535170.jpg"/>
    <s v="https://www.commcarehq.org/a/demo-18/api/form/attachment/1bfcc2fe-fe3a-4a14-8e88-84786cbf707a/1582189545906.jpg"/>
    <s v="https://www.commcarehq.org/a/demo-18/api/form/attachment/1bfcc2fe-fe3a-4a14-8e88-84786cbf707a/1582189567535.jpg"/>
    <s v="https://www.commcarehq.org/a/demo-18/api/form/attachment/1bfcc2fe-fe3a-4a14-8e88-84786cbf707a/1582189577630.jpg"/>
    <d v="2020-02-20T09:06:19"/>
    <d v="2020-02-20T09:02:42"/>
    <s v="arnold"/>
    <d v="2020-02-20T09:06:46"/>
    <s v="1bfcc2fe-fe3a-4a14-8e88-84786cbf707a"/>
    <s v="https://www.commcarehq.org/a/demo-18/reports/form_data/1bfcc2fe-fe3a-4a14-8e88-84786cbf707a/"/>
  </r>
  <r>
    <x v="77"/>
    <n v="6.5"/>
    <d v="2020-03-21T00:00:00"/>
    <d v="2020-02-20T00:00:00"/>
    <s v="no"/>
    <s v="---"/>
    <s v="---"/>
    <s v="---"/>
    <x v="9"/>
    <s v="no"/>
    <s v="---"/>
    <s v="https://www.commcarehq.org/a/demo-18/api/form/attachment/6bf389d2-8a37-463d-81d2-0e3308a34ade/1582192427806.jpg"/>
    <s v="https://www.commcarehq.org/a/demo-18/api/form/attachment/6bf389d2-8a37-463d-81d2-0e3308a34ade/1582192441352.jpg"/>
    <s v="https://www.commcarehq.org/a/demo-18/api/form/attachment/6bf389d2-8a37-463d-81d2-0e3308a34ade/1582192468049.jpg"/>
    <s v="https://www.commcarehq.org/a/demo-18/api/form/attachment/6bf389d2-8a37-463d-81d2-0e3308a34ade/1582192479025.jpg"/>
    <s v="https://www.commcarehq.org/a/demo-18/api/form/attachment/6bf389d2-8a37-463d-81d2-0e3308a34ade/1582192495932.jpg"/>
    <s v="https://www.commcarehq.org/a/demo-18/api/form/attachment/6bf389d2-8a37-463d-81d2-0e3308a34ade/1582192505433.jpg"/>
    <d v="2020-02-20T09:55:07"/>
    <d v="2020-02-20T09:53:03"/>
    <s v="arnold"/>
    <d v="2020-02-20T09:55:24"/>
    <s v="6bf389d2-8a37-463d-81d2-0e3308a34ade"/>
    <s v="https://www.commcarehq.org/a/demo-18/reports/form_data/6bf389d2-8a37-463d-81d2-0e3308a34ade/"/>
  </r>
  <r>
    <x v="78"/>
    <n v="5.8"/>
    <d v="2020-03-21T00:00:00"/>
    <d v="2020-02-20T00:00:00"/>
    <s v="no"/>
    <s v="---"/>
    <s v="---"/>
    <s v="---"/>
    <x v="10"/>
    <s v="no"/>
    <s v="---"/>
    <s v="https://www.commcarehq.org/a/demo-18/api/form/attachment/aff5634c-bc49-4259-94bf-6cb6ebd5ea36/1582185920009.jpg"/>
    <s v="https://www.commcarehq.org/a/demo-18/api/form/attachment/aff5634c-bc49-4259-94bf-6cb6ebd5ea36/1582185938087.jpg"/>
    <s v="https://www.commcarehq.org/a/demo-18/api/form/attachment/aff5634c-bc49-4259-94bf-6cb6ebd5ea36/1582185999775.jpg"/>
    <s v="https://www.commcarehq.org/a/demo-18/api/form/attachment/aff5634c-bc49-4259-94bf-6cb6ebd5ea36/1582186008484.jpg"/>
    <s v="https://www.commcarehq.org/a/demo-18/api/form/attachment/aff5634c-bc49-4259-94bf-6cb6ebd5ea36/1582186036599.jpg"/>
    <s v="https://www.commcarehq.org/a/demo-18/api/form/attachment/aff5634c-bc49-4259-94bf-6cb6ebd5ea36/1582186047285.jpg"/>
    <d v="2020-02-20T08:07:34"/>
    <d v="2020-02-20T08:04:29"/>
    <s v="arnold"/>
    <d v="2020-02-20T08:08:11"/>
    <s v="aff5634c-bc49-4259-94bf-6cb6ebd5ea36"/>
    <s v="https://www.commcarehq.org/a/demo-18/reports/form_data/aff5634c-bc49-4259-94bf-6cb6ebd5ea36/"/>
  </r>
  <r>
    <x v="79"/>
    <n v="6.5"/>
    <d v="2020-03-21T00:00:00"/>
    <d v="2020-02-20T00:00:00"/>
    <s v="no"/>
    <s v="---"/>
    <s v="---"/>
    <s v="---"/>
    <x v="0"/>
    <s v="no"/>
    <s v="---"/>
    <s v="https://www.commcarehq.org/a/demo-18/api/form/attachment/36f5a946-71f6-4696-b237-f28ee837930b/1582190132227.jpg"/>
    <s v="https://www.commcarehq.org/a/demo-18/api/form/attachment/36f5a946-71f6-4696-b237-f28ee837930b/1582190147618.jpg"/>
    <s v="https://www.commcarehq.org/a/demo-18/api/form/attachment/36f5a946-71f6-4696-b237-f28ee837930b/1582190175775.jpg"/>
    <s v="https://www.commcarehq.org/a/demo-18/api/form/attachment/36f5a946-71f6-4696-b237-f28ee837930b/1582190185610.jpg"/>
    <s v="https://www.commcarehq.org/a/demo-18/api/form/attachment/36f5a946-71f6-4696-b237-f28ee837930b/1582190219346.jpg"/>
    <s v="https://www.commcarehq.org/a/demo-18/api/form/attachment/36f5a946-71f6-4696-b237-f28ee837930b/1582190229370.jpg"/>
    <d v="2020-02-20T09:17:11"/>
    <d v="2020-02-20T09:14:47"/>
    <s v="arnold"/>
    <d v="2020-02-20T09:17:35"/>
    <s v="36f5a946-71f6-4696-b237-f28ee837930b"/>
    <s v="https://www.commcarehq.org/a/demo-18/reports/form_data/36f5a946-71f6-4696-b237-f28ee837930b/"/>
  </r>
  <r>
    <x v="80"/>
    <n v="6"/>
    <d v="2020-03-22T00:00:00"/>
    <d v="2020-02-21T00:00:00"/>
    <s v="no"/>
    <s v="---"/>
    <s v="---"/>
    <s v="---"/>
    <x v="2"/>
    <s v="no"/>
    <s v="---"/>
    <s v="https://www.commcarehq.org/a/demo-18/api/form/attachment/0b49ba41-e77e-4602-be99-927efdd8fe63/1582272672337.jpg"/>
    <s v="https://www.commcarehq.org/a/demo-18/api/form/attachment/0b49ba41-e77e-4602-be99-927efdd8fe63/1582272688239.jpg"/>
    <s v="https://www.commcarehq.org/a/demo-18/api/form/attachment/0b49ba41-e77e-4602-be99-927efdd8fe63/1582272732123.jpg"/>
    <s v="https://www.commcarehq.org/a/demo-18/api/form/attachment/0b49ba41-e77e-4602-be99-927efdd8fe63/1582272742537.jpg"/>
    <s v="https://www.commcarehq.org/a/demo-18/api/form/attachment/0b49ba41-e77e-4602-be99-927efdd8fe63/1582272763101.jpg"/>
    <s v="https://www.commcarehq.org/a/demo-18/api/form/attachment/0b49ba41-e77e-4602-be99-927efdd8fe63/1582272777781.jpg"/>
    <d v="2020-02-21T08:12:59"/>
    <d v="2020-02-21T08:10:41"/>
    <s v="arnold"/>
    <d v="2020-02-21T08:13:18"/>
    <s v="0b49ba41-e77e-4602-be99-927efdd8fe63"/>
    <s v="https://www.commcarehq.org/a/demo-18/reports/form_data/0b49ba41-e77e-4602-be99-927efdd8fe63/"/>
  </r>
  <r>
    <x v="81"/>
    <n v="6"/>
    <d v="2020-03-22T00:00:00"/>
    <d v="2020-02-21T00:00:00"/>
    <s v="no"/>
    <s v="---"/>
    <s v="---"/>
    <s v="---"/>
    <x v="0"/>
    <s v="no"/>
    <s v="---"/>
    <s v="https://www.commcarehq.org/a/demo-18/api/form/attachment/a5d36cf0-8245-4f29-9a97-d77b7c5319af/1582267959240.jpg"/>
    <s v="https://www.commcarehq.org/a/demo-18/api/form/attachment/a5d36cf0-8245-4f29-9a97-d77b7c5319af/1582267975269.jpg"/>
    <s v="https://www.commcarehq.org/a/demo-18/api/form/attachment/a5d36cf0-8245-4f29-9a97-d77b7c5319af/1582268111907.jpg"/>
    <s v="https://www.commcarehq.org/a/demo-18/api/form/attachment/a5d36cf0-8245-4f29-9a97-d77b7c5319af/1582268120542.jpg"/>
    <s v="https://www.commcarehq.org/a/demo-18/api/form/attachment/a5d36cf0-8245-4f29-9a97-d77b7c5319af/1582268141771.jpg"/>
    <s v="https://www.commcarehq.org/a/demo-18/api/form/attachment/a5d36cf0-8245-4f29-9a97-d77b7c5319af/1582268150706.jpg"/>
    <d v="2020-02-21T06:55:52"/>
    <d v="2020-02-21T06:52:19"/>
    <s v="arnold"/>
    <d v="2020-02-21T06:56:16"/>
    <s v="a5d36cf0-8245-4f29-9a97-d77b7c5319af"/>
    <s v="https://www.commcarehq.org/a/demo-18/reports/form_data/a5d36cf0-8245-4f29-9a97-d77b7c5319af/"/>
  </r>
  <r>
    <x v="82"/>
    <n v="6.1"/>
    <d v="2020-03-25T00:00:00"/>
    <d v="2020-02-24T00:00:00"/>
    <s v="no"/>
    <s v="---"/>
    <s v="---"/>
    <s v="---"/>
    <x v="10"/>
    <s v="no"/>
    <s v="---"/>
    <s v="https://www.commcarehq.org/a/demo-18/api/form/attachment/c446789d-4b97-403e-a4df-d7cab5c4965c/1582527667872.jpg"/>
    <s v="https://www.commcarehq.org/a/demo-18/api/form/attachment/c446789d-4b97-403e-a4df-d7cab5c4965c/1582527683226.jpg"/>
    <s v="https://www.commcarehq.org/a/demo-18/api/form/attachment/c446789d-4b97-403e-a4df-d7cab5c4965c/1582527707987.jpg"/>
    <s v="https://www.commcarehq.org/a/demo-18/api/form/attachment/c446789d-4b97-403e-a4df-d7cab5c4965c/1582527715677.jpg"/>
    <s v="https://www.commcarehq.org/a/demo-18/api/form/attachment/c446789d-4b97-403e-a4df-d7cab5c4965c/1582527732467.jpg"/>
    <s v="https://www.commcarehq.org/a/demo-18/api/form/attachment/c446789d-4b97-403e-a4df-d7cab5c4965c/1582527741013.jpg"/>
    <d v="2020-02-24T07:02:22"/>
    <d v="2020-02-24T07:00:29"/>
    <s v="arnold"/>
    <d v="2020-02-24T07:02:47"/>
    <s v="c446789d-4b97-403e-a4df-d7cab5c4965c"/>
    <s v="https://www.commcarehq.org/a/demo-18/reports/form_data/c446789d-4b97-403e-a4df-d7cab5c4965c/"/>
  </r>
  <r>
    <x v="83"/>
    <n v="5.5"/>
    <d v="2020-03-25T00:00:00"/>
    <d v="2020-02-24T00:00:00"/>
    <s v="no"/>
    <s v="---"/>
    <s v="---"/>
    <s v="---"/>
    <x v="9"/>
    <s v="no"/>
    <s v="---"/>
    <s v="https://www.commcarehq.org/a/demo-18/api/form/attachment/57291ccb-a687-4110-9755-998f9c4be179/1582538411726.jpg"/>
    <s v="https://www.commcarehq.org/a/demo-18/api/form/attachment/57291ccb-a687-4110-9755-998f9c4be179/1582538424391.jpg"/>
    <s v="https://www.commcarehq.org/a/demo-18/api/form/attachment/57291ccb-a687-4110-9755-998f9c4be179/1582538478173.jpg"/>
    <s v="https://www.commcarehq.org/a/demo-18/api/form/attachment/57291ccb-a687-4110-9755-998f9c4be179/1582538487450.jpg"/>
    <s v="https://www.commcarehq.org/a/demo-18/api/form/attachment/57291ccb-a687-4110-9755-998f9c4be179/1582538501472.jpg"/>
    <s v="https://www.commcarehq.org/a/demo-18/api/form/attachment/57291ccb-a687-4110-9755-998f9c4be179/1582538513819.jpg"/>
    <d v="2020-02-24T10:01:55"/>
    <d v="2020-02-24T09:59:24"/>
    <s v="arnold"/>
    <d v="2020-02-24T10:02:18"/>
    <s v="57291ccb-a687-4110-9755-998f9c4be179"/>
    <s v="https://www.commcarehq.org/a/demo-18/reports/form_data/57291ccb-a687-4110-9755-998f9c4be179/"/>
  </r>
  <r>
    <x v="84"/>
    <n v="5.4"/>
    <d v="2020-03-27T00:00:00"/>
    <d v="2020-02-26T00:00:00"/>
    <s v="no"/>
    <s v="---"/>
    <s v="---"/>
    <s v="---"/>
    <x v="12"/>
    <s v="no"/>
    <s v="---"/>
    <s v="https://www.commcarehq.org/a/demo-18/api/form/attachment/6cad4b31-4b0a-4585-9258-a4a64c64efc1/1582706403524.jpg"/>
    <s v="https://www.commcarehq.org/a/demo-18/api/form/attachment/6cad4b31-4b0a-4585-9258-a4a64c64efc1/1582706423056.jpg"/>
    <s v="https://www.commcarehq.org/a/demo-18/api/form/attachment/6cad4b31-4b0a-4585-9258-a4a64c64efc1/1582706469638.jpg"/>
    <s v="https://www.commcarehq.org/a/demo-18/api/form/attachment/6cad4b31-4b0a-4585-9258-a4a64c64efc1/1582706479139.jpg"/>
    <s v="https://www.commcarehq.org/a/demo-18/api/form/attachment/6cad4b31-4b0a-4585-9258-a4a64c64efc1/1582706500442.jpg"/>
    <s v="https://www.commcarehq.org/a/demo-18/api/form/attachment/6cad4b31-4b0a-4585-9258-a4a64c64efc1/1582706509523.jpg"/>
    <d v="2020-02-26T08:41:52"/>
    <d v="2020-02-26T08:39:24"/>
    <s v="arnold"/>
    <d v="2020-02-26T11:20:54"/>
    <s v="6cad4b31-4b0a-4585-9258-a4a64c64efc1"/>
    <s v="https://www.commcarehq.org/a/demo-18/reports/form_data/6cad4b31-4b0a-4585-9258-a4a64c64efc1/"/>
  </r>
  <r>
    <x v="85"/>
    <n v="7.8"/>
    <d v="2020-03-28T00:00:00"/>
    <d v="2020-02-27T00:00:00"/>
    <s v="no"/>
    <s v="---"/>
    <s v="---"/>
    <s v="---"/>
    <x v="9"/>
    <s v="no"/>
    <s v="---"/>
    <s v="https://www.commcarehq.org/a/demo-18/api/form/attachment/a20b3a0e-4143-427c-85ab-d88131ef0b15/1582785350417.jpg"/>
    <s v="https://www.commcarehq.org/a/demo-18/api/form/attachment/a20b3a0e-4143-427c-85ab-d88131ef0b15/1582785366791.jpg"/>
    <s v="https://www.commcarehq.org/a/demo-18/api/form/attachment/a20b3a0e-4143-427c-85ab-d88131ef0b15/1582785424933.jpg"/>
    <s v="https://www.commcarehq.org/a/demo-18/api/form/attachment/a20b3a0e-4143-427c-85ab-d88131ef0b15/1582785438249.jpg"/>
    <s v="https://www.commcarehq.org/a/demo-18/api/form/attachment/a20b3a0e-4143-427c-85ab-d88131ef0b15/1582785467042.jpg"/>
    <s v="https://www.commcarehq.org/a/demo-18/api/form/attachment/a20b3a0e-4143-427c-85ab-d88131ef0b15/1582785479811.jpg"/>
    <d v="2020-02-27T06:38:02"/>
    <d v="2020-02-27T06:35:15"/>
    <s v="arnold"/>
    <d v="2020-02-27T06:38:36"/>
    <s v="a20b3a0e-4143-427c-85ab-d88131ef0b15"/>
    <s v="https://www.commcarehq.org/a/demo-18/reports/form_data/a20b3a0e-4143-427c-85ab-d88131ef0b15/"/>
  </r>
  <r>
    <x v="86"/>
    <n v="6.2"/>
    <d v="2020-03-28T00:00:00"/>
    <d v="2020-02-27T00:00:00"/>
    <s v="no"/>
    <s v="---"/>
    <s v="---"/>
    <s v="---"/>
    <x v="0"/>
    <s v="no"/>
    <s v="---"/>
    <s v="https://www.commcarehq.org/a/demo-18/api/form/attachment/01d9699f-9398-41d5-aa4e-1193482ba895/1582794323470.jpg"/>
    <s v="https://www.commcarehq.org/a/demo-18/api/form/attachment/01d9699f-9398-41d5-aa4e-1193482ba895/1582794339498.jpg"/>
    <s v="https://www.commcarehq.org/a/demo-18/api/form/attachment/01d9699f-9398-41d5-aa4e-1193482ba895/1582794396022.jpg"/>
    <s v="https://www.commcarehq.org/a/demo-18/api/form/attachment/01d9699f-9398-41d5-aa4e-1193482ba895/1582794405214.jpg"/>
    <s v="https://www.commcarehq.org/a/demo-18/api/form/attachment/01d9699f-9398-41d5-aa4e-1193482ba895/1582794423920.jpg"/>
    <s v="https://www.commcarehq.org/a/demo-18/api/form/attachment/01d9699f-9398-41d5-aa4e-1193482ba895/1582794436634.jpg"/>
    <d v="2020-02-27T09:07:22"/>
    <d v="2020-02-27T09:04:17"/>
    <s v="arnold"/>
    <d v="2020-02-27T09:07:41"/>
    <s v="01d9699f-9398-41d5-aa4e-1193482ba895"/>
    <s v="https://www.commcarehq.org/a/demo-18/reports/form_data/01d9699f-9398-41d5-aa4e-1193482ba895/"/>
  </r>
  <r>
    <x v="87"/>
    <n v="6.5"/>
    <d v="2019-12-29T00:00:00"/>
    <d v="2019-11-29T00:00:00"/>
    <s v="no"/>
    <s v="---"/>
    <s v="---"/>
    <s v="---"/>
    <x v="6"/>
    <s v="---"/>
    <s v="---"/>
    <s v="https://www.commcarehq.org/a/demo-18/api/form/attachment/a848b48c-294c-4d6b-af6a-0edae8e60555/1575007988784.jpg"/>
    <s v="https://www.commcarehq.org/a/demo-18/api/form/attachment/a848b48c-294c-4d6b-af6a-0edae8e60555/1575008002350.jpg"/>
    <s v="https://www.commcarehq.org/a/demo-18/api/form/attachment/a848b48c-294c-4d6b-af6a-0edae8e60555/1575008055364.jpg"/>
    <s v="https://www.commcarehq.org/a/demo-18/api/form/attachment/a848b48c-294c-4d6b-af6a-0edae8e60555/1575008064902.jpg"/>
    <s v="https://www.commcarehq.org/a/demo-18/api/form/attachment/a848b48c-294c-4d6b-af6a-0edae8e60555/1575008084456.jpg"/>
    <s v="https://www.commcarehq.org/a/demo-18/api/form/attachment/a848b48c-294c-4d6b-af6a-0edae8e60555/1575008118710.jpg"/>
    <d v="2019-11-29T06:15:20"/>
    <d v="2019-11-29T06:12:15"/>
    <s v="arnold"/>
    <d v="2019-11-29T08:45:30"/>
    <s v="a848b48c-294c-4d6b-af6a-0edae8e60555"/>
    <s v="https://www.commcarehq.org/a/demo-18/reports/form_data/a848b48c-294c-4d6b-af6a-0edae8e60555/"/>
  </r>
  <r>
    <x v="88"/>
    <n v="6.5"/>
    <d v="2019-12-29T00:00:00"/>
    <d v="2019-11-29T00:00:00"/>
    <s v="no"/>
    <s v="---"/>
    <s v="---"/>
    <s v="---"/>
    <x v="0"/>
    <s v="---"/>
    <s v="---"/>
    <s v="https://www.commcarehq.org/a/demo-18/api/form/attachment/7062a084-e77b-4040-8039-39776b18c10d/1575012159934.jpg"/>
    <s v="https://www.commcarehq.org/a/demo-18/api/form/attachment/7062a084-e77b-4040-8039-39776b18c10d/1575012177365.jpg"/>
    <s v="https://www.commcarehq.org/a/demo-18/api/form/attachment/7062a084-e77b-4040-8039-39776b18c10d/1575012220233.jpg"/>
    <s v="https://www.commcarehq.org/a/demo-18/api/form/attachment/7062a084-e77b-4040-8039-39776b18c10d/1575012228767.jpg"/>
    <s v="https://www.commcarehq.org/a/demo-18/api/form/attachment/7062a084-e77b-4040-8039-39776b18c10d/1575012251198.jpg"/>
    <s v="https://www.commcarehq.org/a/demo-18/api/form/attachment/7062a084-e77b-4040-8039-39776b18c10d/1575012260119.jpg"/>
    <d v="2019-11-29T07:24:21"/>
    <d v="2019-11-29T07:21:35"/>
    <s v="arnold"/>
    <d v="2019-11-29T08:47:03"/>
    <s v="7062a084-e77b-4040-8039-39776b18c10d"/>
    <s v="https://www.commcarehq.org/a/demo-18/reports/form_data/7062a084-e77b-4040-8039-39776b18c10d/"/>
  </r>
  <r>
    <x v="89"/>
    <n v="7.5"/>
    <d v="2019-12-21T00:00:00"/>
    <d v="2019-11-21T00:00:00"/>
    <s v="no"/>
    <s v="---"/>
    <s v="---"/>
    <s v="---"/>
    <x v="6"/>
    <s v="---"/>
    <s v="---"/>
    <s v="https://www.commcarehq.org/a/demo-18/api/form/attachment/a3920f2d-95b3-4aeb-ac52-c98ac657bd8b/1574326381169.jpg"/>
    <s v="https://www.commcarehq.org/a/demo-18/api/form/attachment/a3920f2d-95b3-4aeb-ac52-c98ac657bd8b/1574326396559.jpg"/>
    <s v="https://www.commcarehq.org/a/demo-18/api/form/attachment/a3920f2d-95b3-4aeb-ac52-c98ac657bd8b/1574326445178.jpg"/>
    <s v="https://www.commcarehq.org/a/demo-18/api/form/attachment/a3920f2d-95b3-4aeb-ac52-c98ac657bd8b/1574326456219.jpg"/>
    <s v="https://www.commcarehq.org/a/demo-18/api/form/attachment/a3920f2d-95b3-4aeb-ac52-c98ac657bd8b/1574326478635.jpg"/>
    <s v="https://www.commcarehq.org/a/demo-18/api/form/attachment/a3920f2d-95b3-4aeb-ac52-c98ac657bd8b/1574326491276.jpg"/>
    <d v="2019-11-21T08:54:54"/>
    <d v="2019-11-21T08:52:06"/>
    <s v="arnold"/>
    <d v="2019-11-21T08:55:11"/>
    <s v="a3920f2d-95b3-4aeb-ac52-c98ac657bd8b"/>
    <s v="https://www.commcarehq.org/a/demo-18/reports/form_data/a3920f2d-95b3-4aeb-ac52-c98ac657bd8b/"/>
  </r>
  <r>
    <x v="90"/>
    <n v="6.2"/>
    <d v="2019-12-25T00:00:00"/>
    <d v="2019-11-25T00:00:00"/>
    <s v="no"/>
    <s v="---"/>
    <s v="---"/>
    <s v="---"/>
    <x v="2"/>
    <s v="---"/>
    <s v="---"/>
    <s v="https://www.commcarehq.org/a/demo-18/api/form/attachment/76c5f8b0-af9c-431b-a687-e520a9a4e515/1574669701773.jpg"/>
    <s v="https://www.commcarehq.org/a/demo-18/api/form/attachment/76c5f8b0-af9c-431b-a687-e520a9a4e515/1574669716176.jpg"/>
    <s v="https://www.commcarehq.org/a/demo-18/api/form/attachment/76c5f8b0-af9c-431b-a687-e520a9a4e515/1574669745357.jpg"/>
    <s v="https://www.commcarehq.org/a/demo-18/api/form/attachment/76c5f8b0-af9c-431b-a687-e520a9a4e515/1574669753557.jpg"/>
    <s v="https://www.commcarehq.org/a/demo-18/api/form/attachment/76c5f8b0-af9c-431b-a687-e520a9a4e515/1574669778418.jpg"/>
    <s v="https://www.commcarehq.org/a/demo-18/api/form/attachment/76c5f8b0-af9c-431b-a687-e520a9a4e515/1574669787833.jpg"/>
    <d v="2019-11-25T08:16:30"/>
    <d v="2019-11-25T08:14:12"/>
    <s v="arnold"/>
    <d v="2019-11-25T08:16:43"/>
    <s v="76c5f8b0-af9c-431b-a687-e520a9a4e515"/>
    <s v="https://www.commcarehq.org/a/demo-18/reports/form_data/76c5f8b0-af9c-431b-a687-e520a9a4e515/"/>
  </r>
  <r>
    <x v="91"/>
    <n v="5.5"/>
    <d v="2020-01-10T00:00:00"/>
    <d v="2019-12-11T00:00:00"/>
    <s v="no"/>
    <s v="---"/>
    <s v="---"/>
    <s v="---"/>
    <x v="0"/>
    <s v="---"/>
    <s v="---"/>
    <s v="https://www.commcarehq.org/a/demo-18/api/form/attachment/e3ba910c-c158-42b2-996d-68b259bd794a/1576050337998.jpg"/>
    <s v="https://www.commcarehq.org/a/demo-18/api/form/attachment/e3ba910c-c158-42b2-996d-68b259bd794a/1576050355144.jpg"/>
    <s v="https://www.commcarehq.org/a/demo-18/api/form/attachment/e3ba910c-c158-42b2-996d-68b259bd794a/1576050429899.jpg"/>
    <s v="https://www.commcarehq.org/a/demo-18/api/form/attachment/e3ba910c-c158-42b2-996d-68b259bd794a/1576050438069.jpg"/>
    <s v="https://www.commcarehq.org/a/demo-18/api/form/attachment/e3ba910c-c158-42b2-996d-68b259bd794a/1576050463375.jpg"/>
    <s v="https://www.commcarehq.org/a/demo-18/api/form/attachment/e3ba910c-c158-42b2-996d-68b259bd794a/1576050472053.jpg"/>
    <d v="2019-12-11T07:47:53"/>
    <d v="2019-12-11T07:44:56"/>
    <s v="arnold"/>
    <d v="2019-12-11T10:31:49"/>
    <s v="e3ba910c-c158-42b2-996d-68b259bd794a"/>
    <s v="https://www.commcarehq.org/a/demo-18/reports/form_data/e3ba910c-c158-42b2-996d-68b259bd794a/"/>
  </r>
  <r>
    <x v="92"/>
    <n v="7.2"/>
    <d v="2020-01-10T00:00:00"/>
    <d v="2019-12-11T00:00:00"/>
    <s v="no"/>
    <s v="---"/>
    <s v="---"/>
    <s v="---"/>
    <x v="7"/>
    <s v="---"/>
    <s v="---"/>
    <s v="https://www.commcarehq.org/a/demo-18/api/form/attachment/92723197-401f-4791-96f7-8d432d64f7cd/1576049891326.jpg"/>
    <s v="https://www.commcarehq.org/a/demo-18/api/form/attachment/92723197-401f-4791-96f7-8d432d64f7cd/1576049908020.jpg"/>
    <s v="https://www.commcarehq.org/a/demo-18/api/form/attachment/92723197-401f-4791-96f7-8d432d64f7cd/1576049945127.jpg"/>
    <s v="https://www.commcarehq.org/a/demo-18/api/form/attachment/92723197-401f-4791-96f7-8d432d64f7cd/1576049963240.jpg"/>
    <s v="https://www.commcarehq.org/a/demo-18/api/form/attachment/92723197-401f-4791-96f7-8d432d64f7cd/1576049977691.jpg"/>
    <s v="https://www.commcarehq.org/a/demo-18/api/form/attachment/92723197-401f-4791-96f7-8d432d64f7cd/1576049987518.jpg"/>
    <d v="2019-12-11T07:39:49"/>
    <d v="2019-12-11T07:37:27"/>
    <s v="arnold"/>
    <d v="2019-12-11T10:31:26"/>
    <s v="92723197-401f-4791-96f7-8d432d64f7cd"/>
    <s v="https://www.commcarehq.org/a/demo-18/reports/form_data/92723197-401f-4791-96f7-8d432d64f7cd/"/>
  </r>
  <r>
    <x v="93"/>
    <n v="6.6"/>
    <d v="2020-01-12T00:00:00"/>
    <d v="2019-12-13T00:00:00"/>
    <s v="no"/>
    <s v="---"/>
    <s v="---"/>
    <s v="---"/>
    <x v="8"/>
    <s v="---"/>
    <s v="---"/>
    <s v="https://www.commcarehq.org/a/demo-18/api/form/attachment/4ec164f0-46fb-4e23-a3a9-9d1ecce2fe51/1576222110904.jpg"/>
    <s v="https://www.commcarehq.org/a/demo-18/api/form/attachment/4ec164f0-46fb-4e23-a3a9-9d1ecce2fe51/1576222133889.jpg"/>
    <s v="https://www.commcarehq.org/a/demo-18/api/form/attachment/4ec164f0-46fb-4e23-a3a9-9d1ecce2fe51/1576222234874.jpg"/>
    <s v="https://www.commcarehq.org/a/demo-18/api/form/attachment/4ec164f0-46fb-4e23-a3a9-9d1ecce2fe51/1576222248933.jpg"/>
    <s v="https://www.commcarehq.org/a/demo-18/api/form/attachment/4ec164f0-46fb-4e23-a3a9-9d1ecce2fe51/1576222266337.jpg"/>
    <s v="https://www.commcarehq.org/a/demo-18/api/form/attachment/4ec164f0-46fb-4e23-a3a9-9d1ecce2fe51/1576222275193.jpg"/>
    <d v="2019-12-13T07:31:16"/>
    <d v="2019-12-13T07:28:04"/>
    <s v="arnold"/>
    <d v="2019-12-13T07:31:36"/>
    <s v="4ec164f0-46fb-4e23-a3a9-9d1ecce2fe51"/>
    <s v="https://www.commcarehq.org/a/demo-18/reports/form_data/4ec164f0-46fb-4e23-a3a9-9d1ecce2fe51/"/>
  </r>
  <r>
    <x v="94"/>
    <n v="7.7"/>
    <d v="2019-12-18T00:00:00"/>
    <d v="2019-11-18T00:00:00"/>
    <s v="no"/>
    <s v="---"/>
    <s v="---"/>
    <s v="---"/>
    <x v="0"/>
    <s v="---"/>
    <s v="---"/>
    <s v="https://www.commcarehq.org/a/demo-18/api/form/attachment/142e0f94-098e-448e-b3d4-1e05913f9dc6/1574069261364.jpg"/>
    <s v="https://www.commcarehq.org/a/demo-18/api/form/attachment/142e0f94-098e-448e-b3d4-1e05913f9dc6/1574069278339.jpg"/>
    <s v="https://www.commcarehq.org/a/demo-18/api/form/attachment/142e0f94-098e-448e-b3d4-1e05913f9dc6/1574069333531.jpg"/>
    <s v="https://www.commcarehq.org/a/demo-18/api/form/attachment/142e0f94-098e-448e-b3d4-1e05913f9dc6/1574069343626.jpg"/>
    <s v="https://www.commcarehq.org/a/demo-18/api/form/attachment/142e0f94-098e-448e-b3d4-1e05913f9dc6/1574069363749.jpg"/>
    <s v="https://www.commcarehq.org/a/demo-18/api/form/attachment/142e0f94-098e-448e-b3d4-1e05913f9dc6/1574069374300.jpg"/>
    <d v="2019-11-18T09:29:37"/>
    <d v="2019-11-18T09:26:54"/>
    <s v="arnold"/>
    <d v="2019-11-18T10:21:03"/>
    <s v="142e0f94-098e-448e-b3d4-1e05913f9dc6"/>
    <s v="https://www.commcarehq.org/a/demo-18/reports/form_data/142e0f94-098e-448e-b3d4-1e05913f9dc6/"/>
  </r>
  <r>
    <x v="95"/>
    <n v="6"/>
    <d v="2019-12-18T00:00:00"/>
    <d v="2019-11-18T00:00:00"/>
    <s v="no"/>
    <s v="---"/>
    <s v="---"/>
    <s v="---"/>
    <x v="11"/>
    <s v="---"/>
    <s v="---"/>
    <s v="https://www.commcarehq.org/a/demo-18/api/form/attachment/6a5741dc-01a0-449e-89ab-ea65de227418/1574068724159.jpg"/>
    <s v="https://www.commcarehq.org/a/demo-18/api/form/attachment/6a5741dc-01a0-449e-89ab-ea65de227418/1574068737147.jpg"/>
    <s v="https://www.commcarehq.org/a/demo-18/api/form/attachment/6a5741dc-01a0-449e-89ab-ea65de227418/1574068770427.jpg"/>
    <s v="https://www.commcarehq.org/a/demo-18/api/form/attachment/6a5741dc-01a0-449e-89ab-ea65de227418/1574068791151.jpg"/>
    <s v="https://www.commcarehq.org/a/demo-18/api/form/attachment/6a5741dc-01a0-449e-89ab-ea65de227418/1574068835109.jpg"/>
    <s v="https://www.commcarehq.org/a/demo-18/api/form/attachment/6a5741dc-01a0-449e-89ab-ea65de227418/1574068844698.jpg"/>
    <d v="2019-11-18T09:20:46"/>
    <d v="2019-11-18T09:17:47"/>
    <s v="arnold"/>
    <d v="2019-11-18T10:20:41"/>
    <s v="6a5741dc-01a0-449e-89ab-ea65de227418"/>
    <s v="https://www.commcarehq.org/a/demo-18/reports/form_data/6a5741dc-01a0-449e-89ab-ea65de227418/"/>
  </r>
  <r>
    <x v="96"/>
    <n v="5.6"/>
    <d v="2019-12-21T00:00:00"/>
    <d v="2019-11-21T00:00:00"/>
    <s v="no"/>
    <s v="---"/>
    <s v="---"/>
    <s v="---"/>
    <x v="1"/>
    <s v="---"/>
    <s v="---"/>
    <s v="https://www.commcarehq.org/a/demo-18/api/form/attachment/de6034dd-ec23-409c-a107-bba9cf4ad3cb/1574322192847.jpg"/>
    <s v="https://www.commcarehq.org/a/demo-18/api/form/attachment/de6034dd-ec23-409c-a107-bba9cf4ad3cb/1574322209593.jpg"/>
    <s v="https://www.commcarehq.org/a/demo-18/api/form/attachment/de6034dd-ec23-409c-a107-bba9cf4ad3cb/1574322251606.jpg"/>
    <s v="https://www.commcarehq.org/a/demo-18/api/form/attachment/de6034dd-ec23-409c-a107-bba9cf4ad3cb/1574322260632.jpg"/>
    <s v="https://www.commcarehq.org/a/demo-18/api/form/attachment/de6034dd-ec23-409c-a107-bba9cf4ad3cb/1574322280793.jpg"/>
    <s v="https://www.commcarehq.org/a/demo-18/api/form/attachment/de6034dd-ec23-409c-a107-bba9cf4ad3cb/1574322289197.jpg"/>
    <d v="2019-11-21T07:44:51"/>
    <d v="2019-11-21T07:42:42"/>
    <s v="arnold"/>
    <d v="2019-11-21T07:45:06"/>
    <s v="de6034dd-ec23-409c-a107-bba9cf4ad3cb"/>
    <s v="https://www.commcarehq.org/a/demo-18/reports/form_data/de6034dd-ec23-409c-a107-bba9cf4ad3cb/"/>
  </r>
  <r>
    <x v="97"/>
    <n v="4.5"/>
    <d v="2019-12-06T00:00:00"/>
    <d v="2019-11-06T00:00:00"/>
    <s v="no"/>
    <s v="---"/>
    <s v="---"/>
    <s v="---"/>
    <x v="0"/>
    <s v="---"/>
    <s v="---"/>
    <s v="https://www.commcarehq.org/a/demo-18/api/form/attachment/a5ba3342-b797-414a-8407-682fa71a9039/1573031671164.jpg"/>
    <s v="https://www.commcarehq.org/a/demo-18/api/form/attachment/a5ba3342-b797-414a-8407-682fa71a9039/1573031722082.jpg"/>
    <s v="https://www.commcarehq.org/a/demo-18/api/form/attachment/a5ba3342-b797-414a-8407-682fa71a9039/1573031767108.jpg"/>
    <s v="https://www.commcarehq.org/a/demo-18/api/form/attachment/a5ba3342-b797-414a-8407-682fa71a9039/1573031794971.jpg"/>
    <s v="https://www.commcarehq.org/a/demo-18/api/form/attachment/a5ba3342-b797-414a-8407-682fa71a9039/1573031815407.jpg"/>
    <s v="https://www.commcarehq.org/a/demo-18/api/form/attachment/a5ba3342-b797-414a-8407-682fa71a9039/1573031832876.jpg"/>
    <d v="2019-11-06T09:17:15"/>
    <d v="2019-11-06T09:12:58"/>
    <s v="papias"/>
    <d v="2019-11-06T09:17:31"/>
    <s v="a5ba3342-b797-414a-8407-682fa71a9039"/>
    <s v="https://www.commcarehq.org/a/demo-18/reports/form_data/a5ba3342-b797-414a-8407-682fa71a9039/"/>
  </r>
  <r>
    <x v="98"/>
    <n v="6.1"/>
    <d v="2019-12-11T00:00:00"/>
    <d v="2019-11-11T00:00:00"/>
    <s v="no"/>
    <s v="---"/>
    <s v="---"/>
    <s v="---"/>
    <x v="0"/>
    <s v="---"/>
    <s v="---"/>
    <s v="https://www.commcarehq.org/a/demo-18/api/form/attachment/4b370091-4787-4f1a-bf3a-3923aa54e17a/1573464462751.jpg"/>
    <s v="https://www.commcarehq.org/a/demo-18/api/form/attachment/4b370091-4787-4f1a-bf3a-3923aa54e17a/1573464479110.jpg"/>
    <s v="https://www.commcarehq.org/a/demo-18/api/form/attachment/4b370091-4787-4f1a-bf3a-3923aa54e17a/1573464515597.jpg"/>
    <s v="https://www.commcarehq.org/a/demo-18/api/form/attachment/4b370091-4787-4f1a-bf3a-3923aa54e17a/1573464528251.jpg"/>
    <s v="https://www.commcarehq.org/a/demo-18/api/form/attachment/4b370091-4787-4f1a-bf3a-3923aa54e17a/1573464547713.jpg"/>
    <s v="https://www.commcarehq.org/a/demo-18/api/form/attachment/4b370091-4787-4f1a-bf3a-3923aa54e17a/1573464561669.jpg"/>
    <d v="2019-11-11T09:29:23"/>
    <d v="2019-11-11T09:26:47"/>
    <s v="arnold"/>
    <d v="2019-11-11T10:08:45"/>
    <s v="4b370091-4787-4f1a-bf3a-3923aa54e17a"/>
    <s v="https://www.commcarehq.org/a/demo-18/reports/form_data/4b370091-4787-4f1a-bf3a-3923aa54e17a/"/>
  </r>
  <r>
    <x v="99"/>
    <n v="6.6"/>
    <d v="2019-12-07T00:00:00"/>
    <d v="2019-11-07T00:00:00"/>
    <s v="no"/>
    <s v="---"/>
    <s v="---"/>
    <s v="---"/>
    <x v="1"/>
    <s v="---"/>
    <s v="---"/>
    <s v="https://www.commcarehq.org/a/demo-18/api/form/attachment/9c0d8362-8839-4177-a822-322c7d3490ae/1573119475056.jpg"/>
    <s v="https://www.commcarehq.org/a/demo-18/api/form/attachment/9c0d8362-8839-4177-a822-322c7d3490ae/1573119496069.jpg"/>
    <s v="https://www.commcarehq.org/a/demo-18/api/form/attachment/9c0d8362-8839-4177-a822-322c7d3490ae/1573119541670.jpg"/>
    <s v="https://www.commcarehq.org/a/demo-18/api/form/attachment/9c0d8362-8839-4177-a822-322c7d3490ae/1573119552711.jpg"/>
    <s v="https://www.commcarehq.org/a/demo-18/api/form/attachment/9c0d8362-8839-4177-a822-322c7d3490ae/1573119593229.jpg"/>
    <s v="https://www.commcarehq.org/a/demo-18/api/form/attachment/9c0d8362-8839-4177-a822-322c7d3490ae/1573119607159.jpg"/>
    <d v="2019-11-07T09:40:09"/>
    <d v="2019-11-07T09:37:07"/>
    <s v="arnold"/>
    <d v="2019-11-07T10:12:31"/>
    <s v="9c0d8362-8839-4177-a822-322c7d3490ae"/>
    <s v="https://www.commcarehq.org/a/demo-18/reports/form_data/9c0d8362-8839-4177-a822-322c7d3490ae/"/>
  </r>
  <r>
    <x v="100"/>
    <n v="6.5"/>
    <d v="2020-02-29T00:00:00"/>
    <d v="2020-01-30T00:00:00"/>
    <s v="no"/>
    <s v="---"/>
    <s v="---"/>
    <s v="---"/>
    <x v="0"/>
    <s v="no"/>
    <s v="---"/>
    <s v="https://www.commcarehq.org/a/demo-18/api/form/attachment/8a2bdc86-f10d-47c1-a500-a72bfda551cb/1580366073154.jpg"/>
    <s v="https://www.commcarehq.org/a/demo-18/api/form/attachment/8a2bdc86-f10d-47c1-a500-a72bfda551cb/1580366085735.jpg"/>
    <s v="https://www.commcarehq.org/a/demo-18/api/form/attachment/8a2bdc86-f10d-47c1-a500-a72bfda551cb/1580366116856.jpg"/>
    <s v="https://www.commcarehq.org/a/demo-18/api/form/attachment/8a2bdc86-f10d-47c1-a500-a72bfda551cb/1580366126933.jpg"/>
    <s v="https://www.commcarehq.org/a/demo-18/api/form/attachment/8a2bdc86-f10d-47c1-a500-a72bfda551cb/1580366155333.jpg"/>
    <s v="https://www.commcarehq.org/a/demo-18/api/form/attachment/8a2bdc86-f10d-47c1-a500-a72bfda551cb/1580366164662.jpg"/>
    <d v="2020-01-30T06:36:06"/>
    <d v="2020-01-30T06:34:06"/>
    <s v="arnold"/>
    <d v="2020-01-30T06:36:28"/>
    <s v="8a2bdc86-f10d-47c1-a500-a72bfda551cb"/>
    <s v="https://www.commcarehq.org/a/demo-18/reports/form_data/8a2bdc86-f10d-47c1-a500-a72bfda551cb/"/>
  </r>
  <r>
    <x v="101"/>
    <n v="5"/>
    <d v="2020-03-13T00:00:00"/>
    <d v="2020-02-12T00:00:00"/>
    <s v="no"/>
    <s v="---"/>
    <s v="---"/>
    <s v="---"/>
    <x v="10"/>
    <s v="no"/>
    <s v="---"/>
    <s v="https://www.commcarehq.org/a/demo-18/api/form/attachment/26505b36-f12f-45dc-b056-81cddfed7f3e/1581496362856.jpg"/>
    <s v="https://www.commcarehq.org/a/demo-18/api/form/attachment/26505b36-f12f-45dc-b056-81cddfed7f3e/1581496386491.jpg"/>
    <s v="https://www.commcarehq.org/a/demo-18/api/form/attachment/26505b36-f12f-45dc-b056-81cddfed7f3e/1581496441228.jpg"/>
    <s v="https://www.commcarehq.org/a/demo-18/api/form/attachment/26505b36-f12f-45dc-b056-81cddfed7f3e/1581496450838.jpg"/>
    <s v="https://www.commcarehq.org/a/demo-18/api/form/attachment/26505b36-f12f-45dc-b056-81cddfed7f3e/1581496466605.jpg"/>
    <s v="https://www.commcarehq.org/a/demo-18/api/form/attachment/26505b36-f12f-45dc-b056-81cddfed7f3e/1581496477607.jpg"/>
    <d v="2020-02-12T08:34:39"/>
    <d v="2020-02-12T08:31:55"/>
    <s v="arnold"/>
    <d v="2020-02-12T08:35:01"/>
    <s v="26505b36-f12f-45dc-b056-81cddfed7f3e"/>
    <s v="https://www.commcarehq.org/a/demo-18/reports/form_data/26505b36-f12f-45dc-b056-81cddfed7f3e/"/>
  </r>
  <r>
    <x v="102"/>
    <n v="6.7"/>
    <d v="2020-03-13T00:00:00"/>
    <d v="2020-02-12T00:00:00"/>
    <s v="no"/>
    <s v="---"/>
    <s v="---"/>
    <s v="---"/>
    <x v="10"/>
    <s v="no"/>
    <s v="---"/>
    <s v="https://www.commcarehq.org/a/demo-18/api/form/attachment/b080bddf-d4e2-4429-9c93-a5248283f66b/1581496942069.jpg"/>
    <s v="https://www.commcarehq.org/a/demo-18/api/form/attachment/b080bddf-d4e2-4429-9c93-a5248283f66b/1581496959546.jpg"/>
    <s v="https://www.commcarehq.org/a/demo-18/api/form/attachment/b080bddf-d4e2-4429-9c93-a5248283f66b/1581497014379.jpg"/>
    <s v="https://www.commcarehq.org/a/demo-18/api/form/attachment/b080bddf-d4e2-4429-9c93-a5248283f66b/1581497025769.jpg"/>
    <s v="https://www.commcarehq.org/a/demo-18/api/form/attachment/b080bddf-d4e2-4429-9c93-a5248283f66b/1581497079245.jpg"/>
    <s v="https://www.commcarehq.org/a/demo-18/api/form/attachment/b080bddf-d4e2-4429-9c93-a5248283f66b/1581497091431.jpg"/>
    <d v="2020-02-12T08:44:53"/>
    <d v="2020-02-12T08:41:31"/>
    <s v="arnold"/>
    <d v="2020-02-12T08:45:13"/>
    <s v="b080bddf-d4e2-4429-9c93-a5248283f66b"/>
    <s v="https://www.commcarehq.org/a/demo-18/reports/form_data/b080bddf-d4e2-4429-9c93-a5248283f66b/"/>
  </r>
  <r>
    <x v="103"/>
    <n v="6.6"/>
    <d v="2020-03-15T00:00:00"/>
    <d v="2020-02-14T00:00:00"/>
    <s v="no"/>
    <s v="---"/>
    <s v="---"/>
    <s v="---"/>
    <x v="13"/>
    <s v="no"/>
    <s v="---"/>
    <s v="https://www.commcarehq.org/a/demo-18/api/form/attachment/6c3f41ce-8e90-4246-8c49-f2a93cee67ef/1581668106392.jpg"/>
    <s v="https://www.commcarehq.org/a/demo-18/api/form/attachment/6c3f41ce-8e90-4246-8c49-f2a93cee67ef/1581668121914.jpg"/>
    <s v="https://www.commcarehq.org/a/demo-18/api/form/attachment/6c3f41ce-8e90-4246-8c49-f2a93cee67ef/1581668163835.jpg"/>
    <s v="https://www.commcarehq.org/a/demo-18/api/form/attachment/6c3f41ce-8e90-4246-8c49-f2a93cee67ef/1581668173428.jpg"/>
    <s v="https://www.commcarehq.org/a/demo-18/api/form/attachment/6c3f41ce-8e90-4246-8c49-f2a93cee67ef/1581668198477.jpg"/>
    <s v="https://www.commcarehq.org/a/demo-18/api/form/attachment/6c3f41ce-8e90-4246-8c49-f2a93cee67ef/1581668213346.jpg"/>
    <d v="2020-02-14T08:16:56"/>
    <d v="2020-02-14T08:14:33"/>
    <s v="arnold"/>
    <d v="2020-02-14T08:17:14"/>
    <s v="6c3f41ce-8e90-4246-8c49-f2a93cee67ef"/>
    <s v="https://www.commcarehq.org/a/demo-18/reports/form_data/6c3f41ce-8e90-4246-8c49-f2a93cee67ef/"/>
  </r>
  <r>
    <x v="104"/>
    <n v="6.1"/>
    <d v="2020-03-25T00:00:00"/>
    <d v="2020-02-24T00:00:00"/>
    <s v="no"/>
    <s v="---"/>
    <s v="---"/>
    <s v="---"/>
    <x v="2"/>
    <s v="no"/>
    <s v="---"/>
    <s v="https://www.commcarehq.org/a/demo-18/api/form/attachment/df2113c7-8284-4cc7-9937-2533c02d1286/1582529160267.jpg"/>
    <s v="https://www.commcarehq.org/a/demo-18/api/form/attachment/df2113c7-8284-4cc7-9937-2533c02d1286/1582529175662.jpg"/>
    <s v="https://www.commcarehq.org/a/demo-18/api/form/attachment/df2113c7-8284-4cc7-9937-2533c02d1286/1582529221378.jpg"/>
    <s v="https://www.commcarehq.org/a/demo-18/api/form/attachment/df2113c7-8284-4cc7-9937-2533c02d1286/1582529229384.jpg"/>
    <s v="https://www.commcarehq.org/a/demo-18/api/form/attachment/df2113c7-8284-4cc7-9937-2533c02d1286/1582529250310.jpg"/>
    <s v="https://www.commcarehq.org/a/demo-18/api/form/attachment/df2113c7-8284-4cc7-9937-2533c02d1286/1582529257924.jpg"/>
    <d v="2020-02-24T07:27:39"/>
    <d v="2020-02-24T07:25:19"/>
    <s v="arnold"/>
    <d v="2020-02-24T07:28:06"/>
    <s v="df2113c7-8284-4cc7-9937-2533c02d1286"/>
    <s v="https://www.commcarehq.org/a/demo-18/reports/form_data/df2113c7-8284-4cc7-9937-2533c02d1286/"/>
  </r>
  <r>
    <x v="105"/>
    <n v="7.1"/>
    <d v="2020-03-25T00:00:00"/>
    <d v="2020-02-24T00:00:00"/>
    <s v="no"/>
    <s v="---"/>
    <s v="---"/>
    <s v="---"/>
    <x v="0"/>
    <s v="no"/>
    <s v="---"/>
    <s v="https://www.commcarehq.org/a/demo-18/api/form/attachment/e6de9ab8-e0f4-4428-a3a0-fe5fe059c211/1582530999162.jpg"/>
    <s v="https://www.commcarehq.org/a/demo-18/api/form/attachment/e6de9ab8-e0f4-4428-a3a0-fe5fe059c211/1582531016743.jpg"/>
    <s v="https://www.commcarehq.org/a/demo-18/api/form/attachment/e6de9ab8-e0f4-4428-a3a0-fe5fe059c211/1582531057313.jpg"/>
    <s v="https://www.commcarehq.org/a/demo-18/api/form/attachment/e6de9ab8-e0f4-4428-a3a0-fe5fe059c211/1582531070536.jpg"/>
    <s v="https://www.commcarehq.org/a/demo-18/api/form/attachment/e6de9ab8-e0f4-4428-a3a0-fe5fe059c211/1582531087930.jpg"/>
    <s v="https://www.commcarehq.org/a/demo-18/api/form/attachment/e6de9ab8-e0f4-4428-a3a0-fe5fe059c211/1582531097173.jpg"/>
    <d v="2020-02-24T07:58:18"/>
    <d v="2020-02-24T07:56:01"/>
    <s v="arnold"/>
    <d v="2020-02-24T07:58:44"/>
    <s v="e6de9ab8-e0f4-4428-a3a0-fe5fe059c211"/>
    <s v="https://www.commcarehq.org/a/demo-18/reports/form_data/e6de9ab8-e0f4-4428-a3a0-fe5fe059c211/"/>
  </r>
  <r>
    <x v="106"/>
    <n v="7.5"/>
    <d v="2020-03-18T00:00:00"/>
    <d v="2020-02-17T00:00:00"/>
    <s v="no"/>
    <s v="---"/>
    <s v="---"/>
    <s v="---"/>
    <x v="2"/>
    <s v="no"/>
    <s v="---"/>
    <s v="https://www.commcarehq.org/a/demo-18/api/form/attachment/079f89ca-2d9b-45fd-af81-6a1543d47f3e/1581924286449.jpg"/>
    <s v="https://www.commcarehq.org/a/demo-18/api/form/attachment/079f89ca-2d9b-45fd-af81-6a1543d47f3e/1581924304641.jpg"/>
    <s v="https://www.commcarehq.org/a/demo-18/api/form/attachment/079f89ca-2d9b-45fd-af81-6a1543d47f3e/1581924343825.jpg"/>
    <s v="https://www.commcarehq.org/a/demo-18/api/form/attachment/079f89ca-2d9b-45fd-af81-6a1543d47f3e/1581924353914.jpg"/>
    <s v="https://www.commcarehq.org/a/demo-18/api/form/attachment/079f89ca-2d9b-45fd-af81-6a1543d47f3e/1581924373082.jpg"/>
    <s v="https://www.commcarehq.org/a/demo-18/api/form/attachment/079f89ca-2d9b-45fd-af81-6a1543d47f3e/1581924383450.jpg"/>
    <d v="2020-02-17T07:26:25"/>
    <d v="2020-02-17T07:23:32"/>
    <s v="arnold"/>
    <d v="2020-02-17T07:26:50"/>
    <s v="079f89ca-2d9b-45fd-af81-6a1543d47f3e"/>
    <s v="https://www.commcarehq.org/a/demo-18/reports/form_data/079f89ca-2d9b-45fd-af81-6a1543d47f3e/"/>
  </r>
  <r>
    <x v="107"/>
    <n v="6.7"/>
    <d v="2020-03-20T00:00:00"/>
    <d v="2020-02-19T00:00:00"/>
    <s v="no"/>
    <s v="---"/>
    <s v="---"/>
    <s v="---"/>
    <x v="14"/>
    <s v="no"/>
    <s v="---"/>
    <s v="https://www.commcarehq.org/a/demo-18/api/form/attachment/408d32ee-3551-477c-a596-f8d771c4ffa7/1582098409107.jpg"/>
    <s v="https://www.commcarehq.org/a/demo-18/api/form/attachment/408d32ee-3551-477c-a596-f8d771c4ffa7/1582098426242.jpg"/>
    <s v="https://www.commcarehq.org/a/demo-18/api/form/attachment/408d32ee-3551-477c-a596-f8d771c4ffa7/1582098455654.jpg"/>
    <s v="https://www.commcarehq.org/a/demo-18/api/form/attachment/408d32ee-3551-477c-a596-f8d771c4ffa7/1582098463533.jpg"/>
    <s v="https://www.commcarehq.org/a/demo-18/api/form/attachment/408d32ee-3551-477c-a596-f8d771c4ffa7/1582098482330.jpg"/>
    <s v="https://www.commcarehq.org/a/demo-18/api/form/attachment/408d32ee-3551-477c-a596-f8d771c4ffa7/1582098492302.jpg"/>
    <d v="2020-02-19T07:48:14"/>
    <d v="2020-02-19T07:46:04"/>
    <s v="arnold"/>
    <d v="2020-02-19T07:48:38"/>
    <s v="408d32ee-3551-477c-a596-f8d771c4ffa7"/>
    <s v="https://www.commcarehq.org/a/demo-18/reports/form_data/408d32ee-3551-477c-a596-f8d771c4ffa7/"/>
  </r>
  <r>
    <x v="108"/>
    <n v="6.1"/>
    <d v="2020-03-21T00:00:00"/>
    <d v="2020-02-20T00:00:00"/>
    <s v="no"/>
    <s v="---"/>
    <s v="---"/>
    <s v="---"/>
    <x v="2"/>
    <s v="no"/>
    <s v="---"/>
    <s v="https://www.commcarehq.org/a/demo-18/api/form/attachment/0d2c61da-559d-4c0c-b9cc-bc1840fb3906/1582181738241.jpg"/>
    <s v="https://www.commcarehq.org/a/demo-18/api/form/attachment/0d2c61da-559d-4c0c-b9cc-bc1840fb3906/1582181754970.jpg"/>
    <s v="https://www.commcarehq.org/a/demo-18/api/form/attachment/0d2c61da-559d-4c0c-b9cc-bc1840fb3906/1582181798138.jpg"/>
    <s v="https://www.commcarehq.org/a/demo-18/api/form/attachment/0d2c61da-559d-4c0c-b9cc-bc1840fb3906/1582181807750.jpg"/>
    <s v="https://www.commcarehq.org/a/demo-18/api/form/attachment/0d2c61da-559d-4c0c-b9cc-bc1840fb3906/1582181829617.jpg"/>
    <s v="https://www.commcarehq.org/a/demo-18/api/form/attachment/0d2c61da-559d-4c0c-b9cc-bc1840fb3906/1582181839035.jpg"/>
    <d v="2020-02-20T06:57:20"/>
    <d v="2020-02-20T06:55:14"/>
    <s v="arnold"/>
    <d v="2020-02-20T06:57:43"/>
    <s v="0d2c61da-559d-4c0c-b9cc-bc1840fb3906"/>
    <s v="https://www.commcarehq.org/a/demo-18/reports/form_data/0d2c61da-559d-4c0c-b9cc-bc1840fb3906/"/>
  </r>
  <r>
    <x v="109"/>
    <n v="7.1"/>
    <d v="2020-03-25T00:00:00"/>
    <d v="2020-02-24T00:00:00"/>
    <s v="no"/>
    <s v="---"/>
    <s v="---"/>
    <s v="---"/>
    <x v="10"/>
    <s v="no"/>
    <s v="---"/>
    <s v="https://www.commcarehq.org/a/demo-18/api/form/attachment/e1453ab0-53df-4ee0-91df-9c93c044cd3e/1582528745539.jpg"/>
    <s v="https://www.commcarehq.org/a/demo-18/api/form/attachment/e1453ab0-53df-4ee0-91df-9c93c044cd3e/1582528762705.jpg"/>
    <s v="https://www.commcarehq.org/a/demo-18/api/form/attachment/e1453ab0-53df-4ee0-91df-9c93c044cd3e/1582528821322.jpg"/>
    <s v="https://www.commcarehq.org/a/demo-18/api/form/attachment/e1453ab0-53df-4ee0-91df-9c93c044cd3e/1582528829792.jpg"/>
    <s v="https://www.commcarehq.org/a/demo-18/api/form/attachment/e1453ab0-53df-4ee0-91df-9c93c044cd3e/1582528874139.jpg"/>
    <s v="https://www.commcarehq.org/a/demo-18/api/form/attachment/e1453ab0-53df-4ee0-91df-9c93c044cd3e/1582528882813.jpg"/>
    <d v="2020-02-24T07:21:24"/>
    <d v="2020-02-24T07:18:42"/>
    <s v="arnold"/>
    <d v="2020-02-24T07:21:45"/>
    <s v="e1453ab0-53df-4ee0-91df-9c93c044cd3e"/>
    <s v="https://www.commcarehq.org/a/demo-18/reports/form_data/e1453ab0-53df-4ee0-91df-9c93c044cd3e/"/>
  </r>
  <r>
    <x v="110"/>
    <n v="6.5"/>
    <d v="2020-03-25T00:00:00"/>
    <d v="2020-02-24T00:00:00"/>
    <s v="no"/>
    <s v="---"/>
    <s v="---"/>
    <s v="---"/>
    <x v="9"/>
    <s v="no"/>
    <s v="---"/>
    <s v="https://www.commcarehq.org/a/demo-18/api/form/attachment/639eb1e1-743e-4a7d-9f1a-c2505fdb3675/1582531247977.jpg"/>
    <s v="https://www.commcarehq.org/a/demo-18/api/form/attachment/639eb1e1-743e-4a7d-9f1a-c2505fdb3675/1582531263510.jpg"/>
    <s v="https://www.commcarehq.org/a/demo-18/api/form/attachment/639eb1e1-743e-4a7d-9f1a-c2505fdb3675/1582531301603.jpg"/>
    <s v="https://www.commcarehq.org/a/demo-18/api/form/attachment/639eb1e1-743e-4a7d-9f1a-c2505fdb3675/1582531310641.jpg"/>
    <s v="https://www.commcarehq.org/a/demo-18/api/form/attachment/639eb1e1-743e-4a7d-9f1a-c2505fdb3675/1582531326359.jpg"/>
    <s v="https://www.commcarehq.org/a/demo-18/api/form/attachment/639eb1e1-743e-4a7d-9f1a-c2505fdb3675/1582531335528.jpg"/>
    <d v="2020-02-24T08:02:17"/>
    <d v="2020-02-24T08:00:18"/>
    <s v="arnold"/>
    <d v="2020-02-24T08:02:44"/>
    <s v="639eb1e1-743e-4a7d-9f1a-c2505fdb3675"/>
    <s v="https://www.commcarehq.org/a/demo-18/reports/form_data/639eb1e1-743e-4a7d-9f1a-c2505fdb3675/"/>
  </r>
  <r>
    <x v="111"/>
    <n v="6.8"/>
    <d v="2020-03-27T00:00:00"/>
    <d v="2020-02-26T00:00:00"/>
    <s v="no"/>
    <s v="---"/>
    <s v="---"/>
    <s v="---"/>
    <x v="0"/>
    <s v="no"/>
    <s v="---"/>
    <s v="https://www.commcarehq.org/a/demo-18/api/form/attachment/aee05eb4-54e3-4313-a062-0bb16795f0c8/1582700527717.jpg"/>
    <s v="https://www.commcarehq.org/a/demo-18/api/form/attachment/aee05eb4-54e3-4313-a062-0bb16795f0c8/1582700546209.jpg"/>
    <s v="https://www.commcarehq.org/a/demo-18/api/form/attachment/aee05eb4-54e3-4313-a062-0bb16795f0c8/1582700582958.jpg"/>
    <s v="https://www.commcarehq.org/a/demo-18/api/form/attachment/aee05eb4-54e3-4313-a062-0bb16795f0c8/1582700593982.jpg"/>
    <s v="https://www.commcarehq.org/a/demo-18/api/form/attachment/aee05eb4-54e3-4313-a062-0bb16795f0c8/1582700610641.jpg"/>
    <s v="https://www.commcarehq.org/a/demo-18/api/form/attachment/aee05eb4-54e3-4313-a062-0bb16795f0c8/1582700625465.jpg"/>
    <d v="2020-02-26T07:03:47"/>
    <d v="2020-02-26T07:01:15"/>
    <s v="arnold"/>
    <d v="2020-02-26T11:18:43"/>
    <s v="aee05eb4-54e3-4313-a062-0bb16795f0c8"/>
    <s v="https://www.commcarehq.org/a/demo-18/reports/form_data/aee05eb4-54e3-4313-a062-0bb16795f0c8/"/>
  </r>
  <r>
    <x v="112"/>
    <n v="8.1"/>
    <d v="2020-03-27T00:00:00"/>
    <d v="2020-02-26T00:00:00"/>
    <s v="no"/>
    <s v="---"/>
    <s v="---"/>
    <s v="---"/>
    <x v="0"/>
    <s v="no"/>
    <s v="---"/>
    <s v="https://www.commcarehq.org/a/demo-18/api/form/attachment/75801e05-a5d9-4a7f-a4a7-8f9483633dcf/1582702938866.jpg"/>
    <s v="https://www.commcarehq.org/a/demo-18/api/form/attachment/75801e05-a5d9-4a7f-a4a7-8f9483633dcf/1582702956215.jpg"/>
    <s v="https://www.commcarehq.org/a/demo-18/api/form/attachment/75801e05-a5d9-4a7f-a4a7-8f9483633dcf/1582703085117.jpg"/>
    <s v="https://www.commcarehq.org/a/demo-18/api/form/attachment/75801e05-a5d9-4a7f-a4a7-8f9483633dcf/1582703113178.jpg"/>
    <s v="https://www.commcarehq.org/a/demo-18/api/form/attachment/75801e05-a5d9-4a7f-a4a7-8f9483633dcf/1582703135647.jpg"/>
    <s v="https://www.commcarehq.org/a/demo-18/api/form/attachment/75801e05-a5d9-4a7f-a4a7-8f9483633dcf/1582703171341.jpg"/>
    <d v="2020-02-26T07:46:13"/>
    <d v="2020-02-26T07:40:50"/>
    <s v="arnold"/>
    <d v="2020-02-26T11:19:36"/>
    <s v="75801e05-a5d9-4a7f-a4a7-8f9483633dcf"/>
    <s v="https://www.commcarehq.org/a/demo-18/reports/form_data/75801e05-a5d9-4a7f-a4a7-8f9483633dcf/"/>
  </r>
  <r>
    <x v="113"/>
    <m/>
    <m/>
    <m/>
    <m/>
    <m/>
    <m/>
    <m/>
    <x v="15"/>
    <m/>
    <m/>
    <m/>
    <m/>
    <m/>
    <m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0">
  <r>
    <x v="0"/>
    <n v="4.5999999999999996"/>
    <d v="2019-12-28T00:00:00"/>
    <d v="2019-11-28T00:00:00"/>
    <s v="no"/>
    <s v="---"/>
    <s v="---"/>
    <x v="0"/>
    <s v="no"/>
    <s v="---"/>
    <s v="https://www.commcarehq.org/a/demo-18/api/form/attachment/37254872-89d8-4203-9bee-4748a380aa84/1574935799042.jpg"/>
    <s v="https://www.commcarehq.org/a/demo-18/api/form/attachment/37254872-89d8-4203-9bee-4748a380aa84/1574935826178.jpg"/>
    <s v="https://www.commcarehq.org/a/demo-18/api/form/attachment/37254872-89d8-4203-9bee-4748a380aa84/1574935939961.jpg"/>
    <s v="https://www.commcarehq.org/a/demo-18/api/form/attachment/37254872-89d8-4203-9bee-4748a380aa84/1574935950708.jpg"/>
    <s v="https://www.commcarehq.org/a/demo-18/api/form/attachment/37254872-89d8-4203-9bee-4748a380aa84/1574935971596.jpg"/>
    <s v="https://www.commcarehq.org/a/demo-18/api/form/attachment/37254872-89d8-4203-9bee-4748a380aa84/1574935986687.jpg"/>
    <d v="2019-11-28T10:13:09"/>
    <d v="2019-11-28T10:09:05"/>
    <s v="arnold"/>
    <d v="2019-11-28T10:13:28"/>
    <s v="37254872-89d8-4203-9bee-4748a380aa84"/>
    <s v="https://www.commcarehq.org/a/demo-18/reports/form_data/37254872-89d8-4203-9bee-4748a380aa84/"/>
  </r>
  <r>
    <x v="1"/>
    <n v="3.8"/>
    <d v="2019-12-28T00:00:00"/>
    <d v="2019-11-28T00:00:00"/>
    <s v="no"/>
    <s v="---"/>
    <s v="---"/>
    <x v="0"/>
    <s v="no"/>
    <s v="---"/>
    <s v="https://www.commcarehq.org/a/demo-18/api/form/attachment/9d8208a6-54b9-444f-8eb7-59fa2e470c8b/1574930640426.jpg"/>
    <s v="https://www.commcarehq.org/a/demo-18/api/form/attachment/9d8208a6-54b9-444f-8eb7-59fa2e470c8b/1574930652972.jpg"/>
    <s v="https://www.commcarehq.org/a/demo-18/api/form/attachment/9d8208a6-54b9-444f-8eb7-59fa2e470c8b/1574930691138.jpg"/>
    <s v="https://www.commcarehq.org/a/demo-18/api/form/attachment/9d8208a6-54b9-444f-8eb7-59fa2e470c8b/1574930702007.jpg"/>
    <s v="https://www.commcarehq.org/a/demo-18/api/form/attachment/9d8208a6-54b9-444f-8eb7-59fa2e470c8b/1574930729706.jpg"/>
    <s v="https://www.commcarehq.org/a/demo-18/api/form/attachment/9d8208a6-54b9-444f-8eb7-59fa2e470c8b/1574930740158.jpg"/>
    <d v="2019-11-28T08:45:41"/>
    <d v="2019-11-28T08:43:17"/>
    <s v="arnold"/>
    <d v="2019-11-28T08:46:00"/>
    <s v="9d8208a6-54b9-444f-8eb7-59fa2e470c8b"/>
    <s v="https://www.commcarehq.org/a/demo-18/reports/form_data/9d8208a6-54b9-444f-8eb7-59fa2e470c8b/"/>
  </r>
  <r>
    <x v="2"/>
    <n v="6"/>
    <d v="2020-01-12T00:00:00"/>
    <d v="2019-12-13T00:00:00"/>
    <s v="no"/>
    <s v="---"/>
    <s v="---"/>
    <x v="0"/>
    <s v="no"/>
    <s v="---"/>
    <s v="https://www.commcarehq.org/a/demo-18/api/form/attachment/85cc09ca-6223-4fc7-b9be-b91cedce1965/1576219582870.jpg"/>
    <s v="https://www.commcarehq.org/a/demo-18/api/form/attachment/85cc09ca-6223-4fc7-b9be-b91cedce1965/1576219608557.jpg"/>
    <s v="https://www.commcarehq.org/a/demo-18/api/form/attachment/85cc09ca-6223-4fc7-b9be-b91cedce1965/1576219703762.jpg"/>
    <s v="https://www.commcarehq.org/a/demo-18/api/form/attachment/85cc09ca-6223-4fc7-b9be-b91cedce1965/1576219715853.jpg"/>
    <s v="https://www.commcarehq.org/a/demo-18/api/form/attachment/85cc09ca-6223-4fc7-b9be-b91cedce1965/1576219732392.jpg"/>
    <s v="https://www.commcarehq.org/a/demo-18/api/form/attachment/85cc09ca-6223-4fc7-b9be-b91cedce1965/1576219742008.jpg"/>
    <d v="2019-12-13T06:49:04"/>
    <d v="2019-12-13T06:45:38"/>
    <s v="arnold"/>
    <d v="2019-12-13T06:49:24"/>
    <s v="85cc09ca-6223-4fc7-b9be-b91cedce1965"/>
    <s v="https://www.commcarehq.org/a/demo-18/reports/form_data/85cc09ca-6223-4fc7-b9be-b91cedce1965/"/>
  </r>
  <r>
    <x v="3"/>
    <n v="4.9000000000000004"/>
    <d v="2020-02-12T00:00:00"/>
    <d v="2020-01-13T00:00:00"/>
    <s v="no"/>
    <s v="---"/>
    <s v="---"/>
    <x v="1"/>
    <s v="no"/>
    <s v="---"/>
    <s v="https://www.commcarehq.org/a/demo-18/api/form/attachment/ada157aa-77e3-4e80-93fb-2bbdd33076f8/1578906370081.jpg"/>
    <s v="https://www.commcarehq.org/a/demo-18/api/form/attachment/ada157aa-77e3-4e80-93fb-2bbdd33076f8/1578906392532.jpg"/>
    <s v="https://www.commcarehq.org/a/demo-18/api/form/attachment/ada157aa-77e3-4e80-93fb-2bbdd33076f8/1578906433138.jpg"/>
    <s v="https://www.commcarehq.org/a/demo-18/api/form/attachment/ada157aa-77e3-4e80-93fb-2bbdd33076f8/1578906443410.jpg"/>
    <s v="https://www.commcarehq.org/a/demo-18/api/form/attachment/ada157aa-77e3-4e80-93fb-2bbdd33076f8/1578906465813.jpg"/>
    <s v="https://www.commcarehq.org/a/demo-18/api/form/attachment/ada157aa-77e3-4e80-93fb-2bbdd33076f8/1578906477091.jpg"/>
    <d v="2020-01-13T09:07:59"/>
    <d v="2020-01-13T09:05:04"/>
    <s v="arnold"/>
    <d v="2020-01-13T09:08:20"/>
    <s v="ada157aa-77e3-4e80-93fb-2bbdd33076f8"/>
    <s v="https://www.commcarehq.org/a/demo-18/reports/form_data/ada157aa-77e3-4e80-93fb-2bbdd33076f8/"/>
  </r>
  <r>
    <x v="4"/>
    <n v="5.9"/>
    <d v="2020-02-07T00:00:00"/>
    <d v="2020-01-08T00:00:00"/>
    <s v="no"/>
    <s v="---"/>
    <s v="---"/>
    <x v="2"/>
    <s v="no"/>
    <s v="---"/>
    <s v="https://www.commcarehq.org/a/demo-18/api/form/attachment/e0c5a4f9-2d22-4786-a512-d55218b5e524/1578476410493.jpg"/>
    <s v="https://www.commcarehq.org/a/demo-18/api/form/attachment/e0c5a4f9-2d22-4786-a512-d55218b5e524/1578476426651.jpg"/>
    <s v="https://www.commcarehq.org/a/demo-18/api/form/attachment/e0c5a4f9-2d22-4786-a512-d55218b5e524/1578476501551.jpg"/>
    <s v="https://www.commcarehq.org/a/demo-18/api/form/attachment/e0c5a4f9-2d22-4786-a512-d55218b5e524/1578476514026.jpg"/>
    <s v="https://www.commcarehq.org/a/demo-18/api/form/attachment/e0c5a4f9-2d22-4786-a512-d55218b5e524/1578476534294.jpg"/>
    <s v="https://www.commcarehq.org/a/demo-18/api/form/attachment/e0c5a4f9-2d22-4786-a512-d55218b5e524/1578476543979.jpg"/>
    <d v="2020-01-08T09:42:26"/>
    <d v="2020-01-08T09:39:06"/>
    <s v="arnold"/>
    <d v="2020-01-08T09:42:47"/>
    <s v="e0c5a4f9-2d22-4786-a512-d55218b5e524"/>
    <s v="https://www.commcarehq.org/a/demo-18/reports/form_data/e0c5a4f9-2d22-4786-a512-d55218b5e524/"/>
  </r>
  <r>
    <x v="5"/>
    <n v="5.5"/>
    <d v="2020-02-07T00:00:00"/>
    <d v="2020-01-08T00:00:00"/>
    <s v="no"/>
    <s v="---"/>
    <s v="---"/>
    <x v="0"/>
    <s v="no"/>
    <s v="---"/>
    <s v="https://www.commcarehq.org/a/demo-18/api/form/attachment/4cf9ba8b-b8f7-4c9f-89c7-0b638d356eef/1578465635490.jpg"/>
    <s v="https://www.commcarehq.org/a/demo-18/api/form/attachment/4cf9ba8b-b8f7-4c9f-89c7-0b638d356eef/1578465664342.jpg"/>
    <s v="https://www.commcarehq.org/a/demo-18/api/form/attachment/4cf9ba8b-b8f7-4c9f-89c7-0b638d356eef/1578465717183.jpg"/>
    <s v="https://www.commcarehq.org/a/demo-18/api/form/attachment/4cf9ba8b-b8f7-4c9f-89c7-0b638d356eef/1578465734273.jpg"/>
    <s v="https://www.commcarehq.org/a/demo-18/api/form/attachment/4cf9ba8b-b8f7-4c9f-89c7-0b638d356eef/1578465756864.jpg"/>
    <s v="https://www.commcarehq.org/a/demo-18/api/form/attachment/4cf9ba8b-b8f7-4c9f-89c7-0b638d356eef/1578465769814.jpg"/>
    <d v="2020-01-08T06:42:51"/>
    <d v="2020-01-08T06:39:31"/>
    <s v="arnold"/>
    <d v="2020-01-08T06:43:15"/>
    <s v="4cf9ba8b-b8f7-4c9f-89c7-0b638d356eef"/>
    <s v="https://www.commcarehq.org/a/demo-18/reports/form_data/4cf9ba8b-b8f7-4c9f-89c7-0b638d356eef/"/>
  </r>
  <r>
    <x v="6"/>
    <n v="5.0999999999999996"/>
    <d v="2020-02-05T00:00:00"/>
    <d v="2020-01-06T00:00:00"/>
    <s v="no"/>
    <s v="---"/>
    <s v="---"/>
    <x v="0"/>
    <s v="no"/>
    <s v="---"/>
    <s v="https://www.commcarehq.org/a/demo-18/api/form/attachment/946ec019-1cbc-44d5-bcad-395fe5223560/1578297103101.jpg"/>
    <s v="https://www.commcarehq.org/a/demo-18/api/form/attachment/946ec019-1cbc-44d5-bcad-395fe5223560/1578297123900.jpg"/>
    <s v="https://www.commcarehq.org/a/demo-18/api/form/attachment/946ec019-1cbc-44d5-bcad-395fe5223560/1578297207748.jpg"/>
    <s v="https://www.commcarehq.org/a/demo-18/api/form/attachment/946ec019-1cbc-44d5-bcad-395fe5223560/1578297218003.jpg"/>
    <s v="https://www.commcarehq.org/a/demo-18/api/form/attachment/946ec019-1cbc-44d5-bcad-395fe5223560/1578297234565.jpg"/>
    <s v="https://www.commcarehq.org/a/demo-18/api/form/attachment/946ec019-1cbc-44d5-bcad-395fe5223560/1578297245988.jpg"/>
    <d v="2020-01-06T07:54:08"/>
    <d v="2020-01-06T07:50:47"/>
    <s v="arnold"/>
    <d v="2020-01-06T07:55:26"/>
    <s v="946ec019-1cbc-44d5-bcad-395fe5223560"/>
    <s v="https://www.commcarehq.org/a/demo-18/reports/form_data/946ec019-1cbc-44d5-bcad-395fe5223560/"/>
  </r>
  <r>
    <x v="7"/>
    <n v="6.2"/>
    <d v="2020-02-07T00:00:00"/>
    <d v="2020-01-08T00:00:00"/>
    <s v="no"/>
    <s v="---"/>
    <s v="---"/>
    <x v="0"/>
    <s v="no"/>
    <s v="---"/>
    <s v="https://www.commcarehq.org/a/demo-18/api/form/attachment/7af80b79-0c7b-48db-b914-84d43eb796b0/1578471564005.jpg"/>
    <s v="https://www.commcarehq.org/a/demo-18/api/form/attachment/7af80b79-0c7b-48db-b914-84d43eb796b0/1578471611337.jpg"/>
    <s v="https://www.commcarehq.org/a/demo-18/api/form/attachment/7af80b79-0c7b-48db-b914-84d43eb796b0/1578471701500.jpg"/>
    <s v="https://www.commcarehq.org/a/demo-18/api/form/attachment/7af80b79-0c7b-48db-b914-84d43eb796b0/1578471713659.jpg"/>
    <s v="https://www.commcarehq.org/a/demo-18/api/form/attachment/7af80b79-0c7b-48db-b914-84d43eb796b0/1578471759499.jpg"/>
    <s v="https://www.commcarehq.org/a/demo-18/api/form/attachment/7af80b79-0c7b-48db-b914-84d43eb796b0/1578471771003.jpg"/>
    <d v="2020-01-08T08:22:52"/>
    <d v="2020-01-08T08:09:07"/>
    <s v="arnold"/>
    <d v="2020-01-08T08:23:17"/>
    <s v="7af80b79-0c7b-48db-b914-84d43eb796b0"/>
    <s v="https://www.commcarehq.org/a/demo-18/reports/form_data/7af80b79-0c7b-48db-b914-84d43eb796b0/"/>
  </r>
  <r>
    <x v="8"/>
    <n v="3.8"/>
    <d v="2020-02-05T00:00:00"/>
    <d v="2020-01-06T00:00:00"/>
    <s v="no"/>
    <s v="---"/>
    <s v="---"/>
    <x v="0"/>
    <s v="no"/>
    <s v="---"/>
    <s v="https://www.commcarehq.org/a/demo-18/api/form/attachment/5eb08599-5816-46bb-a245-9d68f1c09436/1578294952287.jpg"/>
    <s v="https://www.commcarehq.org/a/demo-18/api/form/attachment/5eb08599-5816-46bb-a245-9d68f1c09436/1578294965938.jpg"/>
    <s v="https://www.commcarehq.org/a/demo-18/api/form/attachment/5eb08599-5816-46bb-a245-9d68f1c09436/1578295030457.jpg"/>
    <s v="https://www.commcarehq.org/a/demo-18/api/form/attachment/5eb08599-5816-46bb-a245-9d68f1c09436/1578295040481.jpg"/>
    <s v="https://www.commcarehq.org/a/demo-18/api/form/attachment/5eb08599-5816-46bb-a245-9d68f1c09436/1578295055928.jpg"/>
    <s v="https://www.commcarehq.org/a/demo-18/api/form/attachment/5eb08599-5816-46bb-a245-9d68f1c09436/1578295065808.jpg"/>
    <d v="2020-01-06T07:17:47"/>
    <d v="2020-01-06T07:14:55"/>
    <s v="arnold"/>
    <d v="2020-01-06T07:31:43"/>
    <s v="5eb08599-5816-46bb-a245-9d68f1c09436"/>
    <s v="https://www.commcarehq.org/a/demo-18/reports/form_data/5eb08599-5816-46bb-a245-9d68f1c09436/"/>
  </r>
  <r>
    <x v="9"/>
    <n v="5"/>
    <d v="2020-02-08T00:00:00"/>
    <d v="2020-01-09T00:00:00"/>
    <s v="no"/>
    <s v="---"/>
    <s v="---"/>
    <x v="0"/>
    <s v="no"/>
    <s v="---"/>
    <s v="https://www.commcarehq.org/a/demo-18/api/form/attachment/790f188f-c4ec-400c-8675-46f9ace56f4e/1578553365852.jpg"/>
    <s v="https://www.commcarehq.org/a/demo-18/api/form/attachment/790f188f-c4ec-400c-8675-46f9ace56f4e/1578553383773.jpg"/>
    <s v="https://www.commcarehq.org/a/demo-18/api/form/attachment/790f188f-c4ec-400c-8675-46f9ace56f4e/1578553509880.jpg"/>
    <s v="https://www.commcarehq.org/a/demo-18/api/form/attachment/790f188f-c4ec-400c-8675-46f9ace56f4e/1578553522981.jpg"/>
    <s v="https://www.commcarehq.org/a/demo-18/api/form/attachment/790f188f-c4ec-400c-8675-46f9ace56f4e/1578553547936.jpg"/>
    <s v="https://www.commcarehq.org/a/demo-18/api/form/attachment/790f188f-c4ec-400c-8675-46f9ace56f4e/1578553559737.jpg"/>
    <d v="2020-01-09T07:06:01"/>
    <d v="2020-01-09T07:00:58"/>
    <s v="arnold"/>
    <d v="2020-01-09T07:06:21"/>
    <s v="790f188f-c4ec-400c-8675-46f9ace56f4e"/>
    <s v="https://www.commcarehq.org/a/demo-18/reports/form_data/790f188f-c4ec-400c-8675-46f9ace56f4e/"/>
  </r>
  <r>
    <x v="10"/>
    <n v="5.5"/>
    <d v="2020-02-08T00:00:00"/>
    <d v="2020-01-09T00:00:00"/>
    <s v="no"/>
    <s v="---"/>
    <s v="---"/>
    <x v="0"/>
    <s v="no"/>
    <s v="---"/>
    <s v="https://www.commcarehq.org/a/demo-18/api/form/attachment/0b83db7d-4115-4cc2-bc56-ab71fcca9fb3/1578550976738.jpg"/>
    <s v="https://www.commcarehq.org/a/demo-18/api/form/attachment/0b83db7d-4115-4cc2-bc56-ab71fcca9fb3/1578550993958.jpg"/>
    <s v="https://www.commcarehq.org/a/demo-18/api/form/attachment/0b83db7d-4115-4cc2-bc56-ab71fcca9fb3/1578551048369.jpg"/>
    <s v="https://www.commcarehq.org/a/demo-18/api/form/attachment/0b83db7d-4115-4cc2-bc56-ab71fcca9fb3/1578551061147.jpg"/>
    <s v="https://www.commcarehq.org/a/demo-18/api/form/attachment/0b83db7d-4115-4cc2-bc56-ab71fcca9fb3/1578551080245.jpg"/>
    <s v="https://www.commcarehq.org/a/demo-18/api/form/attachment/0b83db7d-4115-4cc2-bc56-ab71fcca9fb3/1578551092562.jpg"/>
    <d v="2020-01-09T06:24:54"/>
    <d v="2020-01-09T06:22:05"/>
    <s v="arnold"/>
    <d v="2020-01-09T06:25:18"/>
    <s v="0b83db7d-4115-4cc2-bc56-ab71fcca9fb3"/>
    <s v="https://www.commcarehq.org/a/demo-18/reports/form_data/0b83db7d-4115-4cc2-bc56-ab71fcca9fb3/"/>
  </r>
  <r>
    <x v="11"/>
    <n v="4.5"/>
    <d v="2020-02-12T00:00:00"/>
    <d v="2020-01-13T00:00:00"/>
    <s v="no"/>
    <s v="---"/>
    <s v="---"/>
    <x v="0"/>
    <s v="no"/>
    <s v="---"/>
    <s v="https://www.commcarehq.org/a/demo-18/api/form/attachment/d4f80154-fcaa-4092-8943-fe228978c34f/1578896329922.jpg"/>
    <s v="https://www.commcarehq.org/a/demo-18/api/form/attachment/d4f80154-fcaa-4092-8943-fe228978c34f/1578896351219.jpg"/>
    <s v="https://www.commcarehq.org/a/demo-18/api/form/attachment/d4f80154-fcaa-4092-8943-fe228978c34f/1578896417587.jpg"/>
    <s v="https://www.commcarehq.org/a/demo-18/api/form/attachment/d4f80154-fcaa-4092-8943-fe228978c34f/1578896429551.jpg"/>
    <s v="https://www.commcarehq.org/a/demo-18/api/form/attachment/d4f80154-fcaa-4092-8943-fe228978c34f/1578896452626.jpg"/>
    <s v="https://www.commcarehq.org/a/demo-18/api/form/attachment/d4f80154-fcaa-4092-8943-fe228978c34f/1578896463254.jpg"/>
    <d v="2020-01-13T06:21:05"/>
    <d v="2020-01-13T06:18:11"/>
    <s v="arnold"/>
    <d v="2020-01-13T06:21:20"/>
    <s v="d4f80154-fcaa-4092-8943-fe228978c34f"/>
    <s v="https://www.commcarehq.org/a/demo-18/reports/form_data/d4f80154-fcaa-4092-8943-fe228978c34f/"/>
  </r>
  <r>
    <x v="12"/>
    <n v="5.5"/>
    <d v="2020-02-07T00:00:00"/>
    <d v="2020-01-08T00:00:00"/>
    <s v="no"/>
    <s v="---"/>
    <s v="---"/>
    <x v="0"/>
    <s v="no"/>
    <s v="---"/>
    <s v="https://www.commcarehq.org/a/demo-18/api/form/attachment/d12bff4c-15ed-433e-a5c7-e7fc9a2fd174/1578472150951.jpg"/>
    <s v="https://www.commcarehq.org/a/demo-18/api/form/attachment/d12bff4c-15ed-433e-a5c7-e7fc9a2fd174/1578472164834.jpg"/>
    <s v="https://www.commcarehq.org/a/demo-18/api/form/attachment/d12bff4c-15ed-433e-a5c7-e7fc9a2fd174/1578472199700.jpg"/>
    <s v="https://www.commcarehq.org/a/demo-18/api/form/attachment/d12bff4c-15ed-433e-a5c7-e7fc9a2fd174/1578472211359.jpg"/>
    <s v="https://www.commcarehq.org/a/demo-18/api/form/attachment/d12bff4c-15ed-433e-a5c7-e7fc9a2fd174/1578472235483.jpg"/>
    <s v="https://www.commcarehq.org/a/demo-18/api/form/attachment/d12bff4c-15ed-433e-a5c7-e7fc9a2fd174/1578472246003.jpg"/>
    <d v="2020-01-08T08:30:47"/>
    <d v="2020-01-08T08:28:20"/>
    <s v="arnold"/>
    <d v="2020-01-08T08:31:08"/>
    <s v="d12bff4c-15ed-433e-a5c7-e7fc9a2fd174"/>
    <s v="https://www.commcarehq.org/a/demo-18/reports/form_data/d12bff4c-15ed-433e-a5c7-e7fc9a2fd174/"/>
  </r>
  <r>
    <x v="13"/>
    <n v="4.9000000000000004"/>
    <d v="2020-02-09T00:00:00"/>
    <d v="2020-01-10T00:00:00"/>
    <s v="no"/>
    <s v="---"/>
    <s v="---"/>
    <x v="0"/>
    <s v="no"/>
    <s v="---"/>
    <s v="https://www.commcarehq.org/a/demo-18/api/form/attachment/e652d812-f6f0-495e-b436-5139fa1b4082/1578638233870.jpg"/>
    <s v="https://www.commcarehq.org/a/demo-18/api/form/attachment/e652d812-f6f0-495e-b436-5139fa1b4082/1578638269183.jpg"/>
    <s v="https://www.commcarehq.org/a/demo-18/api/form/attachment/e652d812-f6f0-495e-b436-5139fa1b4082/1578638314680.jpg"/>
    <s v="https://www.commcarehq.org/a/demo-18/api/form/attachment/e652d812-f6f0-495e-b436-5139fa1b4082/1578638324080.jpg"/>
    <s v="https://www.commcarehq.org/a/demo-18/api/form/attachment/e652d812-f6f0-495e-b436-5139fa1b4082/1578638349725.jpg"/>
    <s v="https://www.commcarehq.org/a/demo-18/api/form/attachment/e652d812-f6f0-495e-b436-5139fa1b4082/1578638360901.jpg"/>
    <d v="2020-01-10T06:39:23"/>
    <d v="2020-01-10T06:36:11"/>
    <s v="arnold"/>
    <d v="2020-01-10T06:39:47"/>
    <s v="e652d812-f6f0-495e-b436-5139fa1b4082"/>
    <s v="https://www.commcarehq.org/a/demo-18/reports/form_data/e652d812-f6f0-495e-b436-5139fa1b4082/"/>
  </r>
  <r>
    <x v="14"/>
    <n v="6"/>
    <d v="2020-02-14T00:00:00"/>
    <d v="2020-01-15T00:00:00"/>
    <s v="no"/>
    <s v="---"/>
    <s v="---"/>
    <x v="2"/>
    <s v="no"/>
    <s v="---"/>
    <s v="https://www.commcarehq.org/a/demo-18/api/form/attachment/4eccec81-f11c-4116-ae8a-d2b3165a372b/1579069060178.jpg"/>
    <s v="https://www.commcarehq.org/a/demo-18/api/form/attachment/4eccec81-f11c-4116-ae8a-d2b3165a372b/1579069086170.jpg"/>
    <s v="https://www.commcarehq.org/a/demo-18/api/form/attachment/4eccec81-f11c-4116-ae8a-d2b3165a372b/1579069136781.jpg"/>
    <s v="https://www.commcarehq.org/a/demo-18/api/form/attachment/4eccec81-f11c-4116-ae8a-d2b3165a372b/1579069146597.jpg"/>
    <s v="https://www.commcarehq.org/a/demo-18/api/form/attachment/4eccec81-f11c-4116-ae8a-d2b3165a372b/1579069167443.jpg"/>
    <s v="https://www.commcarehq.org/a/demo-18/api/form/attachment/4eccec81-f11c-4116-ae8a-d2b3165a372b/1579069179200.jpg"/>
    <d v="2020-01-15T06:19:41"/>
    <d v="2020-01-15T06:16:45"/>
    <s v="arnold"/>
    <d v="2020-01-15T06:20:00"/>
    <s v="4eccec81-f11c-4116-ae8a-d2b3165a372b"/>
    <s v="https://www.commcarehq.org/a/demo-18/reports/form_data/4eccec81-f11c-4116-ae8a-d2b3165a372b/"/>
  </r>
  <r>
    <x v="15"/>
    <n v="5.0999999999999996"/>
    <d v="2020-02-07T00:00:00"/>
    <d v="2020-01-08T00:00:00"/>
    <s v="no"/>
    <s v="---"/>
    <s v="---"/>
    <x v="0"/>
    <s v="no"/>
    <s v="---"/>
    <s v="https://www.commcarehq.org/a/demo-18/api/form/attachment/21859684-74cb-488d-a9b4-06bb2e1ece26/1578466541010.jpg"/>
    <s v="https://www.commcarehq.org/a/demo-18/api/form/attachment/21859684-74cb-488d-a9b4-06bb2e1ece26/1578466566052.jpg"/>
    <s v="https://www.commcarehq.org/a/demo-18/api/form/attachment/21859684-74cb-488d-a9b4-06bb2e1ece26/1578466666610.jpg"/>
    <s v="https://www.commcarehq.org/a/demo-18/api/form/attachment/21859684-74cb-488d-a9b4-06bb2e1ece26/1578466675835.jpg"/>
    <s v="https://www.commcarehq.org/a/demo-18/api/form/attachment/21859684-74cb-488d-a9b4-06bb2e1ece26/1578466708219.jpg"/>
    <s v="https://www.commcarehq.org/a/demo-18/api/form/attachment/21859684-74cb-488d-a9b4-06bb2e1ece26/1578466717811.jpg"/>
    <d v="2020-01-08T06:58:40"/>
    <d v="2020-01-08T06:54:26"/>
    <s v="arnold"/>
    <d v="2020-01-08T06:59:17"/>
    <s v="21859684-74cb-488d-a9b4-06bb2e1ece26"/>
    <s v="https://www.commcarehq.org/a/demo-18/reports/form_data/21859684-74cb-488d-a9b4-06bb2e1ece26/"/>
  </r>
  <r>
    <x v="16"/>
    <n v="5.6"/>
    <d v="2020-02-08T00:00:00"/>
    <d v="2020-01-09T00:00:00"/>
    <s v="no"/>
    <s v="---"/>
    <s v="---"/>
    <x v="0"/>
    <s v="no"/>
    <s v="---"/>
    <s v="https://www.commcarehq.org/a/demo-18/api/form/attachment/4e66a9c9-14cb-4e61-8782-d8bc42535b05/1578551326086.jpg"/>
    <s v="https://www.commcarehq.org/a/demo-18/api/form/attachment/4e66a9c9-14cb-4e61-8782-d8bc42535b05/1578551342159.jpg"/>
    <s v="https://www.commcarehq.org/a/demo-18/api/form/attachment/4e66a9c9-14cb-4e61-8782-d8bc42535b05/1578551377582.jpg"/>
    <s v="https://www.commcarehq.org/a/demo-18/api/form/attachment/4e66a9c9-14cb-4e61-8782-d8bc42535b05/1578551392076.jpg"/>
    <s v="https://www.commcarehq.org/a/demo-18/api/form/attachment/4e66a9c9-14cb-4e61-8782-d8bc42535b05/1578551411698.jpg"/>
    <s v="https://www.commcarehq.org/a/demo-18/api/form/attachment/4e66a9c9-14cb-4e61-8782-d8bc42535b05/1578551421286.jpg"/>
    <d v="2020-01-09T06:30:23"/>
    <d v="2020-01-09T06:28:02"/>
    <s v="arnold"/>
    <d v="2020-01-09T06:30:42"/>
    <s v="4e66a9c9-14cb-4e61-8782-d8bc42535b05"/>
    <s v="https://www.commcarehq.org/a/demo-18/reports/form_data/4e66a9c9-14cb-4e61-8782-d8bc42535b05/"/>
  </r>
  <r>
    <x v="17"/>
    <n v="5.0999999999999996"/>
    <d v="2020-02-09T00:00:00"/>
    <d v="2020-01-10T00:00:00"/>
    <s v="no"/>
    <s v="---"/>
    <s v="---"/>
    <x v="2"/>
    <s v="no"/>
    <s v="---"/>
    <s v="https://www.commcarehq.org/a/demo-18/api/form/attachment/99251c9e-8bee-48c5-8f15-5032459643e8/1578637826278.jpg"/>
    <s v="https://www.commcarehq.org/a/demo-18/api/form/attachment/99251c9e-8bee-48c5-8f15-5032459643e8/1578637844174.jpg"/>
    <s v="https://www.commcarehq.org/a/demo-18/api/form/attachment/99251c9e-8bee-48c5-8f15-5032459643e8/1578637879867.jpg"/>
    <s v="https://www.commcarehq.org/a/demo-18/api/form/attachment/99251c9e-8bee-48c5-8f15-5032459643e8/1578637889670.jpg"/>
    <s v="https://www.commcarehq.org/a/demo-18/api/form/attachment/99251c9e-8bee-48c5-8f15-5032459643e8/1578637906793.jpg"/>
    <s v="https://www.commcarehq.org/a/demo-18/api/form/attachment/99251c9e-8bee-48c5-8f15-5032459643e8/1578637916936.jpg"/>
    <d v="2020-01-10T06:31:58"/>
    <d v="2020-01-10T06:28:12"/>
    <s v="arnold"/>
    <d v="2020-01-10T06:32:28"/>
    <s v="99251c9e-8bee-48c5-8f15-5032459643e8"/>
    <s v="https://www.commcarehq.org/a/demo-18/reports/form_data/99251c9e-8bee-48c5-8f15-5032459643e8/"/>
  </r>
  <r>
    <x v="18"/>
    <n v="5.2"/>
    <d v="2020-01-10T00:00:00"/>
    <d v="2019-12-11T00:00:00"/>
    <s v="no"/>
    <s v="---"/>
    <s v="---"/>
    <x v="1"/>
    <s v="no"/>
    <s v="---"/>
    <s v="https://www.commcarehq.org/a/demo-18/api/form/attachment/34e74022-4af8-4513-8e3b-868c9a31e385/1576048791464.jpg"/>
    <s v="https://www.commcarehq.org/a/demo-18/api/form/attachment/34e74022-4af8-4513-8e3b-868c9a31e385/1576048821617.jpg"/>
    <s v="https://www.commcarehq.org/a/demo-18/api/form/attachment/34e74022-4af8-4513-8e3b-868c9a31e385/1576048922902.jpg"/>
    <s v="https://www.commcarehq.org/a/demo-18/api/form/attachment/34e74022-4af8-4513-8e3b-868c9a31e385/1576048932888.jpg"/>
    <s v="https://www.commcarehq.org/a/demo-18/api/form/attachment/34e74022-4af8-4513-8e3b-868c9a31e385/1576048953585.jpg"/>
    <s v="https://www.commcarehq.org/a/demo-18/api/form/attachment/34e74022-4af8-4513-8e3b-868c9a31e385/1576048973128.jpg"/>
    <d v="2019-12-11T07:22:56"/>
    <d v="2019-12-11T07:17:23"/>
    <s v="arnold"/>
    <d v="2019-12-11T10:30:35"/>
    <s v="34e74022-4af8-4513-8e3b-868c9a31e385"/>
    <s v="https://www.commcarehq.org/a/demo-18/reports/form_data/34e74022-4af8-4513-8e3b-868c9a31e385/"/>
  </r>
  <r>
    <x v="19"/>
    <n v="4.5"/>
    <d v="2020-02-12T00:00:00"/>
    <d v="2020-01-13T00:00:00"/>
    <s v="no"/>
    <s v="---"/>
    <s v="---"/>
    <x v="0"/>
    <s v="no"/>
    <s v="---"/>
    <s v="https://www.commcarehq.org/a/demo-18/api/form/attachment/73ae4aee-c9bb-4f76-890d-71eac758df31/1578897824134.jpg"/>
    <s v="https://www.commcarehq.org/a/demo-18/api/form/attachment/73ae4aee-c9bb-4f76-890d-71eac758df31/1578897838963.jpg"/>
    <s v="https://www.commcarehq.org/a/demo-18/api/form/attachment/73ae4aee-c9bb-4f76-890d-71eac758df31/1578897916259.jpg"/>
    <s v="https://www.commcarehq.org/a/demo-18/api/form/attachment/73ae4aee-c9bb-4f76-890d-71eac758df31/1578897927000.jpg"/>
    <s v="https://www.commcarehq.org/a/demo-18/api/form/attachment/73ae4aee-c9bb-4f76-890d-71eac758df31/1578897942902.jpg"/>
    <s v="https://www.commcarehq.org/a/demo-18/api/form/attachment/73ae4aee-c9bb-4f76-890d-71eac758df31/1578897956147.jpg"/>
    <d v="2020-01-13T06:45:58"/>
    <d v="2020-01-13T06:43:16"/>
    <s v="arnold"/>
    <d v="2020-01-13T06:46:14"/>
    <s v="73ae4aee-c9bb-4f76-890d-71eac758df31"/>
    <s v="https://www.commcarehq.org/a/demo-18/reports/form_data/73ae4aee-c9bb-4f76-890d-71eac758df31/"/>
  </r>
  <r>
    <x v="20"/>
    <n v="5"/>
    <d v="2020-02-09T00:00:00"/>
    <d v="2020-01-10T00:00:00"/>
    <s v="no"/>
    <s v="---"/>
    <s v="---"/>
    <x v="0"/>
    <s v="no"/>
    <s v="---"/>
    <s v="https://www.commcarehq.org/a/demo-18/api/form/attachment/b232707f-fd06-4cbb-80e1-85408d22a189/1578643342072.jpg"/>
    <s v="https://www.commcarehq.org/a/demo-18/api/form/attachment/b232707f-fd06-4cbb-80e1-85408d22a189/1578643360923.jpg"/>
    <s v="https://www.commcarehq.org/a/demo-18/api/form/attachment/b232707f-fd06-4cbb-80e1-85408d22a189/1578643459933.jpg"/>
    <s v="https://www.commcarehq.org/a/demo-18/api/form/attachment/b232707f-fd06-4cbb-80e1-85408d22a189/1578643471249.jpg"/>
    <s v="https://www.commcarehq.org/a/demo-18/api/form/attachment/b232707f-fd06-4cbb-80e1-85408d22a189/1578643492140.jpg"/>
    <s v="https://www.commcarehq.org/a/demo-18/api/form/attachment/b232707f-fd06-4cbb-80e1-85408d22a189/1578643502535.jpg"/>
    <d v="2020-01-10T08:05:04"/>
    <d v="2020-01-10T08:01:31"/>
    <s v="arnold"/>
    <d v="2020-01-10T08:05:23"/>
    <s v="b232707f-fd06-4cbb-80e1-85408d22a189"/>
    <s v="https://www.commcarehq.org/a/demo-18/reports/form_data/b232707f-fd06-4cbb-80e1-85408d22a189/"/>
  </r>
  <r>
    <x v="21"/>
    <n v="4.5999999999999996"/>
    <d v="2020-02-12T00:00:00"/>
    <d v="2020-01-13T00:00:00"/>
    <s v="no"/>
    <s v="---"/>
    <s v="---"/>
    <x v="0"/>
    <s v="no"/>
    <s v="---"/>
    <s v="https://www.commcarehq.org/a/demo-18/api/form/attachment/05d05b20-d715-4383-8231-ab8493029279/1578896029620.jpg"/>
    <s v="https://www.commcarehq.org/a/demo-18/api/form/attachment/05d05b20-d715-4383-8231-ab8493029279/1578896058549.jpg"/>
    <s v="https://www.commcarehq.org/a/demo-18/api/form/attachment/05d05b20-d715-4383-8231-ab8493029279/1578896098205.jpg"/>
    <s v="https://www.commcarehq.org/a/demo-18/api/form/attachment/05d05b20-d715-4383-8231-ab8493029279/1578896108488.jpg"/>
    <s v="https://www.commcarehq.org/a/demo-18/api/form/attachment/05d05b20-d715-4383-8231-ab8493029279/1578896137518.jpg"/>
    <s v="https://www.commcarehq.org/a/demo-18/api/form/attachment/05d05b20-d715-4383-8231-ab8493029279/1578896149005.jpg"/>
    <d v="2020-01-13T06:15:51"/>
    <d v="2020-01-13T06:13:14"/>
    <s v="arnold"/>
    <d v="2020-01-13T06:16:07"/>
    <s v="05d05b20-d715-4383-8231-ab8493029279"/>
    <s v="https://www.commcarehq.org/a/demo-18/reports/form_data/05d05b20-d715-4383-8231-ab8493029279/"/>
  </r>
  <r>
    <x v="22"/>
    <n v="5"/>
    <d v="2020-02-15T00:00:00"/>
    <d v="2020-01-16T00:00:00"/>
    <s v="no"/>
    <s v="---"/>
    <s v="---"/>
    <x v="0"/>
    <s v="no"/>
    <s v="---"/>
    <s v="https://www.commcarehq.org/a/demo-18/api/form/attachment/26b8df14-2d4f-449e-b944-8c3b33136787/1579161137121.jpg"/>
    <s v="https://www.commcarehq.org/a/demo-18/api/form/attachment/26b8df14-2d4f-449e-b944-8c3b33136787/1579161157580.jpg"/>
    <s v="https://www.commcarehq.org/a/demo-18/api/form/attachment/26b8df14-2d4f-449e-b944-8c3b33136787/1579161199633.jpg"/>
    <s v="https://www.commcarehq.org/a/demo-18/api/form/attachment/26b8df14-2d4f-449e-b944-8c3b33136787/1579161269629.jpg"/>
    <s v="https://www.commcarehq.org/a/demo-18/api/form/attachment/26b8df14-2d4f-449e-b944-8c3b33136787/1579161286876.jpg"/>
    <s v="https://www.commcarehq.org/a/demo-18/api/form/attachment/26b8df14-2d4f-449e-b944-8c3b33136787/1579161297536.jpg"/>
    <d v="2020-01-16T07:54:59"/>
    <d v="2020-01-16T07:51:56"/>
    <s v="arnold"/>
    <d v="2020-01-16T07:55:16"/>
    <s v="26b8df14-2d4f-449e-b944-8c3b33136787"/>
    <s v="https://www.commcarehq.org/a/demo-18/reports/form_data/26b8df14-2d4f-449e-b944-8c3b33136787/"/>
  </r>
  <r>
    <x v="23"/>
    <n v="5.5"/>
    <d v="2020-02-15T00:00:00"/>
    <d v="2020-01-16T00:00:00"/>
    <s v="no"/>
    <s v="---"/>
    <s v="---"/>
    <x v="1"/>
    <s v="no"/>
    <s v="---"/>
    <s v="https://www.commcarehq.org/a/demo-18/api/form/attachment/b940c04d-2620-4122-9e41-2e6c4078a9e8/1579155742185.jpg"/>
    <s v="https://www.commcarehq.org/a/demo-18/api/form/attachment/b940c04d-2620-4122-9e41-2e6c4078a9e8/1579155757282.jpg"/>
    <s v="https://www.commcarehq.org/a/demo-18/api/form/attachment/b940c04d-2620-4122-9e41-2e6c4078a9e8/1579155801683.jpg"/>
    <s v="https://www.commcarehq.org/a/demo-18/api/form/attachment/b940c04d-2620-4122-9e41-2e6c4078a9e8/1579155817216.jpg"/>
    <s v="https://www.commcarehq.org/a/demo-18/api/form/attachment/b940c04d-2620-4122-9e41-2e6c4078a9e8/1579155840744.jpg"/>
    <s v="https://www.commcarehq.org/a/demo-18/api/form/attachment/b940c04d-2620-4122-9e41-2e6c4078a9e8/1579155850535.jpg"/>
    <d v="2020-01-16T06:24:12"/>
    <d v="2020-01-16T06:21:36"/>
    <s v="arnold"/>
    <d v="2020-01-16T06:24:28"/>
    <s v="b940c04d-2620-4122-9e41-2e6c4078a9e8"/>
    <s v="https://www.commcarehq.org/a/demo-18/reports/form_data/b940c04d-2620-4122-9e41-2e6c4078a9e8/"/>
  </r>
  <r>
    <x v="24"/>
    <n v="5.6"/>
    <d v="2020-02-16T00:00:00"/>
    <d v="2020-01-17T00:00:00"/>
    <s v="no"/>
    <s v="---"/>
    <s v="---"/>
    <x v="0"/>
    <s v="no"/>
    <s v="---"/>
    <s v="https://www.commcarehq.org/a/demo-18/api/form/attachment/67dcff4c-7a19-4324-a826-930e8611fa24/1579244242128.jpg"/>
    <s v="https://www.commcarehq.org/a/demo-18/api/form/attachment/67dcff4c-7a19-4324-a826-930e8611fa24/1579244259468.jpg"/>
    <s v="https://www.commcarehq.org/a/demo-18/api/form/attachment/67dcff4c-7a19-4324-a826-930e8611fa24/1579244315492.jpg"/>
    <s v="https://www.commcarehq.org/a/demo-18/api/form/attachment/67dcff4c-7a19-4324-a826-930e8611fa24/1579244326243.jpg"/>
    <s v="https://www.commcarehq.org/a/demo-18/api/form/attachment/67dcff4c-7a19-4324-a826-930e8611fa24/1579244344162.jpg"/>
    <s v="https://www.commcarehq.org/a/demo-18/api/form/attachment/67dcff4c-7a19-4324-a826-930e8611fa24/1579244354382.jpg"/>
    <d v="2020-01-17T06:59:16"/>
    <d v="2020-01-17T06:56:54"/>
    <s v="arnold"/>
    <d v="2020-01-17T06:59:36"/>
    <s v="67dcff4c-7a19-4324-a826-930e8611fa24"/>
    <s v="https://www.commcarehq.org/a/demo-18/reports/form_data/67dcff4c-7a19-4324-a826-930e8611fa24/"/>
  </r>
  <r>
    <x v="25"/>
    <n v="6.4"/>
    <d v="2020-01-10T00:00:00"/>
    <d v="2019-12-11T00:00:00"/>
    <s v="no"/>
    <s v="---"/>
    <s v="---"/>
    <x v="0"/>
    <s v="no"/>
    <s v="---"/>
    <s v="https://www.commcarehq.org/a/demo-18/api/form/attachment/2e0b0a9f-4c07-4a15-87f0-f2fbbf523c64/1576046277286.jpg"/>
    <s v="https://www.commcarehq.org/a/demo-18/api/form/attachment/2e0b0a9f-4c07-4a15-87f0-f2fbbf523c64/1576046297893.jpg"/>
    <s v="https://www.commcarehq.org/a/demo-18/api/form/attachment/2e0b0a9f-4c07-4a15-87f0-f2fbbf523c64/1576046340843.jpg"/>
    <s v="https://www.commcarehq.org/a/demo-18/api/form/attachment/2e0b0a9f-4c07-4a15-87f0-f2fbbf523c64/1576046349869.jpg"/>
    <s v="https://www.commcarehq.org/a/demo-18/api/form/attachment/2e0b0a9f-4c07-4a15-87f0-f2fbbf523c64/1576046372287.jpg"/>
    <s v="https://www.commcarehq.org/a/demo-18/api/form/attachment/2e0b0a9f-4c07-4a15-87f0-f2fbbf523c64/1576046383658.jpg"/>
    <d v="2019-12-11T06:39:45"/>
    <d v="2019-12-11T06:34:53"/>
    <s v="arnold"/>
    <d v="2019-12-11T10:28:34"/>
    <s v="2e0b0a9f-4c07-4a15-87f0-f2fbbf523c64"/>
    <s v="https://www.commcarehq.org/a/demo-18/reports/form_data/2e0b0a9f-4c07-4a15-87f0-f2fbbf523c64/"/>
  </r>
  <r>
    <x v="26"/>
    <n v="6.2"/>
    <d v="2020-02-16T00:00:00"/>
    <d v="2020-01-17T00:00:00"/>
    <s v="no"/>
    <s v="---"/>
    <s v="---"/>
    <x v="1"/>
    <s v="no"/>
    <s v="---"/>
    <s v="https://www.commcarehq.org/a/demo-18/api/form/attachment/08f331f4-78ca-47b3-a7fc-9c1e74c0f32b/1579244584024.jpg"/>
    <s v="https://www.commcarehq.org/a/demo-18/api/form/attachment/08f331f4-78ca-47b3-a7fc-9c1e74c0f32b/1579244601551.jpg"/>
    <s v="https://www.commcarehq.org/a/demo-18/api/form/attachment/08f331f4-78ca-47b3-a7fc-9c1e74c0f32b/1579244685814.jpg"/>
    <s v="https://www.commcarehq.org/a/demo-18/api/form/attachment/08f331f4-78ca-47b3-a7fc-9c1e74c0f32b/1579244695534.jpg"/>
    <s v="https://www.commcarehq.org/a/demo-18/api/form/attachment/08f331f4-78ca-47b3-a7fc-9c1e74c0f32b/1579244720578.jpg"/>
    <s v="https://www.commcarehq.org/a/demo-18/api/form/attachment/08f331f4-78ca-47b3-a7fc-9c1e74c0f32b/1579244730220.jpg"/>
    <d v="2020-01-17T07:05:32"/>
    <d v="2020-01-17T07:02:18"/>
    <s v="arnold"/>
    <d v="2020-01-17T07:05:54"/>
    <s v="08f331f4-78ca-47b3-a7fc-9c1e74c0f32b"/>
    <s v="https://www.commcarehq.org/a/demo-18/reports/form_data/08f331f4-78ca-47b3-a7fc-9c1e74c0f32b/"/>
  </r>
  <r>
    <x v="27"/>
    <n v="5.6"/>
    <d v="2020-02-15T00:00:00"/>
    <d v="2020-01-16T00:00:00"/>
    <s v="no"/>
    <s v="---"/>
    <s v="---"/>
    <x v="0"/>
    <s v="no"/>
    <s v="---"/>
    <s v="https://www.commcarehq.org/a/demo-18/api/form/attachment/b894204b-1218-4346-85d7-849a6afeae67/1579161938073.jpg"/>
    <s v="https://www.commcarehq.org/a/demo-18/api/form/attachment/b894204b-1218-4346-85d7-849a6afeae67/1579161954607.jpg"/>
    <s v="https://www.commcarehq.org/a/demo-18/api/form/attachment/b894204b-1218-4346-85d7-849a6afeae67/1579162037828.jpg"/>
    <s v="https://www.commcarehq.org/a/demo-18/api/form/attachment/b894204b-1218-4346-85d7-849a6afeae67/1579162047904.jpg"/>
    <s v="https://www.commcarehq.org/a/demo-18/api/form/attachment/b894204b-1218-4346-85d7-849a6afeae67/1579162066675.jpg"/>
    <s v="https://www.commcarehq.org/a/demo-18/api/form/attachment/b894204b-1218-4346-85d7-849a6afeae67/1579162078556.jpg"/>
    <d v="2020-01-16T08:08:00"/>
    <d v="2020-01-16T08:04:10"/>
    <s v="arnold"/>
    <d v="2020-01-16T08:08:24"/>
    <s v="b894204b-1218-4346-85d7-849a6afeae67"/>
    <s v="https://www.commcarehq.org/a/demo-18/reports/form_data/b894204b-1218-4346-85d7-849a6afeae67/"/>
  </r>
  <r>
    <x v="28"/>
    <n v="5"/>
    <d v="2020-02-19T00:00:00"/>
    <d v="2020-01-20T00:00:00"/>
    <s v="no"/>
    <s v="---"/>
    <s v="---"/>
    <x v="0"/>
    <s v="no"/>
    <s v="---"/>
    <s v="https://www.commcarehq.org/a/demo-18/api/form/attachment/95601f3b-4f8a-4b8e-afe7-47fddee8aea0/1579507122140.jpg"/>
    <s v="https://www.commcarehq.org/a/demo-18/api/form/attachment/95601f3b-4f8a-4b8e-afe7-47fddee8aea0/1579507142808.jpg"/>
    <s v="https://www.commcarehq.org/a/demo-18/api/form/attachment/95601f3b-4f8a-4b8e-afe7-47fddee8aea0/1579507188636.jpg"/>
    <s v="https://www.commcarehq.org/a/demo-18/api/form/attachment/95601f3b-4f8a-4b8e-afe7-47fddee8aea0/1579507198169.jpg"/>
    <s v="https://www.commcarehq.org/a/demo-18/api/form/attachment/95601f3b-4f8a-4b8e-afe7-47fddee8aea0/1579507220052.jpg"/>
    <s v="https://www.commcarehq.org/a/demo-18/api/form/attachment/95601f3b-4f8a-4b8e-afe7-47fddee8aea0/1579507229495.jpg"/>
    <d v="2020-01-20T08:00:31"/>
    <d v="2020-01-20T07:58:18"/>
    <s v="arnold"/>
    <d v="2020-01-20T08:00:56"/>
    <s v="95601f3b-4f8a-4b8e-afe7-47fddee8aea0"/>
    <s v="https://www.commcarehq.org/a/demo-18/reports/form_data/95601f3b-4f8a-4b8e-afe7-47fddee8aea0/"/>
  </r>
  <r>
    <x v="29"/>
    <n v="5.4"/>
    <d v="2020-02-21T00:00:00"/>
    <d v="2020-01-22T00:00:00"/>
    <s v="no"/>
    <s v="---"/>
    <s v="---"/>
    <x v="0"/>
    <s v="no"/>
    <s v="---"/>
    <s v="https://www.commcarehq.org/a/demo-18/api/form/attachment/a869c7f1-1691-489f-bd22-be6558143035/1579676278342.jpg"/>
    <s v="https://www.commcarehq.org/a/demo-18/api/form/attachment/a869c7f1-1691-489f-bd22-be6558143035/1579676297921.jpg"/>
    <s v="https://www.commcarehq.org/a/demo-18/api/form/attachment/a869c7f1-1691-489f-bd22-be6558143035/1579676341945.jpg"/>
    <s v="https://www.commcarehq.org/a/demo-18/api/form/attachment/a869c7f1-1691-489f-bd22-be6558143035/1579676354509.jpg"/>
    <s v="https://www.commcarehq.org/a/demo-18/api/form/attachment/a869c7f1-1691-489f-bd22-be6558143035/1579676370981.jpg"/>
    <s v="https://www.commcarehq.org/a/demo-18/api/form/attachment/a869c7f1-1691-489f-bd22-be6558143035/1579676380896.jpg"/>
    <d v="2020-01-22T06:59:43"/>
    <d v="2020-01-22T06:56:48"/>
    <s v="arnold"/>
    <d v="2020-01-22T07:00:02"/>
    <s v="a869c7f1-1691-489f-bd22-be6558143035"/>
    <s v="https://www.commcarehq.org/a/demo-18/reports/form_data/a869c7f1-1691-489f-bd22-be6558143035/"/>
  </r>
  <r>
    <x v="30"/>
    <n v="4.0999999999999996"/>
    <d v="2020-02-19T00:00:00"/>
    <d v="2020-01-20T00:00:00"/>
    <s v="no"/>
    <s v="---"/>
    <s v="---"/>
    <x v="2"/>
    <s v="no"/>
    <s v="---"/>
    <s v="https://www.commcarehq.org/a/demo-18/api/form/attachment/86fd2f6f-b62a-48d6-81cd-f45e9165448a/1579503879269.jpg"/>
    <s v="https://www.commcarehq.org/a/demo-18/api/form/attachment/86fd2f6f-b62a-48d6-81cd-f45e9165448a/1579503892406.jpg"/>
    <s v="https://www.commcarehq.org/a/demo-18/api/form/attachment/86fd2f6f-b62a-48d6-81cd-f45e9165448a/1579503994845.jpg"/>
    <s v="https://www.commcarehq.org/a/demo-18/api/form/attachment/86fd2f6f-b62a-48d6-81cd-f45e9165448a/1579504006440.jpg"/>
    <s v="https://www.commcarehq.org/a/demo-18/api/form/attachment/86fd2f6f-b62a-48d6-81cd-f45e9165448a/1579504023077.jpg"/>
    <s v="https://www.commcarehq.org/a/demo-18/api/form/attachment/86fd2f6f-b62a-48d6-81cd-f45e9165448a/1579504032169.jpg"/>
    <d v="2020-01-20T07:07:15"/>
    <d v="2020-01-20T07:03:58"/>
    <s v="arnold"/>
    <d v="2020-01-20T07:07:35"/>
    <s v="86fd2f6f-b62a-48d6-81cd-f45e9165448a"/>
    <s v="https://www.commcarehq.org/a/demo-18/reports/form_data/86fd2f6f-b62a-48d6-81cd-f45e9165448a/"/>
  </r>
  <r>
    <x v="31"/>
    <n v="5.7"/>
    <d v="2020-02-19T00:00:00"/>
    <d v="2020-01-20T00:00:00"/>
    <s v="no"/>
    <s v="---"/>
    <s v="---"/>
    <x v="0"/>
    <s v="no"/>
    <s v="---"/>
    <s v="https://www.commcarehq.org/a/demo-18/api/form/attachment/b49012b1-dc15-4152-a9de-5bf88c153b53/1579506517056.jpg"/>
    <s v="https://www.commcarehq.org/a/demo-18/api/form/attachment/b49012b1-dc15-4152-a9de-5bf88c153b53/1579506533985.jpg"/>
    <s v="https://www.commcarehq.org/a/demo-18/api/form/attachment/b49012b1-dc15-4152-a9de-5bf88c153b53/1579506586373.jpg"/>
    <s v="https://www.commcarehq.org/a/demo-18/api/form/attachment/b49012b1-dc15-4152-a9de-5bf88c153b53/1579506598479.jpg"/>
    <s v="https://www.commcarehq.org/a/demo-18/api/form/attachment/b49012b1-dc15-4152-a9de-5bf88c153b53/1579506626766.jpg"/>
    <s v="https://www.commcarehq.org/a/demo-18/api/form/attachment/b49012b1-dc15-4152-a9de-5bf88c153b53/1579506638586.jpg"/>
    <d v="2020-01-20T07:50:40"/>
    <d v="2020-01-20T07:47:57"/>
    <s v="arnold"/>
    <d v="2020-01-20T07:51:00"/>
    <s v="b49012b1-dc15-4152-a9de-5bf88c153b53"/>
    <s v="https://www.commcarehq.org/a/demo-18/reports/form_data/b49012b1-dc15-4152-a9de-5bf88c153b53/"/>
  </r>
  <r>
    <x v="32"/>
    <n v="4.9000000000000004"/>
    <d v="2020-02-19T00:00:00"/>
    <d v="2020-01-20T00:00:00"/>
    <s v="no"/>
    <s v="---"/>
    <s v="---"/>
    <x v="0"/>
    <s v="no"/>
    <s v="---"/>
    <s v="https://www.commcarehq.org/a/demo-18/api/form/attachment/6bc19aff-c269-4429-87ba-32455c46ad0f/1579503050959.jpg"/>
    <s v="https://www.commcarehq.org/a/demo-18/api/form/attachment/6bc19aff-c269-4429-87ba-32455c46ad0f/1579503065676.jpg"/>
    <s v="https://www.commcarehq.org/a/demo-18/api/form/attachment/6bc19aff-c269-4429-87ba-32455c46ad0f/1579503149895.jpg"/>
    <s v="https://www.commcarehq.org/a/demo-18/api/form/attachment/6bc19aff-c269-4429-87ba-32455c46ad0f/1579503159760.jpg"/>
    <s v="https://www.commcarehq.org/a/demo-18/api/form/attachment/6bc19aff-c269-4429-87ba-32455c46ad0f/1579503199708.jpg"/>
    <s v="https://www.commcarehq.org/a/demo-18/api/form/attachment/6bc19aff-c269-4429-87ba-32455c46ad0f/1579503208680.jpg"/>
    <d v="2020-01-20T06:53:30"/>
    <d v="2020-01-20T06:50:06"/>
    <s v="arnold"/>
    <d v="2020-01-20T06:53:53"/>
    <s v="6bc19aff-c269-4429-87ba-32455c46ad0f"/>
    <s v="https://www.commcarehq.org/a/demo-18/reports/form_data/6bc19aff-c269-4429-87ba-32455c46ad0f/"/>
  </r>
  <r>
    <x v="33"/>
    <n v="5.2"/>
    <d v="2020-02-19T00:00:00"/>
    <d v="2020-01-20T00:00:00"/>
    <s v="no"/>
    <s v="---"/>
    <s v="---"/>
    <x v="0"/>
    <s v="no"/>
    <s v="---"/>
    <s v="https://www.commcarehq.org/a/demo-18/api/form/attachment/32cf8db1-8276-40e4-b60f-9f55b0284f06/1579512111869.jpg"/>
    <s v="https://www.commcarehq.org/a/demo-18/api/form/attachment/32cf8db1-8276-40e4-b60f-9f55b0284f06/1579512129098.jpg"/>
    <s v="https://www.commcarehq.org/a/demo-18/api/form/attachment/32cf8db1-8276-40e4-b60f-9f55b0284f06/1579512178184.jpg"/>
    <s v="https://www.commcarehq.org/a/demo-18/api/form/attachment/32cf8db1-8276-40e4-b60f-9f55b0284f06/1579512187716.jpg"/>
    <s v="https://www.commcarehq.org/a/demo-18/api/form/attachment/32cf8db1-8276-40e4-b60f-9f55b0284f06/1579512205477.jpg"/>
    <s v="https://www.commcarehq.org/a/demo-18/api/form/attachment/32cf8db1-8276-40e4-b60f-9f55b0284f06/1579512215108.jpg"/>
    <d v="2020-01-20T09:23:37"/>
    <d v="2020-01-20T09:21:07"/>
    <s v="arnold"/>
    <d v="2020-01-20T11:47:33"/>
    <s v="32cf8db1-8276-40e4-b60f-9f55b0284f06"/>
    <s v="https://www.commcarehq.org/a/demo-18/reports/form_data/32cf8db1-8276-40e4-b60f-9f55b0284f06/"/>
  </r>
  <r>
    <x v="34"/>
    <n v="5.9"/>
    <d v="2020-01-08T00:00:00"/>
    <d v="2019-12-09T00:00:00"/>
    <s v="no"/>
    <s v="---"/>
    <s v="---"/>
    <x v="0"/>
    <s v="no"/>
    <s v="---"/>
    <s v="https://www.commcarehq.org/a/demo-18/api/form/attachment/622de0e9-37c9-46b8-8a17-86a3180b8cad/1575878095101.jpg"/>
    <s v="https://www.commcarehq.org/a/demo-18/api/form/attachment/622de0e9-37c9-46b8-8a17-86a3180b8cad/1575878103795.jpg"/>
    <s v="https://www.commcarehq.org/a/demo-18/api/form/attachment/622de0e9-37c9-46b8-8a17-86a3180b8cad/1575878147033.jpg"/>
    <s v="https://www.commcarehq.org/a/demo-18/api/form/attachment/622de0e9-37c9-46b8-8a17-86a3180b8cad/1575878154849.jpg"/>
    <s v="https://www.commcarehq.org/a/demo-18/api/form/attachment/622de0e9-37c9-46b8-8a17-86a3180b8cad/1575878172766.jpg"/>
    <s v="https://www.commcarehq.org/a/demo-18/api/form/attachment/622de0e9-37c9-46b8-8a17-86a3180b8cad/1575878180955.jpg"/>
    <d v="2019-12-09T07:56:23"/>
    <d v="2019-12-09T07:54:20"/>
    <s v="arnold"/>
    <d v="2019-12-09T10:05:33"/>
    <s v="622de0e9-37c9-46b8-8a17-86a3180b8cad"/>
    <s v="https://www.commcarehq.org/a/demo-18/reports/form_data/622de0e9-37c9-46b8-8a17-86a3180b8cad/"/>
  </r>
  <r>
    <x v="35"/>
    <n v="5.9"/>
    <d v="2020-02-23T00:00:00"/>
    <d v="2020-01-24T00:00:00"/>
    <s v="no"/>
    <s v="---"/>
    <s v="---"/>
    <x v="0"/>
    <s v="no"/>
    <s v="---"/>
    <s v="https://www.commcarehq.org/a/demo-18/api/form/attachment/47f369df-689e-4586-b4a9-c8fa50c8883b/1579850697709.jpg"/>
    <s v="https://www.commcarehq.org/a/demo-18/api/form/attachment/47f369df-689e-4586-b4a9-c8fa50c8883b/1579850717564.jpg"/>
    <s v="https://www.commcarehq.org/a/demo-18/api/form/attachment/47f369df-689e-4586-b4a9-c8fa50c8883b/1579850771533.jpg"/>
    <s v="https://www.commcarehq.org/a/demo-18/api/form/attachment/47f369df-689e-4586-b4a9-c8fa50c8883b/1579850785046.jpg"/>
    <s v="https://www.commcarehq.org/a/demo-18/api/form/attachment/47f369df-689e-4586-b4a9-c8fa50c8883b/1579850802810.jpg"/>
    <s v="https://www.commcarehq.org/a/demo-18/api/form/attachment/47f369df-689e-4586-b4a9-c8fa50c8883b/1579850812314.jpg"/>
    <d v="2020-01-24T07:26:54"/>
    <d v="2020-01-24T07:24:24"/>
    <s v="arnold"/>
    <d v="2020-01-24T07:27:11"/>
    <s v="47f369df-689e-4586-b4a9-c8fa50c8883b"/>
    <s v="https://www.commcarehq.org/a/demo-18/reports/form_data/47f369df-689e-4586-b4a9-c8fa50c8883b/"/>
  </r>
  <r>
    <x v="36"/>
    <n v="5.3"/>
    <d v="2020-02-19T00:00:00"/>
    <d v="2020-01-20T00:00:00"/>
    <s v="no"/>
    <s v="---"/>
    <s v="---"/>
    <x v="2"/>
    <s v="no"/>
    <s v="---"/>
    <s v="https://www.commcarehq.org/a/demo-18/api/form/attachment/e239816e-b860-4f20-9bc1-7d7edecf7979/1579508223923.jpg"/>
    <s v="https://www.commcarehq.org/a/demo-18/api/form/attachment/e239816e-b860-4f20-9bc1-7d7edecf7979/1579508237663.jpg"/>
    <s v="https://www.commcarehq.org/a/demo-18/api/form/attachment/e239816e-b860-4f20-9bc1-7d7edecf7979/1579508283272.jpg"/>
    <s v="https://www.commcarehq.org/a/demo-18/api/form/attachment/e239816e-b860-4f20-9bc1-7d7edecf7979/1579508293169.jpg"/>
    <s v="https://www.commcarehq.org/a/demo-18/api/form/attachment/e239816e-b860-4f20-9bc1-7d7edecf7979/1579508321237.jpg"/>
    <s v="https://www.commcarehq.org/a/demo-18/api/form/attachment/e239816e-b860-4f20-9bc1-7d7edecf7979/1579508330655.jpg"/>
    <d v="2020-01-20T08:18:52"/>
    <d v="2020-01-20T08:16:38"/>
    <s v="arnold"/>
    <d v="2020-01-20T08:19:12"/>
    <s v="e239816e-b860-4f20-9bc1-7d7edecf7979"/>
    <s v="https://www.commcarehq.org/a/demo-18/reports/form_data/e239816e-b860-4f20-9bc1-7d7edecf7979/"/>
  </r>
  <r>
    <x v="37"/>
    <n v="4.5"/>
    <d v="2020-02-16T00:00:00"/>
    <d v="2020-01-17T00:00:00"/>
    <s v="no"/>
    <s v="---"/>
    <s v="---"/>
    <x v="2"/>
    <s v="no"/>
    <s v="---"/>
    <s v="https://www.commcarehq.org/a/demo-18/api/form/attachment/652c6970-6998-4283-9174-03629d9fbed3/1579248875238.jpg"/>
    <s v="https://www.commcarehq.org/a/demo-18/api/form/attachment/652c6970-6998-4283-9174-03629d9fbed3/1579248914027.jpg"/>
    <s v="https://www.commcarehq.org/a/demo-18/api/form/attachment/652c6970-6998-4283-9174-03629d9fbed3/1579249022285.jpg"/>
    <s v="https://www.commcarehq.org/a/demo-18/api/form/attachment/652c6970-6998-4283-9174-03629d9fbed3/1579249031985.jpg"/>
    <s v="https://www.commcarehq.org/a/demo-18/api/form/attachment/652c6970-6998-4283-9174-03629d9fbed3/1579249049399.jpg"/>
    <s v="https://www.commcarehq.org/a/demo-18/api/form/attachment/652c6970-6998-4283-9174-03629d9fbed3/1579249059709.jpg"/>
    <d v="2020-01-17T08:17:41"/>
    <d v="2020-01-17T08:13:05"/>
    <s v="arnold"/>
    <d v="2020-01-17T08:18:00"/>
    <s v="652c6970-6998-4283-9174-03629d9fbed3"/>
    <s v="https://www.commcarehq.org/a/demo-18/reports/form_data/652c6970-6998-4283-9174-03629d9fbed3/"/>
  </r>
  <r>
    <x v="38"/>
    <n v="4.4000000000000004"/>
    <d v="2020-02-22T00:00:00"/>
    <d v="2020-01-23T00:00:00"/>
    <s v="no"/>
    <s v="---"/>
    <s v="---"/>
    <x v="2"/>
    <s v="no"/>
    <s v="---"/>
    <s v="https://www.commcarehq.org/a/demo-18/api/form/attachment/6bd0bd9c-6e64-4718-b8ff-8d68647ddbf9/1579760056998.jpg"/>
    <s v="https://www.commcarehq.org/a/demo-18/api/form/attachment/6bd0bd9c-6e64-4718-b8ff-8d68647ddbf9/1579760071441.jpg"/>
    <s v="https://www.commcarehq.org/a/demo-18/api/form/attachment/6bd0bd9c-6e64-4718-b8ff-8d68647ddbf9/1579760124098.jpg"/>
    <s v="https://www.commcarehq.org/a/demo-18/api/form/attachment/6bd0bd9c-6e64-4718-b8ff-8d68647ddbf9/1579760134656.jpg"/>
    <s v="https://www.commcarehq.org/a/demo-18/api/form/attachment/6bd0bd9c-6e64-4718-b8ff-8d68647ddbf9/1579760151288.jpg"/>
    <s v="https://www.commcarehq.org/a/demo-18/api/form/attachment/6bd0bd9c-6e64-4718-b8ff-8d68647ddbf9/1579760160022.jpg"/>
    <d v="2020-01-23T06:16:09"/>
    <d v="2020-01-23T06:13:39"/>
    <s v="arnold"/>
    <d v="2020-01-23T08:32:43"/>
    <s v="6bd0bd9c-6e64-4718-b8ff-8d68647ddbf9"/>
    <s v="https://www.commcarehq.org/a/demo-18/reports/form_data/6bd0bd9c-6e64-4718-b8ff-8d68647ddbf9/"/>
  </r>
  <r>
    <x v="39"/>
    <n v="4.9000000000000004"/>
    <d v="2020-02-22T00:00:00"/>
    <d v="2020-01-23T00:00:00"/>
    <s v="no"/>
    <s v="---"/>
    <s v="---"/>
    <x v="2"/>
    <s v="no"/>
    <s v="---"/>
    <s v="https://www.commcarehq.org/a/demo-18/api/form/attachment/abe5b2ce-9bdb-4b11-a099-d88b5c244251/1579768134275.jpg"/>
    <s v="https://www.commcarehq.org/a/demo-18/api/form/attachment/abe5b2ce-9bdb-4b11-a099-d88b5c244251/1579768153570.jpg"/>
    <s v="https://www.commcarehq.org/a/demo-18/api/form/attachment/abe5b2ce-9bdb-4b11-a099-d88b5c244251/1579768297070.jpg"/>
    <s v="https://www.commcarehq.org/a/demo-18/api/form/attachment/abe5b2ce-9bdb-4b11-a099-d88b5c244251/1579768306289.jpg"/>
    <s v="https://www.commcarehq.org/a/demo-18/api/form/attachment/abe5b2ce-9bdb-4b11-a099-d88b5c244251/1579768330801.jpg"/>
    <s v="https://www.commcarehq.org/a/demo-18/api/form/attachment/abe5b2ce-9bdb-4b11-a099-d88b5c244251/1579768341544.jpg"/>
    <d v="2020-01-23T08:32:24"/>
    <d v="2020-01-23T08:28:20"/>
    <s v="arnold"/>
    <d v="2020-01-23T08:39:54"/>
    <s v="abe5b2ce-9bdb-4b11-a099-d88b5c244251"/>
    <s v="https://www.commcarehq.org/a/demo-18/reports/form_data/abe5b2ce-9bdb-4b11-a099-d88b5c244251/"/>
  </r>
  <r>
    <x v="40"/>
    <n v="3.5"/>
    <d v="2020-01-05T00:00:00"/>
    <d v="2019-12-06T00:00:00"/>
    <s v="no"/>
    <s v="---"/>
    <s v="---"/>
    <x v="3"/>
    <s v="no"/>
    <s v="---"/>
    <s v="https://www.commcarehq.org/a/demo-18/api/form/attachment/8259fd78-26ce-42f8-9922-e043cd3d56f5/1575620716901.jpg"/>
    <s v="https://www.commcarehq.org/a/demo-18/api/form/attachment/8259fd78-26ce-42f8-9922-e043cd3d56f5/1575620731913.jpg"/>
    <s v="https://www.commcarehq.org/a/demo-18/api/form/attachment/8259fd78-26ce-42f8-9922-e043cd3d56f5/1575620774899.jpg"/>
    <s v="https://www.commcarehq.org/a/demo-18/api/form/attachment/8259fd78-26ce-42f8-9922-e043cd3d56f5/1575620783143.jpg"/>
    <s v="https://www.commcarehq.org/a/demo-18/api/form/attachment/8259fd78-26ce-42f8-9922-e043cd3d56f5/1575620800157.jpg"/>
    <s v="https://www.commcarehq.org/a/demo-18/api/form/attachment/8259fd78-26ce-42f8-9922-e043cd3d56f5/1575620809955.jpg"/>
    <d v="2019-12-06T08:26:51"/>
    <d v="2019-12-06T08:23:35"/>
    <s v="arnold"/>
    <d v="2019-12-06T08:27:10"/>
    <s v="8259fd78-26ce-42f8-9922-e043cd3d56f5"/>
    <s v="https://www.commcarehq.org/a/demo-18/reports/form_data/8259fd78-26ce-42f8-9922-e043cd3d56f5/"/>
  </r>
  <r>
    <x v="41"/>
    <n v="4.5999999999999996"/>
    <d v="2020-01-08T00:00:00"/>
    <d v="2019-12-09T00:00:00"/>
    <s v="no"/>
    <s v="---"/>
    <s v="---"/>
    <x v="0"/>
    <s v="no"/>
    <s v="---"/>
    <s v="https://www.commcarehq.org/a/demo-18/api/form/attachment/21129fce-8487-4045-a396-4927905285b7/1575882958800.jpg"/>
    <s v="https://www.commcarehq.org/a/demo-18/api/form/attachment/21129fce-8487-4045-a396-4927905285b7/1575882972618.jpg"/>
    <s v="https://www.commcarehq.org/a/demo-18/api/form/attachment/21129fce-8487-4045-a396-4927905285b7/1575883043019.jpg"/>
    <s v="https://www.commcarehq.org/a/demo-18/api/form/attachment/21129fce-8487-4045-a396-4927905285b7/1575883051670.jpg"/>
    <s v="https://www.commcarehq.org/a/demo-18/api/form/attachment/21129fce-8487-4045-a396-4927905285b7/1575883069118.jpg"/>
    <s v="https://www.commcarehq.org/a/demo-18/api/form/attachment/21129fce-8487-4045-a396-4927905285b7/1575883079516.jpg"/>
    <d v="2019-12-09T09:18:01"/>
    <d v="2019-12-09T09:15:18"/>
    <s v="arnold"/>
    <d v="2019-12-09T10:08:55"/>
    <s v="21129fce-8487-4045-a396-4927905285b7"/>
    <s v="https://www.commcarehq.org/a/demo-18/reports/form_data/21129fce-8487-4045-a396-4927905285b7/"/>
  </r>
  <r>
    <x v="42"/>
    <n v="5.5"/>
    <d v="2020-01-15T00:00:00"/>
    <d v="2019-12-16T00:00:00"/>
    <s v="no"/>
    <s v="---"/>
    <s v="---"/>
    <x v="0"/>
    <s v="no"/>
    <s v="---"/>
    <s v="https://www.commcarehq.org/a/demo-18/api/form/attachment/d84ade1a-2356-4d76-93d8-517c197887d6/1576482239854.jpg"/>
    <s v="https://www.commcarehq.org/a/demo-18/api/form/attachment/d84ade1a-2356-4d76-93d8-517c197887d6/1576482257703.jpg"/>
    <s v="https://www.commcarehq.org/a/demo-18/api/form/attachment/d84ade1a-2356-4d76-93d8-517c197887d6/1576482307066.jpg"/>
    <s v="https://www.commcarehq.org/a/demo-18/api/form/attachment/d84ade1a-2356-4d76-93d8-517c197887d6/1576482317254.jpg"/>
    <s v="https://www.commcarehq.org/a/demo-18/api/form/attachment/d84ade1a-2356-4d76-93d8-517c197887d6/1576482338571.jpg"/>
    <s v="https://www.commcarehq.org/a/demo-18/api/form/attachment/d84ade1a-2356-4d76-93d8-517c197887d6/1576482354772.jpg"/>
    <d v="2019-12-16T07:45:56"/>
    <d v="2019-12-16T07:43:23"/>
    <s v="arnold"/>
    <d v="2019-12-16T07:46:15"/>
    <s v="d84ade1a-2356-4d76-93d8-517c197887d6"/>
    <s v="https://www.commcarehq.org/a/demo-18/reports/form_data/d84ade1a-2356-4d76-93d8-517c197887d6/"/>
  </r>
  <r>
    <x v="43"/>
    <n v="5.7"/>
    <d v="2020-01-19T00:00:00"/>
    <d v="2019-12-20T00:00:00"/>
    <s v="no"/>
    <s v="---"/>
    <s v="---"/>
    <x v="2"/>
    <s v="no"/>
    <s v="---"/>
    <s v="https://www.commcarehq.org/a/demo-18/api/form/attachment/9519d15c-f7f6-4497-9a2e-f69c357793e6/1576825010146.jpg"/>
    <s v="https://www.commcarehq.org/a/demo-18/api/form/attachment/9519d15c-f7f6-4497-9a2e-f69c357793e6/1576825024809.jpg"/>
    <s v="https://www.commcarehq.org/a/demo-18/api/form/attachment/9519d15c-f7f6-4497-9a2e-f69c357793e6/1576825086925.jpg"/>
    <s v="https://www.commcarehq.org/a/demo-18/api/form/attachment/9519d15c-f7f6-4497-9a2e-f69c357793e6/1576825097512.jpg"/>
    <s v="https://www.commcarehq.org/a/demo-18/api/form/attachment/9519d15c-f7f6-4497-9a2e-f69c357793e6/1576825114737.jpg"/>
    <s v="https://www.commcarehq.org/a/demo-18/api/form/attachment/9519d15c-f7f6-4497-9a2e-f69c357793e6/1576825131543.jpg"/>
    <d v="2019-12-20T06:58:53"/>
    <d v="2019-12-20T06:55:29"/>
    <s v="arnold"/>
    <d v="2019-12-20T06:59:12"/>
    <s v="9519d15c-f7f6-4497-9a2e-f69c357793e6"/>
    <s v="https://www.commcarehq.org/a/demo-18/reports/form_data/9519d15c-f7f6-4497-9a2e-f69c357793e6/"/>
  </r>
  <r>
    <x v="44"/>
    <n v="5.9"/>
    <d v="2020-01-08T00:00:00"/>
    <d v="2019-12-09T00:00:00"/>
    <s v="no"/>
    <s v="---"/>
    <s v="---"/>
    <x v="2"/>
    <s v="no"/>
    <s v="---"/>
    <s v="https://www.commcarehq.org/a/demo-18/api/form/attachment/bceaf4e7-4d62-4a22-b9af-8219c2e562d8/1575882591553.jpg"/>
    <s v="https://www.commcarehq.org/a/demo-18/api/form/attachment/bceaf4e7-4d62-4a22-b9af-8219c2e562d8/1575882601132.jpg"/>
    <s v="https://www.commcarehq.org/a/demo-18/api/form/attachment/bceaf4e7-4d62-4a22-b9af-8219c2e562d8/1575882658690.jpg"/>
    <s v="https://www.commcarehq.org/a/demo-18/api/form/attachment/bceaf4e7-4d62-4a22-b9af-8219c2e562d8/1575882668119.jpg"/>
    <s v="https://www.commcarehq.org/a/demo-18/api/form/attachment/bceaf4e7-4d62-4a22-b9af-8219c2e562d8/1575882685197.jpg"/>
    <s v="https://www.commcarehq.org/a/demo-18/api/form/attachment/bceaf4e7-4d62-4a22-b9af-8219c2e562d8/1575882696275.jpg"/>
    <d v="2019-12-09T09:11:37"/>
    <d v="2019-12-09T09:08:44"/>
    <s v="arnold"/>
    <d v="2019-12-09T10:08:33"/>
    <s v="bceaf4e7-4d62-4a22-b9af-8219c2e562d8"/>
    <s v="https://www.commcarehq.org/a/demo-18/reports/form_data/bceaf4e7-4d62-4a22-b9af-8219c2e562d8/"/>
  </r>
  <r>
    <x v="45"/>
    <n v="4.7"/>
    <d v="2020-01-15T00:00:00"/>
    <d v="2019-12-16T00:00:00"/>
    <s v="no"/>
    <s v="---"/>
    <s v="---"/>
    <x v="0"/>
    <s v="no"/>
    <s v="---"/>
    <s v="https://www.commcarehq.org/a/demo-18/api/form/attachment/b42779d0-3050-4c16-aa6a-38cb382012df/1576481921548.jpg"/>
    <s v="https://www.commcarehq.org/a/demo-18/api/form/attachment/b42779d0-3050-4c16-aa6a-38cb382012df/1576481941848.jpg"/>
    <s v="https://www.commcarehq.org/a/demo-18/api/form/attachment/b42779d0-3050-4c16-aa6a-38cb382012df/1576481976019.jpg"/>
    <s v="https://www.commcarehq.org/a/demo-18/api/form/attachment/b42779d0-3050-4c16-aa6a-38cb382012df/1576481985426.jpg"/>
    <s v="https://www.commcarehq.org/a/demo-18/api/form/attachment/b42779d0-3050-4c16-aa6a-38cb382012df/1576482003882.jpg"/>
    <s v="https://www.commcarehq.org/a/demo-18/api/form/attachment/b42779d0-3050-4c16-aa6a-38cb382012df/1576482013490.jpg"/>
    <d v="2019-12-16T07:40:15"/>
    <d v="2019-12-16T07:38:00"/>
    <s v="arnold"/>
    <d v="2019-12-16T07:40:34"/>
    <s v="b42779d0-3050-4c16-aa6a-38cb382012df"/>
    <s v="https://www.commcarehq.org/a/demo-18/reports/form_data/b42779d0-3050-4c16-aa6a-38cb382012df/"/>
  </r>
  <r>
    <x v="46"/>
    <n v="5.8"/>
    <d v="2020-01-08T00:00:00"/>
    <d v="2019-12-09T00:00:00"/>
    <s v="no"/>
    <s v="---"/>
    <s v="---"/>
    <x v="0"/>
    <s v="no"/>
    <s v="---"/>
    <s v="https://www.commcarehq.org/a/demo-18/api/form/attachment/c63b38b1-d082-482c-84a6-e5e5ceea136b/1575877761536.jpg"/>
    <s v="https://www.commcarehq.org/a/demo-18/api/form/attachment/c63b38b1-d082-482c-84a6-e5e5ceea136b/1575877779841.jpg"/>
    <s v="https://www.commcarehq.org/a/demo-18/api/form/attachment/c63b38b1-d082-482c-84a6-e5e5ceea136b/1575877823619.jpg"/>
    <s v="https://www.commcarehq.org/a/demo-18/api/form/attachment/c63b38b1-d082-482c-84a6-e5e5ceea136b/1575877833172.jpg"/>
    <s v="https://www.commcarehq.org/a/demo-18/api/form/attachment/c63b38b1-d082-482c-84a6-e5e5ceea136b/1575877851787.jpg"/>
    <s v="https://www.commcarehq.org/a/demo-18/api/form/attachment/c63b38b1-d082-482c-84a6-e5e5ceea136b/1575877859291.jpg"/>
    <d v="2019-12-09T07:51:01"/>
    <d v="2019-12-09T07:48:39"/>
    <s v="arnold"/>
    <d v="2019-12-09T10:05:10"/>
    <s v="c63b38b1-d082-482c-84a6-e5e5ceea136b"/>
    <s v="https://www.commcarehq.org/a/demo-18/reports/form_data/c63b38b1-d082-482c-84a6-e5e5ceea136b/"/>
  </r>
  <r>
    <x v="47"/>
    <n v="5.6"/>
    <d v="2020-01-08T00:00:00"/>
    <d v="2019-12-09T00:00:00"/>
    <s v="no"/>
    <s v="---"/>
    <s v="---"/>
    <x v="0"/>
    <s v="no"/>
    <s v="---"/>
    <s v="https://www.commcarehq.org/a/demo-18/api/form/attachment/e42e0e0f-ab31-4d37-a0c3-cbfdf4e941d6/1575875903707.jpg"/>
    <s v="https://www.commcarehq.org/a/demo-18/api/form/attachment/e42e0e0f-ab31-4d37-a0c3-cbfdf4e941d6/1575875920288.jpg"/>
    <s v="https://www.commcarehq.org/a/demo-18/api/form/attachment/e42e0e0f-ab31-4d37-a0c3-cbfdf4e941d6/1575875977043.jpg"/>
    <s v="https://www.commcarehq.org/a/demo-18/api/form/attachment/e42e0e0f-ab31-4d37-a0c3-cbfdf4e941d6/1575875986241.jpg"/>
    <s v="https://www.commcarehq.org/a/demo-18/api/form/attachment/e42e0e0f-ab31-4d37-a0c3-cbfdf4e941d6/1575876005030.jpg"/>
    <s v="https://www.commcarehq.org/a/demo-18/api/form/attachment/e42e0e0f-ab31-4d37-a0c3-cbfdf4e941d6/1575876013526.jpg"/>
    <d v="2019-12-09T07:20:15"/>
    <d v="2019-12-09T07:17:30"/>
    <s v="arnold"/>
    <d v="2019-12-09T10:03:51"/>
    <s v="e42e0e0f-ab31-4d37-a0c3-cbfdf4e941d6"/>
    <s v="https://www.commcarehq.org/a/demo-18/reports/form_data/e42e0e0f-ab31-4d37-a0c3-cbfdf4e941d6/"/>
  </r>
  <r>
    <x v="48"/>
    <n v="4.0999999999999996"/>
    <d v="2020-01-08T00:00:00"/>
    <d v="2019-12-09T00:00:00"/>
    <s v="no"/>
    <s v="---"/>
    <s v="---"/>
    <x v="2"/>
    <s v="no"/>
    <s v="---"/>
    <s v="https://www.commcarehq.org/a/demo-18/api/form/attachment/0cc7d9a9-460b-4f29-9705-aadc2480074f/1575878396872.jpg"/>
    <s v="https://www.commcarehq.org/a/demo-18/api/form/attachment/0cc7d9a9-460b-4f29-9705-aadc2480074f/1575878415676.jpg"/>
    <s v="https://www.commcarehq.org/a/demo-18/api/form/attachment/0cc7d9a9-460b-4f29-9705-aadc2480074f/1575878456311.jpg"/>
    <s v="https://www.commcarehq.org/a/demo-18/api/form/attachment/0cc7d9a9-460b-4f29-9705-aadc2480074f/1575878463726.jpg"/>
    <s v="https://www.commcarehq.org/a/demo-18/api/form/attachment/0cc7d9a9-460b-4f29-9705-aadc2480074f/1575878480426.jpg"/>
    <s v="https://www.commcarehq.org/a/demo-18/api/form/attachment/0cc7d9a9-460b-4f29-9705-aadc2480074f/1575878492993.jpg"/>
    <d v="2019-12-09T08:01:34"/>
    <d v="2019-12-09T07:59:19"/>
    <s v="arnold"/>
    <d v="2019-12-09T10:05:54"/>
    <s v="0cc7d9a9-460b-4f29-9705-aadc2480074f"/>
    <s v="https://www.commcarehq.org/a/demo-18/reports/form_data/0cc7d9a9-460b-4f29-9705-aadc2480074f/"/>
  </r>
  <r>
    <x v="49"/>
    <n v="5.4"/>
    <d v="2020-01-17T00:00:00"/>
    <d v="2019-12-18T00:00:00"/>
    <s v="no"/>
    <s v="---"/>
    <s v="---"/>
    <x v="0"/>
    <s v="no"/>
    <s v="---"/>
    <s v="https://www.commcarehq.org/a/demo-18/api/form/attachment/86c4d3c6-ad73-417b-9e2f-f33bffbf1a94/1576655462178.jpg"/>
    <s v="https://www.commcarehq.org/a/demo-18/api/form/attachment/86c4d3c6-ad73-417b-9e2f-f33bffbf1a94/1576655490368.jpg"/>
    <s v="https://www.commcarehq.org/a/demo-18/api/form/attachment/86c4d3c6-ad73-417b-9e2f-f33bffbf1a94/1576655564247.jpg"/>
    <s v="https://www.commcarehq.org/a/demo-18/api/form/attachment/86c4d3c6-ad73-417b-9e2f-f33bffbf1a94/1576655591821.jpg"/>
    <s v="https://www.commcarehq.org/a/demo-18/api/form/attachment/86c4d3c6-ad73-417b-9e2f-f33bffbf1a94/1576655620060.jpg"/>
    <s v="https://www.commcarehq.org/a/demo-18/api/form/attachment/86c4d3c6-ad73-417b-9e2f-f33bffbf1a94/1576655630029.jpg"/>
    <d v="2019-12-18T07:53:52"/>
    <d v="2019-12-18T07:50:01"/>
    <s v="arnold"/>
    <d v="2019-12-18T07:54:20"/>
    <s v="86c4d3c6-ad73-417b-9e2f-f33bffbf1a94"/>
    <s v="https://www.commcarehq.org/a/demo-18/reports/form_data/86c4d3c6-ad73-417b-9e2f-f33bffbf1a94/"/>
  </r>
  <r>
    <x v="50"/>
    <n v="4.5"/>
    <d v="2020-01-10T00:00:00"/>
    <d v="2019-12-11T00:00:00"/>
    <s v="no"/>
    <s v="---"/>
    <s v="---"/>
    <x v="0"/>
    <s v="no"/>
    <s v="---"/>
    <s v="https://www.commcarehq.org/a/demo-18/api/form/attachment/3594ad98-838d-4960-84fb-b8c601ea44dd/1576046771145.jpg"/>
    <s v="https://www.commcarehq.org/a/demo-18/api/form/attachment/3594ad98-838d-4960-84fb-b8c601ea44dd/1576046794219.jpg"/>
    <s v="https://www.commcarehq.org/a/demo-18/api/form/attachment/3594ad98-838d-4960-84fb-b8c601ea44dd/1576046845539.jpg"/>
    <s v="https://www.commcarehq.org/a/demo-18/api/form/attachment/3594ad98-838d-4960-84fb-b8c601ea44dd/1576046856122.jpg"/>
    <s v="https://www.commcarehq.org/a/demo-18/api/form/attachment/3594ad98-838d-4960-84fb-b8c601ea44dd/1576046878763.jpg"/>
    <s v="https://www.commcarehq.org/a/demo-18/api/form/attachment/3594ad98-838d-4960-84fb-b8c601ea44dd/1576046887041.jpg"/>
    <d v="2019-12-11T06:48:08"/>
    <d v="2019-12-11T06:45:23"/>
    <s v="arnold"/>
    <d v="2019-12-11T10:29:06"/>
    <s v="3594ad98-838d-4960-84fb-b8c601ea44dd"/>
    <s v="https://www.commcarehq.org/a/demo-18/reports/form_data/3594ad98-838d-4960-84fb-b8c601ea44dd/"/>
  </r>
  <r>
    <x v="51"/>
    <n v="3.7"/>
    <d v="2020-01-10T00:00:00"/>
    <d v="2019-12-11T00:00:00"/>
    <s v="no"/>
    <s v="---"/>
    <s v="---"/>
    <x v="0"/>
    <s v="no"/>
    <s v="---"/>
    <s v="https://www.commcarehq.org/a/demo-18/api/form/attachment/6536fe47-efa4-44b7-aa4e-6b45b02df841/1576055513637.jpg"/>
    <s v="https://www.commcarehq.org/a/demo-18/api/form/attachment/6536fe47-efa4-44b7-aa4e-6b45b02df841/1576055535454.jpg"/>
    <s v="https://www.commcarehq.org/a/demo-18/api/form/attachment/6536fe47-efa4-44b7-aa4e-6b45b02df841/1576055582809.jpg"/>
    <s v="https://www.commcarehq.org/a/demo-18/api/form/attachment/6536fe47-efa4-44b7-aa4e-6b45b02df841/1576055593974.jpg"/>
    <s v="https://www.commcarehq.org/a/demo-18/api/form/attachment/6536fe47-efa4-44b7-aa4e-6b45b02df841/1576055609491.jpg"/>
    <s v="https://www.commcarehq.org/a/demo-18/api/form/attachment/6536fe47-efa4-44b7-aa4e-6b45b02df841/1576055626536.jpg"/>
    <d v="2019-12-11T09:13:48"/>
    <d v="2019-12-11T09:10:10"/>
    <s v="arnold"/>
    <d v="2019-12-11T10:36:19"/>
    <s v="6536fe47-efa4-44b7-aa4e-6b45b02df841"/>
    <s v="https://www.commcarehq.org/a/demo-18/reports/form_data/6536fe47-efa4-44b7-aa4e-6b45b02df841/"/>
  </r>
  <r>
    <x v="52"/>
    <n v="5.5"/>
    <d v="2020-01-15T00:00:00"/>
    <d v="2019-12-16T00:00:00"/>
    <s v="no"/>
    <s v="---"/>
    <s v="---"/>
    <x v="0"/>
    <s v="no"/>
    <s v="---"/>
    <s v="https://www.commcarehq.org/a/demo-18/api/form/attachment/e6104930-417c-4cdc-ab64-d5b79fbc296d/1576482624928.jpg"/>
    <s v="https://www.commcarehq.org/a/demo-18/api/form/attachment/e6104930-417c-4cdc-ab64-d5b79fbc296d/1576482645303.jpg"/>
    <s v="https://www.commcarehq.org/a/demo-18/api/form/attachment/e6104930-417c-4cdc-ab64-d5b79fbc296d/1576482690192.jpg"/>
    <s v="https://www.commcarehq.org/a/demo-18/api/form/attachment/e6104930-417c-4cdc-ab64-d5b79fbc296d/1576482699881.jpg"/>
    <s v="https://www.commcarehq.org/a/demo-18/api/form/attachment/e6104930-417c-4cdc-ab64-d5b79fbc296d/1576482717891.jpg"/>
    <s v="https://www.commcarehq.org/a/demo-18/api/form/attachment/e6104930-417c-4cdc-ab64-d5b79fbc296d/1576482727478.jpg"/>
    <d v="2019-12-16T07:52:09"/>
    <d v="2019-12-16T07:49:46"/>
    <s v="arnold"/>
    <d v="2019-12-16T07:52:24"/>
    <s v="e6104930-417c-4cdc-ab64-d5b79fbc296d"/>
    <s v="https://www.commcarehq.org/a/demo-18/reports/form_data/e6104930-417c-4cdc-ab64-d5b79fbc296d/"/>
  </r>
  <r>
    <x v="53"/>
    <n v="3.5"/>
    <d v="2020-01-10T00:00:00"/>
    <d v="2019-12-11T00:00:00"/>
    <s v="no"/>
    <s v="---"/>
    <s v="---"/>
    <x v="0"/>
    <s v="no"/>
    <s v="---"/>
    <s v="https://www.commcarehq.org/a/demo-18/api/form/attachment/481080c2-09d0-4102-9fa9-81d780d295b2/1576055830678.jpg"/>
    <s v="https://www.commcarehq.org/a/demo-18/api/form/attachment/481080c2-09d0-4102-9fa9-81d780d295b2/1576055852694.jpg"/>
    <s v="https://www.commcarehq.org/a/demo-18/api/form/attachment/481080c2-09d0-4102-9fa9-81d780d295b2/1576055944706.jpg"/>
    <s v="https://www.commcarehq.org/a/demo-18/api/form/attachment/481080c2-09d0-4102-9fa9-81d780d295b2/1576055954208.jpg"/>
    <s v="https://www.commcarehq.org/a/demo-18/api/form/attachment/481080c2-09d0-4102-9fa9-81d780d295b2/1576055973535.jpg"/>
    <s v="https://www.commcarehq.org/a/demo-18/api/form/attachment/481080c2-09d0-4102-9fa9-81d780d295b2/1576055986393.jpg"/>
    <d v="2019-12-11T09:19:49"/>
    <d v="2019-12-11T09:16:16"/>
    <s v="arnold"/>
    <d v="2019-12-11T10:36:42"/>
    <s v="481080c2-09d0-4102-9fa9-81d780d295b2"/>
    <s v="https://www.commcarehq.org/a/demo-18/reports/form_data/481080c2-09d0-4102-9fa9-81d780d295b2/"/>
  </r>
  <r>
    <x v="54"/>
    <n v="3.8"/>
    <d v="2020-01-10T00:00:00"/>
    <d v="2019-12-11T00:00:00"/>
    <s v="no"/>
    <s v="---"/>
    <s v="---"/>
    <x v="0"/>
    <s v="no"/>
    <s v="---"/>
    <s v="https://www.commcarehq.org/a/demo-18/api/form/attachment/59c0eef4-158a-4dc8-91a6-90f7e892f234/1576056235266.jpg"/>
    <s v="https://www.commcarehq.org/a/demo-18/api/form/attachment/59c0eef4-158a-4dc8-91a6-90f7e892f234/1576056256760.jpg"/>
    <s v="https://www.commcarehq.org/a/demo-18/api/form/attachment/59c0eef4-158a-4dc8-91a6-90f7e892f234/1576056360920.jpg"/>
    <s v="https://www.commcarehq.org/a/demo-18/api/form/attachment/59c0eef4-158a-4dc8-91a6-90f7e892f234/1576056371789.jpg"/>
    <s v="https://www.commcarehq.org/a/demo-18/api/form/attachment/59c0eef4-158a-4dc8-91a6-90f7e892f234/1576056392841.jpg"/>
    <s v="https://www.commcarehq.org/a/demo-18/api/form/attachment/59c0eef4-158a-4dc8-91a6-90f7e892f234/1576056403822.jpg"/>
    <d v="2019-12-11T09:26:45"/>
    <d v="2019-12-11T09:23:00"/>
    <s v="arnold"/>
    <d v="2019-12-11T10:37:03"/>
    <s v="59c0eef4-158a-4dc8-91a6-90f7e892f234"/>
    <s v="https://www.commcarehq.org/a/demo-18/reports/form_data/59c0eef4-158a-4dc8-91a6-90f7e892f234/"/>
  </r>
  <r>
    <x v="55"/>
    <n v="3.5"/>
    <d v="2020-01-10T00:00:00"/>
    <d v="2019-12-11T00:00:00"/>
    <s v="no"/>
    <s v="---"/>
    <s v="---"/>
    <x v="0"/>
    <s v="no"/>
    <s v="---"/>
    <s v="https://www.commcarehq.org/a/demo-18/api/form/attachment/a82a7822-f327-4b21-960e-0d92344c5ef0/1576056842436.jpg"/>
    <s v="https://www.commcarehq.org/a/demo-18/api/form/attachment/a82a7822-f327-4b21-960e-0d92344c5ef0/1576056867295.jpg"/>
    <s v="https://www.commcarehq.org/a/demo-18/api/form/attachment/a82a7822-f327-4b21-960e-0d92344c5ef0/1576056942752.jpg"/>
    <s v="https://www.commcarehq.org/a/demo-18/api/form/attachment/a82a7822-f327-4b21-960e-0d92344c5ef0/1576056952177.jpg"/>
    <s v="https://www.commcarehq.org/a/demo-18/api/form/attachment/a82a7822-f327-4b21-960e-0d92344c5ef0/1576056975786.jpg"/>
    <s v="https://www.commcarehq.org/a/demo-18/api/form/attachment/a82a7822-f327-4b21-960e-0d92344c5ef0/1576056985746.jpg"/>
    <d v="2019-12-11T09:36:29"/>
    <d v="2019-12-11T09:32:58"/>
    <s v="arnold"/>
    <d v="2019-12-11T10:37:24"/>
    <s v="a82a7822-f327-4b21-960e-0d92344c5ef0"/>
    <s v="https://www.commcarehq.org/a/demo-18/reports/form_data/a82a7822-f327-4b21-960e-0d92344c5ef0/"/>
  </r>
  <r>
    <x v="56"/>
    <n v="3.4"/>
    <d v="2020-01-10T00:00:00"/>
    <d v="2019-12-11T00:00:00"/>
    <s v="no"/>
    <s v="---"/>
    <s v="---"/>
    <x v="2"/>
    <s v="no"/>
    <s v="---"/>
    <s v="https://www.commcarehq.org/a/demo-18/api/form/attachment/1897eb29-7b91-4bfa-adac-afe9e0341ced/1576049293691.jpg"/>
    <s v="https://www.commcarehq.org/a/demo-18/api/form/attachment/1897eb29-7b91-4bfa-adac-afe9e0341ced/1576049311466.jpg"/>
    <s v="https://www.commcarehq.org/a/demo-18/api/form/attachment/1897eb29-7b91-4bfa-adac-afe9e0341ced/1576049398364.jpg"/>
    <s v="https://www.commcarehq.org/a/demo-18/api/form/attachment/1897eb29-7b91-4bfa-adac-afe9e0341ced/1576049407536.jpg"/>
    <s v="https://www.commcarehq.org/a/demo-18/api/form/attachment/1897eb29-7b91-4bfa-adac-afe9e0341ced/1576049433930.jpg"/>
    <s v="https://www.commcarehq.org/a/demo-18/api/form/attachment/1897eb29-7b91-4bfa-adac-afe9e0341ced/1576049442778.jpg"/>
    <d v="2019-12-11T07:30:44"/>
    <d v="2019-12-11T07:26:55"/>
    <s v="arnold"/>
    <d v="2019-12-11T10:30:55"/>
    <s v="1897eb29-7b91-4bfa-adac-afe9e0341ced"/>
    <s v="https://www.commcarehq.org/a/demo-18/reports/form_data/1897eb29-7b91-4bfa-adac-afe9e0341ced/"/>
  </r>
  <r>
    <x v="57"/>
    <n v="4.7"/>
    <d v="2020-01-18T00:00:00"/>
    <d v="2019-12-19T00:00:00"/>
    <s v="no"/>
    <s v="---"/>
    <s v="---"/>
    <x v="0"/>
    <s v="no"/>
    <s v="---"/>
    <s v="https://www.commcarehq.org/a/demo-18/api/form/attachment/1d466570-1fdf-4563-b460-12f3a24beb4c/1576744482771.jpg"/>
    <s v="https://www.commcarehq.org/a/demo-18/api/form/attachment/1d466570-1fdf-4563-b460-12f3a24beb4c/1576744506728.jpg"/>
    <s v="https://www.commcarehq.org/a/demo-18/api/form/attachment/1d466570-1fdf-4563-b460-12f3a24beb4c/1576744553212.jpg"/>
    <s v="https://www.commcarehq.org/a/demo-18/api/form/attachment/1d466570-1fdf-4563-b460-12f3a24beb4c/1576744565004.jpg"/>
    <s v="https://www.commcarehq.org/a/demo-18/api/form/attachment/1d466570-1fdf-4563-b460-12f3a24beb4c/1576744580329.jpg"/>
    <s v="https://www.commcarehq.org/a/demo-18/api/form/attachment/1d466570-1fdf-4563-b460-12f3a24beb4c/1576744590504.jpg"/>
    <d v="2019-12-19T08:36:32"/>
    <d v="2019-12-19T08:34:02"/>
    <s v="arnold"/>
    <d v="2019-12-19T08:37:44"/>
    <s v="1d466570-1fdf-4563-b460-12f3a24beb4c"/>
    <s v="https://www.commcarehq.org/a/demo-18/reports/form_data/1d466570-1fdf-4563-b460-12f3a24beb4c/"/>
  </r>
  <r>
    <x v="58"/>
    <n v="3.1"/>
    <d v="2020-01-12T00:00:00"/>
    <d v="2019-12-13T00:00:00"/>
    <s v="no"/>
    <s v="---"/>
    <s v="---"/>
    <x v="0"/>
    <s v="no"/>
    <s v="---"/>
    <s v="https://www.commcarehq.org/a/demo-18/api/form/attachment/447c1b4b-b9e0-4042-899f-636ffa5bb5d4/1576221486501.jpg"/>
    <s v="https://www.commcarehq.org/a/demo-18/api/form/attachment/447c1b4b-b9e0-4042-899f-636ffa5bb5d4/1576221515197.jpg"/>
    <s v="https://www.commcarehq.org/a/demo-18/api/form/attachment/447c1b4b-b9e0-4042-899f-636ffa5bb5d4/1576221562641.jpg"/>
    <s v="https://www.commcarehq.org/a/demo-18/api/form/attachment/447c1b4b-b9e0-4042-899f-636ffa5bb5d4/1576221579323.jpg"/>
    <s v="https://www.commcarehq.org/a/demo-18/api/form/attachment/447c1b4b-b9e0-4042-899f-636ffa5bb5d4/1576221623949.jpg"/>
    <s v="https://www.commcarehq.org/a/demo-18/api/form/attachment/447c1b4b-b9e0-4042-899f-636ffa5bb5d4/1576221635136.jpg"/>
    <d v="2019-12-13T07:20:37"/>
    <d v="2019-12-13T07:16:48"/>
    <s v="arnold"/>
    <d v="2019-12-13T07:20:57"/>
    <s v="447c1b4b-b9e0-4042-899f-636ffa5bb5d4"/>
    <s v="https://www.commcarehq.org/a/demo-18/reports/form_data/447c1b4b-b9e0-4042-899f-636ffa5bb5d4/"/>
  </r>
  <r>
    <x v="59"/>
    <n v="5.3"/>
    <d v="2020-01-12T00:00:00"/>
    <d v="2019-12-13T00:00:00"/>
    <s v="no"/>
    <s v="---"/>
    <s v="---"/>
    <x v="0"/>
    <s v="no"/>
    <s v="---"/>
    <s v="https://www.commcarehq.org/a/demo-18/api/form/attachment/f1ec24c2-9e87-4fcd-ab17-23375c19f812/1576219177104.jpg"/>
    <s v="https://www.commcarehq.org/a/demo-18/api/form/attachment/f1ec24c2-9e87-4fcd-ab17-23375c19f812/1576219199021.jpg"/>
    <s v="https://www.commcarehq.org/a/demo-18/api/form/attachment/f1ec24c2-9e87-4fcd-ab17-23375c19f812/1576219276689.jpg"/>
    <s v="https://www.commcarehq.org/a/demo-18/api/form/attachment/f1ec24c2-9e87-4fcd-ab17-23375c19f812/1576219285057.jpg"/>
    <s v="https://www.commcarehq.org/a/demo-18/api/form/attachment/f1ec24c2-9e87-4fcd-ab17-23375c19f812/1576219317549.jpg"/>
    <s v="https://www.commcarehq.org/a/demo-18/api/form/attachment/f1ec24c2-9e87-4fcd-ab17-23375c19f812/1576219327723.jpg"/>
    <d v="2019-12-13T06:42:09"/>
    <d v="2019-12-13T06:38:41"/>
    <s v="arnold"/>
    <d v="2019-12-13T06:42:25"/>
    <s v="f1ec24c2-9e87-4fcd-ab17-23375c19f812"/>
    <s v="https://www.commcarehq.org/a/demo-18/reports/form_data/f1ec24c2-9e87-4fcd-ab17-23375c19f812/"/>
  </r>
  <r>
    <x v="60"/>
    <n v="4"/>
    <d v="2020-01-17T00:00:00"/>
    <d v="2019-12-18T00:00:00"/>
    <s v="no"/>
    <s v="---"/>
    <s v="---"/>
    <x v="0"/>
    <s v="no"/>
    <s v="---"/>
    <s v="https://www.commcarehq.org/a/demo-18/api/form/attachment/c2dd725e-5ab1-4750-9f55-89820756c0a5/1576650490191.jpg"/>
    <s v="https://www.commcarehq.org/a/demo-18/api/form/attachment/c2dd725e-5ab1-4750-9f55-89820756c0a5/1576650505828.jpg"/>
    <s v="https://www.commcarehq.org/a/demo-18/api/form/attachment/c2dd725e-5ab1-4750-9f55-89820756c0a5/1576650576254.jpg"/>
    <s v="https://www.commcarehq.org/a/demo-18/api/form/attachment/c2dd725e-5ab1-4750-9f55-89820756c0a5/1576650588670.jpg"/>
    <s v="https://www.commcarehq.org/a/demo-18/api/form/attachment/c2dd725e-5ab1-4750-9f55-89820756c0a5/1576650604142.jpg"/>
    <s v="https://www.commcarehq.org/a/demo-18/api/form/attachment/c2dd725e-5ab1-4750-9f55-89820756c0a5/1576650616102.jpg"/>
    <d v="2019-12-18T06:30:18"/>
    <d v="2019-12-18T06:27:13"/>
    <s v="arnold"/>
    <d v="2019-12-18T06:30:36"/>
    <s v="c2dd725e-5ab1-4750-9f55-89820756c0a5"/>
    <s v="https://www.commcarehq.org/a/demo-18/reports/form_data/c2dd725e-5ab1-4750-9f55-89820756c0a5/"/>
  </r>
  <r>
    <x v="61"/>
    <n v="3.4"/>
    <d v="2020-01-12T00:00:00"/>
    <d v="2019-12-13T00:00:00"/>
    <s v="no"/>
    <s v="---"/>
    <s v="---"/>
    <x v="4"/>
    <s v="no"/>
    <s v="---"/>
    <s v="https://www.commcarehq.org/a/demo-18/api/form/attachment/d46d605c-535d-418e-a1b4-71d9bc265780/1576228976981.jpg"/>
    <s v="https://www.commcarehq.org/a/demo-18/api/form/attachment/d46d605c-535d-418e-a1b4-71d9bc265780/1576229002435.jpg"/>
    <s v="https://www.commcarehq.org/a/demo-18/api/form/attachment/d46d605c-535d-418e-a1b4-71d9bc265780/1576229066068.jpg"/>
    <s v="https://www.commcarehq.org/a/demo-18/api/form/attachment/d46d605c-535d-418e-a1b4-71d9bc265780/1576229074841.jpg"/>
    <s v="https://www.commcarehq.org/a/demo-18/api/form/attachment/d46d605c-535d-418e-a1b4-71d9bc265780/1576229094761.jpg"/>
    <s v="https://www.commcarehq.org/a/demo-18/api/form/attachment/d46d605c-535d-418e-a1b4-71d9bc265780/1576229104457.jpg"/>
    <d v="2019-12-13T09:25:07"/>
    <d v="2019-12-13T09:21:48"/>
    <s v="arnold"/>
    <d v="2019-12-13T09:25:23"/>
    <s v="d46d605c-535d-418e-a1b4-71d9bc265780"/>
    <s v="https://www.commcarehq.org/a/demo-18/reports/form_data/d46d605c-535d-418e-a1b4-71d9bc265780/"/>
  </r>
  <r>
    <x v="62"/>
    <n v="5.2"/>
    <d v="2020-01-22T00:00:00"/>
    <d v="2019-12-23T00:00:00"/>
    <s v="no"/>
    <s v="---"/>
    <s v="---"/>
    <x v="0"/>
    <s v="no"/>
    <s v="---"/>
    <s v="https://www.commcarehq.org/a/demo-18/api/form/attachment/bb70f104-12e2-40fa-8882-348a2baf3ee1/1577087399045.jpg"/>
    <s v="https://www.commcarehq.org/a/demo-18/api/form/attachment/bb70f104-12e2-40fa-8882-348a2baf3ee1/1577087413210.jpg"/>
    <s v="https://www.commcarehq.org/a/demo-18/api/form/attachment/bb70f104-12e2-40fa-8882-348a2baf3ee1/1577087502259.jpg"/>
    <s v="https://www.commcarehq.org/a/demo-18/api/form/attachment/bb70f104-12e2-40fa-8882-348a2baf3ee1/1577087512609.jpg"/>
    <s v="https://www.commcarehq.org/a/demo-18/api/form/attachment/bb70f104-12e2-40fa-8882-348a2baf3ee1/1577087545815.jpg"/>
    <s v="https://www.commcarehq.org/a/demo-18/api/form/attachment/bb70f104-12e2-40fa-8882-348a2baf3ee1/1577087555354.jpg"/>
    <d v="2019-12-23T07:52:38"/>
    <d v="2019-12-23T07:49:04"/>
    <s v="arnold"/>
    <d v="2019-12-23T07:52:57"/>
    <s v="bb70f104-12e2-40fa-8882-348a2baf3ee1"/>
    <s v="https://www.commcarehq.org/a/demo-18/reports/form_data/bb70f104-12e2-40fa-8882-348a2baf3ee1/"/>
  </r>
  <r>
    <x v="63"/>
    <n v="5.0999999999999996"/>
    <d v="2020-01-12T00:00:00"/>
    <d v="2019-12-13T00:00:00"/>
    <s v="no"/>
    <s v="---"/>
    <s v="---"/>
    <x v="0"/>
    <s v="no"/>
    <s v="---"/>
    <s v="https://www.commcarehq.org/a/demo-18/api/form/attachment/dd0144c3-0ed7-4021-9685-558aa34f023e/1576219858526.jpg"/>
    <s v="https://www.commcarehq.org/a/demo-18/api/form/attachment/dd0144c3-0ed7-4021-9685-558aa34f023e/1576219881473.jpg"/>
    <s v="https://www.commcarehq.org/a/demo-18/api/form/attachment/dd0144c3-0ed7-4021-9685-558aa34f023e/1576219978627.jpg"/>
    <s v="https://www.commcarehq.org/a/demo-18/api/form/attachment/dd0144c3-0ed7-4021-9685-558aa34f023e/1576219988952.jpg"/>
    <s v="https://www.commcarehq.org/a/demo-18/api/form/attachment/dd0144c3-0ed7-4021-9685-558aa34f023e/1576220004770.jpg"/>
    <s v="https://www.commcarehq.org/a/demo-18/api/form/attachment/dd0144c3-0ed7-4021-9685-558aa34f023e/1576220013720.jpg"/>
    <d v="2019-12-13T06:53:35"/>
    <d v="2019-12-13T06:50:12"/>
    <s v="arnold"/>
    <d v="2019-12-13T06:53:53"/>
    <s v="dd0144c3-0ed7-4021-9685-558aa34f023e"/>
    <s v="https://www.commcarehq.org/a/demo-18/reports/form_data/dd0144c3-0ed7-4021-9685-558aa34f023e/"/>
  </r>
  <r>
    <x v="64"/>
    <n v="4.5999999999999996"/>
    <d v="2020-01-15T00:00:00"/>
    <d v="2019-12-16T00:00:00"/>
    <s v="no"/>
    <s v="---"/>
    <s v="---"/>
    <x v="2"/>
    <s v="no"/>
    <s v="---"/>
    <s v="https://www.commcarehq.org/a/demo-18/api/form/attachment/760fde72-d87e-447d-9b7d-c24bf28820b1/1576478741862.jpg"/>
    <s v="https://www.commcarehq.org/a/demo-18/api/form/attachment/760fde72-d87e-447d-9b7d-c24bf28820b1/1576478758847.jpg"/>
    <s v="https://www.commcarehq.org/a/demo-18/api/form/attachment/760fde72-d87e-447d-9b7d-c24bf28820b1/1576478833289.jpg"/>
    <s v="https://www.commcarehq.org/a/demo-18/api/form/attachment/760fde72-d87e-447d-9b7d-c24bf28820b1/1576478844833.jpg"/>
    <s v="https://www.commcarehq.org/a/demo-18/api/form/attachment/760fde72-d87e-447d-9b7d-c24bf28820b1/1576478888910.jpg"/>
    <s v="https://www.commcarehq.org/a/demo-18/api/form/attachment/760fde72-d87e-447d-9b7d-c24bf28820b1/1576478913497.jpg"/>
    <d v="2019-12-16T06:48:38"/>
    <d v="2019-12-16T06:44:28"/>
    <s v="arnold"/>
    <d v="2019-12-16T06:48:55"/>
    <s v="760fde72-d87e-447d-9b7d-c24bf28820b1"/>
    <s v="https://www.commcarehq.org/a/demo-18/reports/form_data/760fde72-d87e-447d-9b7d-c24bf28820b1/"/>
  </r>
  <r>
    <x v="65"/>
    <n v="5.0999999999999996"/>
    <d v="2020-01-15T00:00:00"/>
    <d v="2019-12-16T00:00:00"/>
    <s v="no"/>
    <s v="---"/>
    <s v="---"/>
    <x v="0"/>
    <s v="no"/>
    <s v="---"/>
    <s v="https://www.commcarehq.org/a/demo-18/api/form/attachment/770670a1-46ae-44a7-a4e0-82256e1415ed/1576481539447.jpg"/>
    <s v="https://www.commcarehq.org/a/demo-18/api/form/attachment/770670a1-46ae-44a7-a4e0-82256e1415ed/1576481560414.jpg"/>
    <s v="https://www.commcarehq.org/a/demo-18/api/form/attachment/770670a1-46ae-44a7-a4e0-82256e1415ed/1576481628968.jpg"/>
    <s v="https://www.commcarehq.org/a/demo-18/api/form/attachment/770670a1-46ae-44a7-a4e0-82256e1415ed/1576481641523.jpg"/>
    <s v="https://www.commcarehq.org/a/demo-18/api/form/attachment/770670a1-46ae-44a7-a4e0-82256e1415ed/1576481658646.jpg"/>
    <s v="https://www.commcarehq.org/a/demo-18/api/form/attachment/770670a1-46ae-44a7-a4e0-82256e1415ed/1576481668787.jpg"/>
    <d v="2019-12-16T07:34:30"/>
    <d v="2019-12-16T07:31:05"/>
    <s v="arnold"/>
    <d v="2019-12-16T07:34:48"/>
    <s v="770670a1-46ae-44a7-a4e0-82256e1415ed"/>
    <s v="https://www.commcarehq.org/a/demo-18/reports/form_data/770670a1-46ae-44a7-a4e0-82256e1415ed/"/>
  </r>
  <r>
    <x v="66"/>
    <n v="5.9"/>
    <d v="2020-01-17T00:00:00"/>
    <d v="2019-12-18T00:00:00"/>
    <s v="no"/>
    <s v="---"/>
    <s v="---"/>
    <x v="0"/>
    <s v="no"/>
    <s v="---"/>
    <s v="https://www.commcarehq.org/a/demo-18/api/form/attachment/ec9428c3-9e1d-44e5-ba62-4638dea282e0/1576652569763.jpg"/>
    <s v="https://www.commcarehq.org/a/demo-18/api/form/attachment/ec9428c3-9e1d-44e5-ba62-4638dea282e0/1576652606057.jpg"/>
    <s v="https://www.commcarehq.org/a/demo-18/api/form/attachment/ec9428c3-9e1d-44e5-ba62-4638dea282e0/1576652641426.jpg"/>
    <s v="https://www.commcarehq.org/a/demo-18/api/form/attachment/ec9428c3-9e1d-44e5-ba62-4638dea282e0/1576652652939.jpg"/>
    <s v="https://www.commcarehq.org/a/demo-18/api/form/attachment/ec9428c3-9e1d-44e5-ba62-4638dea282e0/1576652674280.jpg"/>
    <s v="https://www.commcarehq.org/a/demo-18/api/form/attachment/ec9428c3-9e1d-44e5-ba62-4638dea282e0/1576652684312.jpg"/>
    <d v="2019-12-18T07:04:47"/>
    <d v="2019-12-18T07:01:59"/>
    <s v="arnold"/>
    <d v="2019-12-18T07:05:01"/>
    <s v="ec9428c3-9e1d-44e5-ba62-4638dea282e0"/>
    <s v="https://www.commcarehq.org/a/demo-18/reports/form_data/ec9428c3-9e1d-44e5-ba62-4638dea282e0/"/>
  </r>
  <r>
    <x v="67"/>
    <n v="3"/>
    <d v="2020-01-17T00:00:00"/>
    <d v="2019-12-18T00:00:00"/>
    <s v="no"/>
    <s v="---"/>
    <s v="---"/>
    <x v="0"/>
    <s v="no"/>
    <s v="---"/>
    <s v="https://www.commcarehq.org/a/demo-18/api/form/attachment/fc4402b6-6867-4692-b219-66df116d3de6/1576652265686.jpg"/>
    <s v="https://www.commcarehq.org/a/demo-18/api/form/attachment/fc4402b6-6867-4692-b219-66df116d3de6/1576652284553.jpg"/>
    <s v="https://www.commcarehq.org/a/demo-18/api/form/attachment/fc4402b6-6867-4692-b219-66df116d3de6/1576652347328.jpg"/>
    <s v="https://www.commcarehq.org/a/demo-18/api/form/attachment/fc4402b6-6867-4692-b219-66df116d3de6/1576652356823.jpg"/>
    <s v="https://www.commcarehq.org/a/demo-18/api/form/attachment/fc4402b6-6867-4692-b219-66df116d3de6/1576652382108.jpg"/>
    <s v="https://www.commcarehq.org/a/demo-18/api/form/attachment/fc4402b6-6867-4692-b219-66df116d3de6/1576652392406.jpg"/>
    <d v="2019-12-18T06:59:54"/>
    <d v="2019-12-18T06:55:18"/>
    <s v="arnold"/>
    <d v="2019-12-18T07:00:11"/>
    <s v="fc4402b6-6867-4692-b219-66df116d3de6"/>
    <s v="https://www.commcarehq.org/a/demo-18/reports/form_data/fc4402b6-6867-4692-b219-66df116d3de6/"/>
  </r>
  <r>
    <x v="68"/>
    <n v="4.8"/>
    <d v="2020-01-22T00:00:00"/>
    <d v="2019-12-23T00:00:00"/>
    <s v="no"/>
    <s v="---"/>
    <s v="---"/>
    <x v="0"/>
    <s v="no"/>
    <s v="---"/>
    <s v="https://www.commcarehq.org/a/demo-18/api/form/attachment/6ecdc47b-cf2b-4422-8cf3-ecb3466788e7/1577082803058.jpg"/>
    <s v="https://www.commcarehq.org/a/demo-18/api/form/attachment/6ecdc47b-cf2b-4422-8cf3-ecb3466788e7/1577082818934.jpg"/>
    <s v="https://www.commcarehq.org/a/demo-18/api/form/attachment/6ecdc47b-cf2b-4422-8cf3-ecb3466788e7/1577082863382.jpg"/>
    <s v="https://www.commcarehq.org/a/demo-18/api/form/attachment/6ecdc47b-cf2b-4422-8cf3-ecb3466788e7/1577082873467.jpg"/>
    <s v="https://www.commcarehq.org/a/demo-18/api/form/attachment/6ecdc47b-cf2b-4422-8cf3-ecb3466788e7/1577082890385.jpg"/>
    <s v="https://www.commcarehq.org/a/demo-18/api/form/attachment/6ecdc47b-cf2b-4422-8cf3-ecb3466788e7/1577082900653.jpg"/>
    <d v="2019-12-23T06:35:02"/>
    <d v="2019-12-23T06:32:53"/>
    <s v="arnold"/>
    <d v="2019-12-23T06:35:19"/>
    <s v="6ecdc47b-cf2b-4422-8cf3-ecb3466788e7"/>
    <s v="https://www.commcarehq.org/a/demo-18/reports/form_data/6ecdc47b-cf2b-4422-8cf3-ecb3466788e7/"/>
  </r>
  <r>
    <x v="69"/>
    <n v="5.6"/>
    <d v="2020-01-22T00:00:00"/>
    <d v="2019-12-23T00:00:00"/>
    <s v="no"/>
    <s v="---"/>
    <s v="---"/>
    <x v="0"/>
    <s v="no"/>
    <s v="---"/>
    <s v="https://www.commcarehq.org/a/demo-18/api/form/attachment/cd0da201-b2e2-4831-bc5b-3d6520098b77/1577083147555.jpg"/>
    <s v="https://www.commcarehq.org/a/demo-18/api/form/attachment/cd0da201-b2e2-4831-bc5b-3d6520098b77/1577083167674.jpg"/>
    <s v="https://www.commcarehq.org/a/demo-18/api/form/attachment/cd0da201-b2e2-4831-bc5b-3d6520098b77/1577083218284.jpg"/>
    <s v="https://www.commcarehq.org/a/demo-18/api/form/attachment/cd0da201-b2e2-4831-bc5b-3d6520098b77/1577083229126.jpg"/>
    <s v="https://www.commcarehq.org/a/demo-18/api/form/attachment/cd0da201-b2e2-4831-bc5b-3d6520098b77/1577083246020.jpg"/>
    <s v="https://www.commcarehq.org/a/demo-18/api/form/attachment/cd0da201-b2e2-4831-bc5b-3d6520098b77/1577083255678.jpg"/>
    <d v="2019-12-23T06:40:57"/>
    <d v="2019-12-23T06:38:31"/>
    <s v="arnold"/>
    <d v="2019-12-23T06:41:14"/>
    <s v="cd0da201-b2e2-4831-bc5b-3d6520098b77"/>
    <s v="https://www.commcarehq.org/a/demo-18/reports/form_data/cd0da201-b2e2-4831-bc5b-3d6520098b77/"/>
  </r>
  <r>
    <x v="70"/>
    <n v="4.3"/>
    <d v="2020-01-17T00:00:00"/>
    <d v="2019-12-18T00:00:00"/>
    <s v="no"/>
    <s v="---"/>
    <s v="---"/>
    <x v="0"/>
    <s v="no"/>
    <s v="---"/>
    <s v="https://www.commcarehq.org/a/demo-18/api/form/attachment/17935f3e-9b0a-4804-a0de-ebf1a65c1e43/1576650919389.jpg"/>
    <s v="https://www.commcarehq.org/a/demo-18/api/form/attachment/17935f3e-9b0a-4804-a0de-ebf1a65c1e43/1576650937107.jpg"/>
    <s v="https://www.commcarehq.org/a/demo-18/api/form/attachment/17935f3e-9b0a-4804-a0de-ebf1a65c1e43/1576651000218.jpg"/>
    <s v="https://www.commcarehq.org/a/demo-18/api/form/attachment/17935f3e-9b0a-4804-a0de-ebf1a65c1e43/1576651011393.jpg"/>
    <s v="https://www.commcarehq.org/a/demo-18/api/form/attachment/17935f3e-9b0a-4804-a0de-ebf1a65c1e43/1576651044033.jpg"/>
    <s v="https://www.commcarehq.org/a/demo-18/api/form/attachment/17935f3e-9b0a-4804-a0de-ebf1a65c1e43/1576651054068.jpg"/>
    <d v="2019-12-18T06:37:38"/>
    <d v="2019-12-18T06:34:43"/>
    <s v="arnold"/>
    <d v="2019-12-18T06:37:51"/>
    <s v="17935f3e-9b0a-4804-a0de-ebf1a65c1e43"/>
    <s v="https://www.commcarehq.org/a/demo-18/reports/form_data/17935f3e-9b0a-4804-a0de-ebf1a65c1e43/"/>
  </r>
  <r>
    <x v="71"/>
    <n v="4.8"/>
    <d v="2020-01-19T00:00:00"/>
    <d v="2019-12-20T00:00:00"/>
    <s v="no"/>
    <s v="---"/>
    <s v="---"/>
    <x v="0"/>
    <s v="no"/>
    <s v="---"/>
    <s v="https://www.commcarehq.org/a/demo-18/api/form/attachment/a884c7e2-6588-4e4f-93f2-15580fe77f57/1576824615890.jpg"/>
    <s v="https://www.commcarehq.org/a/demo-18/api/form/attachment/a884c7e2-6588-4e4f-93f2-15580fe77f57/1576824639094.jpg"/>
    <s v="https://www.commcarehq.org/a/demo-18/api/form/attachment/a884c7e2-6588-4e4f-93f2-15580fe77f57/1576824708929.jpg"/>
    <s v="https://www.commcarehq.org/a/demo-18/api/form/attachment/a884c7e2-6588-4e4f-93f2-15580fe77f57/1576824718416.jpg"/>
    <s v="https://www.commcarehq.org/a/demo-18/api/form/attachment/a884c7e2-6588-4e4f-93f2-15580fe77f57/1576824737210.jpg"/>
    <s v="https://www.commcarehq.org/a/demo-18/api/form/attachment/a884c7e2-6588-4e4f-93f2-15580fe77f57/1576824751561.jpg"/>
    <d v="2019-12-20T06:52:33"/>
    <d v="2019-12-20T06:49:22"/>
    <s v="arnold"/>
    <d v="2019-12-20T06:52:52"/>
    <s v="a884c7e2-6588-4e4f-93f2-15580fe77f57"/>
    <s v="https://www.commcarehq.org/a/demo-18/reports/form_data/a884c7e2-6588-4e4f-93f2-15580fe77f57/"/>
  </r>
  <r>
    <x v="72"/>
    <n v="6.3"/>
    <d v="2020-01-22T00:00:00"/>
    <d v="2019-12-23T00:00:00"/>
    <s v="no"/>
    <s v="---"/>
    <s v="---"/>
    <x v="0"/>
    <s v="no"/>
    <s v="---"/>
    <s v="https://www.commcarehq.org/a/demo-18/api/form/attachment/b4fe70a6-69b3-42e8-8e0a-d60ae4e840b1/1577083481989.jpg"/>
    <s v="https://www.commcarehq.org/a/demo-18/api/form/attachment/b4fe70a6-69b3-42e8-8e0a-d60ae4e840b1/1577083493778.jpg"/>
    <s v="https://www.commcarehq.org/a/demo-18/api/form/attachment/b4fe70a6-69b3-42e8-8e0a-d60ae4e840b1/1577083537609.jpg"/>
    <s v="https://www.commcarehq.org/a/demo-18/api/form/attachment/b4fe70a6-69b3-42e8-8e0a-d60ae4e840b1/1577083568094.jpg"/>
    <s v="https://www.commcarehq.org/a/demo-18/api/form/attachment/b4fe70a6-69b3-42e8-8e0a-d60ae4e840b1/1577083607359.jpg"/>
    <s v="https://www.commcarehq.org/a/demo-18/api/form/attachment/b4fe70a6-69b3-42e8-8e0a-d60ae4e840b1/1577083620597.jpg"/>
    <d v="2019-12-23T06:47:02"/>
    <d v="2019-12-23T06:44:03"/>
    <s v="arnold"/>
    <d v="2019-12-23T06:47:18"/>
    <s v="b4fe70a6-69b3-42e8-8e0a-d60ae4e840b1"/>
    <s v="https://www.commcarehq.org/a/demo-18/reports/form_data/b4fe70a6-69b3-42e8-8e0a-d60ae4e840b1/"/>
  </r>
  <r>
    <x v="73"/>
    <n v="4.5"/>
    <d v="2020-01-10T00:00:00"/>
    <d v="2019-12-11T00:00:00"/>
    <s v="no"/>
    <s v="---"/>
    <s v="---"/>
    <x v="0"/>
    <s v="no"/>
    <s v="---"/>
    <s v="https://www.commcarehq.org/a/demo-18/api/form/attachment/24e3f987-bbb2-4cde-9554-ddf512b8b738/1576047214615.jpg"/>
    <s v="https://www.commcarehq.org/a/demo-18/api/form/attachment/24e3f987-bbb2-4cde-9554-ddf512b8b738/1576047242529.jpg"/>
    <s v="https://www.commcarehq.org/a/demo-18/api/form/attachment/24e3f987-bbb2-4cde-9554-ddf512b8b738/1576047279687.jpg"/>
    <s v="https://www.commcarehq.org/a/demo-18/api/form/attachment/24e3f987-bbb2-4cde-9554-ddf512b8b738/1576047288614.jpg"/>
    <s v="https://www.commcarehq.org/a/demo-18/api/form/attachment/24e3f987-bbb2-4cde-9554-ddf512b8b738/1576047310046.jpg"/>
    <s v="https://www.commcarehq.org/a/demo-18/api/form/attachment/24e3f987-bbb2-4cde-9554-ddf512b8b738/1576047321421.jpg"/>
    <d v="2019-12-11T06:55:23"/>
    <d v="2019-12-11T06:52:31"/>
    <s v="arnold"/>
    <d v="2019-12-11T10:29:44"/>
    <s v="24e3f987-bbb2-4cde-9554-ddf512b8b738"/>
    <s v="https://www.commcarehq.org/a/demo-18/reports/form_data/24e3f987-bbb2-4cde-9554-ddf512b8b738/"/>
  </r>
  <r>
    <x v="74"/>
    <n v="4.4000000000000004"/>
    <d v="2020-01-18T00:00:00"/>
    <d v="2019-12-19T00:00:00"/>
    <s v="no"/>
    <s v="---"/>
    <s v="---"/>
    <x v="2"/>
    <s v="no"/>
    <s v="---"/>
    <s v="https://www.commcarehq.org/a/demo-18/api/form/attachment/69db910a-b6cc-4379-85b4-70d0054e3b2b/1576736981047.jpg"/>
    <s v="https://www.commcarehq.org/a/demo-18/api/form/attachment/69db910a-b6cc-4379-85b4-70d0054e3b2b/1576737003514.jpg"/>
    <s v="https://www.commcarehq.org/a/demo-18/api/form/attachment/69db910a-b6cc-4379-85b4-70d0054e3b2b/1576737048970.jpg"/>
    <s v="https://www.commcarehq.org/a/demo-18/api/form/attachment/69db910a-b6cc-4379-85b4-70d0054e3b2b/1576737058830.jpg"/>
    <s v="https://www.commcarehq.org/a/demo-18/api/form/attachment/69db910a-b6cc-4379-85b4-70d0054e3b2b/1576737074043.jpg"/>
    <s v="https://www.commcarehq.org/a/demo-18/api/form/attachment/69db910a-b6cc-4379-85b4-70d0054e3b2b/1576737083702.jpg"/>
    <d v="2019-12-19T06:31:25"/>
    <d v="2019-12-19T06:27:47"/>
    <s v="arnold"/>
    <d v="2019-12-19T06:31:41"/>
    <s v="69db910a-b6cc-4379-85b4-70d0054e3b2b"/>
    <s v="https://www.commcarehq.org/a/demo-18/reports/form_data/69db910a-b6cc-4379-85b4-70d0054e3b2b/"/>
  </r>
  <r>
    <x v="75"/>
    <n v="5.5"/>
    <d v="2020-01-22T00:00:00"/>
    <d v="2019-12-23T00:00:00"/>
    <s v="no"/>
    <s v="---"/>
    <s v="---"/>
    <x v="0"/>
    <s v="no"/>
    <s v="---"/>
    <s v="https://www.commcarehq.org/a/demo-18/api/form/attachment/74b97d31-2cb2-42c5-8862-4f73d4a5c901/1577087770909.jpg"/>
    <s v="https://www.commcarehq.org/a/demo-18/api/form/attachment/74b97d31-2cb2-42c5-8862-4f73d4a5c901/1577087782405.jpg"/>
    <s v="https://www.commcarehq.org/a/demo-18/api/form/attachment/74b97d31-2cb2-42c5-8862-4f73d4a5c901/1577087843738.jpg"/>
    <s v="https://www.commcarehq.org/a/demo-18/api/form/attachment/74b97d31-2cb2-42c5-8862-4f73d4a5c901/1577087853982.jpg"/>
    <s v="https://www.commcarehq.org/a/demo-18/api/form/attachment/74b97d31-2cb2-42c5-8862-4f73d4a5c901/1577087871669.jpg"/>
    <s v="https://www.commcarehq.org/a/demo-18/api/form/attachment/74b97d31-2cb2-42c5-8862-4f73d4a5c901/1577087881842.jpg"/>
    <d v="2019-12-23T07:58:04"/>
    <d v="2019-12-23T07:55:32"/>
    <s v="arnold"/>
    <d v="2019-12-23T07:58:22"/>
    <s v="74b97d31-2cb2-42c5-8862-4f73d4a5c901"/>
    <s v="https://www.commcarehq.org/a/demo-18/reports/form_data/74b97d31-2cb2-42c5-8862-4f73d4a5c901/"/>
  </r>
  <r>
    <x v="76"/>
    <n v="4"/>
    <d v="2020-01-18T00:00:00"/>
    <d v="2019-12-19T00:00:00"/>
    <s v="no"/>
    <s v="---"/>
    <s v="---"/>
    <x v="1"/>
    <s v="no"/>
    <s v="---"/>
    <s v="https://www.commcarehq.org/a/demo-18/api/form/attachment/5e577aee-709f-4cee-937d-63a13d4207ac/1576746331317.jpg"/>
    <s v="https://www.commcarehq.org/a/demo-18/api/form/attachment/5e577aee-709f-4cee-937d-63a13d4207ac/1576746358962.jpg"/>
    <s v="https://www.commcarehq.org/a/demo-18/api/form/attachment/5e577aee-709f-4cee-937d-63a13d4207ac/1576746398336.jpg"/>
    <s v="https://www.commcarehq.org/a/demo-18/api/form/attachment/5e577aee-709f-4cee-937d-63a13d4207ac/1576746408028.jpg"/>
    <s v="https://www.commcarehq.org/a/demo-18/api/form/attachment/5e577aee-709f-4cee-937d-63a13d4207ac/1576746428888.jpg"/>
    <s v="https://www.commcarehq.org/a/demo-18/api/form/attachment/5e577aee-709f-4cee-937d-63a13d4207ac/1576746438545.jpg"/>
    <d v="2019-12-19T09:07:22"/>
    <d v="2019-12-19T09:05:04"/>
    <s v="arnold"/>
    <d v="2019-12-19T09:07:58"/>
    <s v="5e577aee-709f-4cee-937d-63a13d4207ac"/>
    <s v="https://www.commcarehq.org/a/demo-18/reports/form_data/5e577aee-709f-4cee-937d-63a13d4207ac/"/>
  </r>
  <r>
    <x v="77"/>
    <n v="4"/>
    <d v="2020-01-18T00:00:00"/>
    <d v="2019-12-19T00:00:00"/>
    <s v="no"/>
    <s v="---"/>
    <s v="---"/>
    <x v="0"/>
    <s v="no"/>
    <s v="---"/>
    <s v="https://www.commcarehq.org/a/demo-18/api/form/attachment/e3c7f218-0445-42fd-b35a-6419ddb50fda/1576739685736.jpg"/>
    <s v="https://www.commcarehq.org/a/demo-18/api/form/attachment/e3c7f218-0445-42fd-b35a-6419ddb50fda/1576739706508.jpg"/>
    <s v="https://www.commcarehq.org/a/demo-18/api/form/attachment/e3c7f218-0445-42fd-b35a-6419ddb50fda/1576739748531.jpg"/>
    <s v="https://www.commcarehq.org/a/demo-18/api/form/attachment/e3c7f218-0445-42fd-b35a-6419ddb50fda/1576739760944.jpg"/>
    <s v="https://www.commcarehq.org/a/demo-18/api/form/attachment/e3c7f218-0445-42fd-b35a-6419ddb50fda/1576739792415.jpg"/>
    <s v="https://www.commcarehq.org/a/demo-18/api/form/attachment/e3c7f218-0445-42fd-b35a-6419ddb50fda/1576739803380.jpg"/>
    <d v="2019-12-19T07:16:45"/>
    <d v="2019-12-19T07:11:23"/>
    <s v="arnold"/>
    <d v="2019-12-19T08:37:16"/>
    <s v="e3c7f218-0445-42fd-b35a-6419ddb50fda"/>
    <s v="https://www.commcarehq.org/a/demo-18/reports/form_data/e3c7f218-0445-42fd-b35a-6419ddb50fda/"/>
  </r>
  <r>
    <x v="78"/>
    <n v="4"/>
    <d v="2020-01-18T00:00:00"/>
    <d v="2019-12-19T00:00:00"/>
    <s v="no"/>
    <s v="---"/>
    <s v="---"/>
    <x v="0"/>
    <s v="no"/>
    <s v="---"/>
    <s v="https://www.commcarehq.org/a/demo-18/api/form/attachment/6749798c-3e55-4667-ae1d-e631337a7254/1576742210858.jpg"/>
    <s v="https://www.commcarehq.org/a/demo-18/api/form/attachment/6749798c-3e55-4667-ae1d-e631337a7254/1576742237349.jpg"/>
    <s v="https://www.commcarehq.org/a/demo-18/api/form/attachment/6749798c-3e55-4667-ae1d-e631337a7254/1576742287379.jpg"/>
    <s v="https://www.commcarehq.org/a/demo-18/api/form/attachment/6749798c-3e55-4667-ae1d-e631337a7254/1576742299499.jpg"/>
    <s v="https://www.commcarehq.org/a/demo-18/api/form/attachment/6749798c-3e55-4667-ae1d-e631337a7254/1576742318602.jpg"/>
    <s v="https://www.commcarehq.org/a/demo-18/api/form/attachment/6749798c-3e55-4667-ae1d-e631337a7254/1576742330029.jpg"/>
    <d v="2019-12-19T07:58:52"/>
    <d v="2019-12-19T07:55:14"/>
    <s v="arnold"/>
    <d v="2019-12-19T08:37:31"/>
    <s v="6749798c-3e55-4667-ae1d-e631337a7254"/>
    <s v="https://www.commcarehq.org/a/demo-18/reports/form_data/6749798c-3e55-4667-ae1d-e631337a7254/"/>
  </r>
  <r>
    <x v="79"/>
    <n v="3.9"/>
    <d v="2020-01-18T00:00:00"/>
    <d v="2019-12-19T00:00:00"/>
    <s v="no"/>
    <s v="---"/>
    <s v="---"/>
    <x v="1"/>
    <s v="no"/>
    <s v="---"/>
    <s v="https://www.commcarehq.org/a/demo-18/api/form/attachment/53e2efd6-4e9e-455e-b556-fdd02f3e6d6a/1576745255926.jpg"/>
    <s v="https://www.commcarehq.org/a/demo-18/api/form/attachment/53e2efd6-4e9e-455e-b556-fdd02f3e6d6a/1576745274648.jpg"/>
    <s v="https://www.commcarehq.org/a/demo-18/api/form/attachment/53e2efd6-4e9e-455e-b556-fdd02f3e6d6a/1576745336068.jpg"/>
    <s v="https://www.commcarehq.org/a/demo-18/api/form/attachment/53e2efd6-4e9e-455e-b556-fdd02f3e6d6a/1576745352274.jpg"/>
    <s v="https://www.commcarehq.org/a/demo-18/api/form/attachment/53e2efd6-4e9e-455e-b556-fdd02f3e6d6a/1576745394172.jpg"/>
    <s v="https://www.commcarehq.org/a/demo-18/api/form/attachment/53e2efd6-4e9e-455e-b556-fdd02f3e6d6a/1576745408232.jpg"/>
    <d v="2019-12-19T08:50:10"/>
    <d v="2019-12-19T08:46:45"/>
    <s v="arnold"/>
    <d v="2019-12-19T08:50:26"/>
    <s v="53e2efd6-4e9e-455e-b556-fdd02f3e6d6a"/>
    <s v="https://www.commcarehq.org/a/demo-18/reports/form_data/53e2efd6-4e9e-455e-b556-fdd02f3e6d6a/"/>
  </r>
  <r>
    <x v="80"/>
    <n v="4.5"/>
    <d v="2020-01-22T00:00:00"/>
    <d v="2019-12-23T00:00:00"/>
    <s v="no"/>
    <s v="---"/>
    <s v="---"/>
    <x v="0"/>
    <s v="no"/>
    <s v="---"/>
    <s v="https://www.commcarehq.org/a/demo-18/api/form/attachment/6c880c79-e367-4bfc-998f-b7b588f67810/1577084315513.jpg"/>
    <s v="https://www.commcarehq.org/a/demo-18/api/form/attachment/6c880c79-e367-4bfc-998f-b7b588f67810/1577084339279.jpg"/>
    <s v="https://www.commcarehq.org/a/demo-18/api/form/attachment/6c880c79-e367-4bfc-998f-b7b588f67810/1577084441126.jpg"/>
    <s v="https://www.commcarehq.org/a/demo-18/api/form/attachment/6c880c79-e367-4bfc-998f-b7b588f67810/1577084452259.jpg"/>
    <s v="https://www.commcarehq.org/a/demo-18/api/form/attachment/6c880c79-e367-4bfc-998f-b7b588f67810/1577084480686.jpg"/>
    <s v="https://www.commcarehq.org/a/demo-18/api/form/attachment/6c880c79-e367-4bfc-998f-b7b588f67810/1577084492018.jpg"/>
    <d v="2019-12-23T07:01:33"/>
    <d v="2019-12-23T06:58:03"/>
    <s v="arnold"/>
    <d v="2019-12-23T07:01:50"/>
    <s v="6c880c79-e367-4bfc-998f-b7b588f67810"/>
    <s v="https://www.commcarehq.org/a/demo-18/reports/form_data/6c880c79-e367-4bfc-998f-b7b588f67810/"/>
  </r>
  <r>
    <x v="81"/>
    <n v="4.5999999999999996"/>
    <d v="2020-01-26T00:00:00"/>
    <d v="2019-12-27T00:00:00"/>
    <s v="no"/>
    <s v="---"/>
    <s v="---"/>
    <x v="0"/>
    <s v="no"/>
    <s v="---"/>
    <s v="https://www.commcarehq.org/a/demo-18/api/form/attachment/15931d40-bd38-4052-a130-0a997d1195f5/1577427789462.jpg"/>
    <s v="https://www.commcarehq.org/a/demo-18/api/form/attachment/15931d40-bd38-4052-a130-0a997d1195f5/1577427817753.jpg"/>
    <s v="https://www.commcarehq.org/a/demo-18/api/form/attachment/15931d40-bd38-4052-a130-0a997d1195f5/1577427870862.jpg"/>
    <s v="https://www.commcarehq.org/a/demo-18/api/form/attachment/15931d40-bd38-4052-a130-0a997d1195f5/1577427880827.jpg"/>
    <s v="https://www.commcarehq.org/a/demo-18/api/form/attachment/15931d40-bd38-4052-a130-0a997d1195f5/1577427898165.jpg"/>
    <s v="https://www.commcarehq.org/a/demo-18/api/form/attachment/15931d40-bd38-4052-a130-0a997d1195f5/1577427907289.jpg"/>
    <d v="2019-12-27T06:25:09"/>
    <d v="2019-12-27T06:22:16"/>
    <s v="arnold"/>
    <d v="2019-12-27T15:34:45"/>
    <s v="15931d40-bd38-4052-a130-0a997d1195f5"/>
    <s v="https://www.commcarehq.org/a/demo-18/reports/form_data/15931d40-bd38-4052-a130-0a997d1195f5/"/>
  </r>
  <r>
    <x v="82"/>
    <n v="4.4000000000000004"/>
    <d v="2020-01-19T00:00:00"/>
    <d v="2019-12-20T00:00:00"/>
    <s v="no"/>
    <s v="---"/>
    <s v="---"/>
    <x v="0"/>
    <s v="no"/>
    <s v="---"/>
    <s v="https://www.commcarehq.org/a/demo-18/api/form/attachment/a4af11f8-c2d6-4be6-ba68-26543a2f6cc6/1576828176243.jpg"/>
    <s v="https://www.commcarehq.org/a/demo-18/api/form/attachment/a4af11f8-c2d6-4be6-ba68-26543a2f6cc6/1576828199003.jpg"/>
    <s v="https://www.commcarehq.org/a/demo-18/api/form/attachment/a4af11f8-c2d6-4be6-ba68-26543a2f6cc6/1576828269967.jpg"/>
    <s v="https://www.commcarehq.org/a/demo-18/api/form/attachment/a4af11f8-c2d6-4be6-ba68-26543a2f6cc6/1576828280845.jpg"/>
    <s v="https://www.commcarehq.org/a/demo-18/api/form/attachment/a4af11f8-c2d6-4be6-ba68-26543a2f6cc6/1576828301056.jpg"/>
    <s v="https://www.commcarehq.org/a/demo-18/api/form/attachment/a4af11f8-c2d6-4be6-ba68-26543a2f6cc6/1576828310197.jpg"/>
    <d v="2019-12-20T07:51:52"/>
    <d v="2019-12-20T07:48:08"/>
    <s v="arnold"/>
    <d v="2019-12-20T07:52:10"/>
    <s v="a4af11f8-c2d6-4be6-ba68-26543a2f6cc6"/>
    <s v="https://www.commcarehq.org/a/demo-18/reports/form_data/a4af11f8-c2d6-4be6-ba68-26543a2f6cc6/"/>
  </r>
  <r>
    <x v="83"/>
    <n v="4.9000000000000004"/>
    <d v="2020-01-26T00:00:00"/>
    <d v="2019-12-27T00:00:00"/>
    <s v="no"/>
    <s v="---"/>
    <s v="---"/>
    <x v="0"/>
    <s v="no"/>
    <s v="---"/>
    <s v="https://www.commcarehq.org/a/demo-18/api/form/attachment/665f1816-0cba-4c23-aa80-4f9aa66946da/1577428169319.jpg"/>
    <s v="https://www.commcarehq.org/a/demo-18/api/form/attachment/665f1816-0cba-4c23-aa80-4f9aa66946da/1577428195189.jpg"/>
    <s v="https://www.commcarehq.org/a/demo-18/api/form/attachment/665f1816-0cba-4c23-aa80-4f9aa66946da/1577428287077.jpg"/>
    <s v="https://www.commcarehq.org/a/demo-18/api/form/attachment/665f1816-0cba-4c23-aa80-4f9aa66946da/1577428298069.jpg"/>
    <s v="https://www.commcarehq.org/a/demo-18/api/form/attachment/665f1816-0cba-4c23-aa80-4f9aa66946da/1577428321567.jpg"/>
    <s v="https://www.commcarehq.org/a/demo-18/api/form/attachment/665f1816-0cba-4c23-aa80-4f9aa66946da/1577428333413.jpg"/>
    <d v="2019-12-27T06:32:15"/>
    <d v="2019-12-27T06:29:03"/>
    <s v="arnold"/>
    <d v="2019-12-27T15:35:03"/>
    <s v="665f1816-0cba-4c23-aa80-4f9aa66946da"/>
    <s v="https://www.commcarehq.org/a/demo-18/reports/form_data/665f1816-0cba-4c23-aa80-4f9aa66946da/"/>
  </r>
  <r>
    <x v="84"/>
    <n v="6.4"/>
    <d v="2020-01-25T00:00:00"/>
    <d v="2019-12-26T00:00:00"/>
    <s v="no"/>
    <s v="---"/>
    <s v="---"/>
    <x v="0"/>
    <s v="no"/>
    <s v="---"/>
    <s v="https://www.commcarehq.org/a/demo-18/api/form/attachment/c9d84d1c-ab5f-4989-8a70-0ec539bcb455/1577342893815.jpg"/>
    <s v="https://www.commcarehq.org/a/demo-18/api/form/attachment/c9d84d1c-ab5f-4989-8a70-0ec539bcb455/1577342922577.jpg"/>
    <s v="https://www.commcarehq.org/a/demo-18/api/form/attachment/c9d84d1c-ab5f-4989-8a70-0ec539bcb455/1577342969683.jpg"/>
    <s v="https://www.commcarehq.org/a/demo-18/api/form/attachment/c9d84d1c-ab5f-4989-8a70-0ec539bcb455/1577342980229.jpg"/>
    <s v="https://www.commcarehq.org/a/demo-18/api/form/attachment/c9d84d1c-ab5f-4989-8a70-0ec539bcb455/1577342998828.jpg"/>
    <s v="https://www.commcarehq.org/a/demo-18/api/form/attachment/c9d84d1c-ab5f-4989-8a70-0ec539bcb455/1577343008666.jpg"/>
    <d v="2019-12-26T06:50:10"/>
    <d v="2019-12-26T06:47:32"/>
    <s v="arnold"/>
    <d v="2019-12-26T06:51:54"/>
    <s v="c9d84d1c-ab5f-4989-8a70-0ec539bcb455"/>
    <s v="https://www.commcarehq.org/a/demo-18/reports/form_data/c9d84d1c-ab5f-4989-8a70-0ec539bcb455/"/>
  </r>
  <r>
    <x v="85"/>
    <n v="3.4"/>
    <d v="2020-01-19T00:00:00"/>
    <d v="2019-12-20T00:00:00"/>
    <s v="no"/>
    <s v="---"/>
    <s v="---"/>
    <x v="0"/>
    <s v="no"/>
    <s v="---"/>
    <s v="https://www.commcarehq.org/a/demo-18/api/form/attachment/5fb2fbe8-7a31-47d0-b9a8-059c149818e8/1576826499321.jpg"/>
    <s v="https://www.commcarehq.org/a/demo-18/api/form/attachment/5fb2fbe8-7a31-47d0-b9a8-059c149818e8/1576826531128.jpg"/>
    <s v="https://www.commcarehq.org/a/demo-18/api/form/attachment/5fb2fbe8-7a31-47d0-b9a8-059c149818e8/1576826587829.jpg"/>
    <s v="https://www.commcarehq.org/a/demo-18/api/form/attachment/5fb2fbe8-7a31-47d0-b9a8-059c149818e8/1576826598095.jpg"/>
    <s v="https://www.commcarehq.org/a/demo-18/api/form/attachment/5fb2fbe8-7a31-47d0-b9a8-059c149818e8/1576826619803.jpg"/>
    <s v="https://www.commcarehq.org/a/demo-18/api/form/attachment/5fb2fbe8-7a31-47d0-b9a8-059c149818e8/1576826635032.jpg"/>
    <d v="2019-12-20T07:23:57"/>
    <d v="2019-12-20T07:20:32"/>
    <s v="arnold"/>
    <d v="2019-12-20T07:24:28"/>
    <s v="5fb2fbe8-7a31-47d0-b9a8-059c149818e8"/>
    <s v="https://www.commcarehq.org/a/demo-18/reports/form_data/5fb2fbe8-7a31-47d0-b9a8-059c149818e8/"/>
  </r>
  <r>
    <x v="86"/>
    <n v="5.3"/>
    <d v="2020-01-22T00:00:00"/>
    <d v="2019-12-23T00:00:00"/>
    <s v="no"/>
    <s v="---"/>
    <s v="---"/>
    <x v="0"/>
    <s v="no"/>
    <s v="---"/>
    <s v="https://www.commcarehq.org/a/demo-18/api/form/attachment/bdca8839-83b7-47b3-89e5-3d8b73f35744/1577087102774.jpg"/>
    <s v="https://www.commcarehq.org/a/demo-18/api/form/attachment/bdca8839-83b7-47b3-89e5-3d8b73f35744/1577087125544.jpg"/>
    <s v="https://www.commcarehq.org/a/demo-18/api/form/attachment/bdca8839-83b7-47b3-89e5-3d8b73f35744/1577087170120.jpg"/>
    <s v="https://www.commcarehq.org/a/demo-18/api/form/attachment/bdca8839-83b7-47b3-89e5-3d8b73f35744/1577087179815.jpg"/>
    <s v="https://www.commcarehq.org/a/demo-18/api/form/attachment/bdca8839-83b7-47b3-89e5-3d8b73f35744/1577087210602.jpg"/>
    <s v="https://www.commcarehq.org/a/demo-18/api/form/attachment/bdca8839-83b7-47b3-89e5-3d8b73f35744/1577087220051.jpg"/>
    <d v="2019-12-23T07:47:02"/>
    <d v="2019-12-23T07:44:29"/>
    <s v="arnold"/>
    <d v="2019-12-23T07:47:25"/>
    <s v="bdca8839-83b7-47b3-89e5-3d8b73f35744"/>
    <s v="https://www.commcarehq.org/a/demo-18/reports/form_data/bdca8839-83b7-47b3-89e5-3d8b73f35744/"/>
  </r>
  <r>
    <x v="87"/>
    <n v="5.7"/>
    <d v="2020-01-22T00:00:00"/>
    <d v="2019-12-23T00:00:00"/>
    <s v="no"/>
    <s v="---"/>
    <s v="---"/>
    <x v="0"/>
    <s v="no"/>
    <s v="---"/>
    <s v="https://www.commcarehq.org/a/demo-18/api/form/attachment/4db0e8d4-9974-474a-bce3-335b8cec3346/1577086660532.jpg"/>
    <s v="https://www.commcarehq.org/a/demo-18/api/form/attachment/4db0e8d4-9974-474a-bce3-335b8cec3346/1577086677374.jpg"/>
    <s v="https://www.commcarehq.org/a/demo-18/api/form/attachment/4db0e8d4-9974-474a-bce3-335b8cec3346/1577086790806.jpg"/>
    <s v="https://www.commcarehq.org/a/demo-18/api/form/attachment/4db0e8d4-9974-474a-bce3-335b8cec3346/1577086801423.jpg"/>
    <s v="https://www.commcarehq.org/a/demo-18/api/form/attachment/4db0e8d4-9974-474a-bce3-335b8cec3346/1577086821299.jpg"/>
    <s v="https://www.commcarehq.org/a/demo-18/api/form/attachment/4db0e8d4-9974-474a-bce3-335b8cec3346/1577086832684.jpg"/>
    <d v="2019-12-23T07:40:34"/>
    <d v="2019-12-23T07:36:50"/>
    <s v="arnold"/>
    <d v="2019-12-23T07:40:53"/>
    <s v="4db0e8d4-9974-474a-bce3-335b8cec3346"/>
    <s v="https://www.commcarehq.org/a/demo-18/reports/form_data/4db0e8d4-9974-474a-bce3-335b8cec3346/"/>
  </r>
  <r>
    <x v="88"/>
    <n v="4.4000000000000004"/>
    <d v="2020-01-19T00:00:00"/>
    <d v="2019-12-20T00:00:00"/>
    <s v="no"/>
    <s v="---"/>
    <s v="---"/>
    <x v="2"/>
    <s v="no"/>
    <s v="---"/>
    <s v="https://www.commcarehq.org/a/demo-18/api/form/attachment/6d59f419-82cd-4ada-ba34-89a685363879/1576823907185.jpg"/>
    <s v="https://www.commcarehq.org/a/demo-18/api/form/attachment/6d59f419-82cd-4ada-ba34-89a685363879/1576823939855.jpg"/>
    <s v="https://www.commcarehq.org/a/demo-18/api/form/attachment/6d59f419-82cd-4ada-ba34-89a685363879/1576824003629.jpg"/>
    <s v="https://www.commcarehq.org/a/demo-18/api/form/attachment/6d59f419-82cd-4ada-ba34-89a685363879/1576824013549.jpg"/>
    <s v="https://www.commcarehq.org/a/demo-18/api/form/attachment/6d59f419-82cd-4ada-ba34-89a685363879/1576824035766.jpg"/>
    <s v="https://www.commcarehq.org/a/demo-18/api/form/attachment/6d59f419-82cd-4ada-ba34-89a685363879/1576824051144.jpg"/>
    <d v="2019-12-20T06:40:53"/>
    <d v="2019-12-20T06:37:26"/>
    <s v="arnold"/>
    <d v="2019-12-20T06:41:11"/>
    <s v="6d59f419-82cd-4ada-ba34-89a685363879"/>
    <s v="https://www.commcarehq.org/a/demo-18/reports/form_data/6d59f419-82cd-4ada-ba34-89a685363879/"/>
  </r>
  <r>
    <x v="89"/>
    <n v="5.7"/>
    <d v="2020-01-25T00:00:00"/>
    <d v="2019-12-26T00:00:00"/>
    <s v="no"/>
    <s v="---"/>
    <s v="---"/>
    <x v="0"/>
    <s v="no"/>
    <s v="---"/>
    <s v="https://www.commcarehq.org/a/demo-18/api/form/attachment/c08b95bb-a581-476f-85d4-9c7e9c756617/1577342087527.jpg"/>
    <s v="https://www.commcarehq.org/a/demo-18/api/form/attachment/c08b95bb-a581-476f-85d4-9c7e9c756617/1577342121240.jpg"/>
    <s v="https://www.commcarehq.org/a/demo-18/api/form/attachment/c08b95bb-a581-476f-85d4-9c7e9c756617/1577342165466.jpg"/>
    <s v="https://www.commcarehq.org/a/demo-18/api/form/attachment/c08b95bb-a581-476f-85d4-9c7e9c756617/1577342175237.jpg"/>
    <s v="https://www.commcarehq.org/a/demo-18/api/form/attachment/c08b95bb-a581-476f-85d4-9c7e9c756617/1577342218532.jpg"/>
    <s v="https://www.commcarehq.org/a/demo-18/api/form/attachment/c08b95bb-a581-476f-85d4-9c7e9c756617/1577342238807.jpg"/>
    <d v="2019-12-26T06:37:27"/>
    <d v="2019-12-26T06:33:53"/>
    <s v="arnold"/>
    <d v="2019-12-26T06:51:16"/>
    <s v="c08b95bb-a581-476f-85d4-9c7e9c756617"/>
    <s v="https://www.commcarehq.org/a/demo-18/reports/form_data/c08b95bb-a581-476f-85d4-9c7e9c756617/"/>
  </r>
  <r>
    <x v="90"/>
    <n v="4.9000000000000004"/>
    <d v="2020-01-19T00:00:00"/>
    <d v="2019-12-20T00:00:00"/>
    <s v="no"/>
    <s v="---"/>
    <s v="---"/>
    <x v="0"/>
    <s v="no"/>
    <s v="---"/>
    <s v="https://www.commcarehq.org/a/demo-18/api/form/attachment/15ac6caf-5677-4698-92e2-89ab518f137f/1576824256848.jpg"/>
    <s v="https://www.commcarehq.org/a/demo-18/api/form/attachment/15ac6caf-5677-4698-92e2-89ab518f137f/1576824281067.jpg"/>
    <s v="https://www.commcarehq.org/a/demo-18/api/form/attachment/15ac6caf-5677-4698-92e2-89ab518f137f/1576824343510.jpg"/>
    <s v="https://www.commcarehq.org/a/demo-18/api/form/attachment/15ac6caf-5677-4698-92e2-89ab518f137f/1576824354334.jpg"/>
    <s v="https://www.commcarehq.org/a/demo-18/api/form/attachment/15ac6caf-5677-4698-92e2-89ab518f137f/1576824373471.jpg"/>
    <s v="https://www.commcarehq.org/a/demo-18/api/form/attachment/15ac6caf-5677-4698-92e2-89ab518f137f/1576824383811.jpg"/>
    <d v="2019-12-20T06:46:26"/>
    <d v="2019-12-20T06:43:33"/>
    <s v="arnold"/>
    <d v="2019-12-20T06:46:48"/>
    <s v="15ac6caf-5677-4698-92e2-89ab518f137f"/>
    <s v="https://www.commcarehq.org/a/demo-18/reports/form_data/15ac6caf-5677-4698-92e2-89ab518f137f/"/>
  </r>
  <r>
    <x v="91"/>
    <n v="5.3"/>
    <d v="2020-01-05T00:00:00"/>
    <d v="2019-12-06T00:00:00"/>
    <s v="no"/>
    <s v="---"/>
    <s v="---"/>
    <x v="0"/>
    <s v="no"/>
    <s v="---"/>
    <s v="https://www.commcarehq.org/a/demo-18/api/form/attachment/09707e51-28e2-4238-9834-66ac3bcf6135/1575621363822.jpg"/>
    <s v="https://www.commcarehq.org/a/demo-18/api/form/attachment/09707e51-28e2-4238-9834-66ac3bcf6135/1575621387463.jpg"/>
    <s v="https://www.commcarehq.org/a/demo-18/api/form/attachment/09707e51-28e2-4238-9834-66ac3bcf6135/1575621465213.jpg"/>
    <s v="https://www.commcarehq.org/a/demo-18/api/form/attachment/09707e51-28e2-4238-9834-66ac3bcf6135/1575621490524.jpg"/>
    <s v="https://www.commcarehq.org/a/demo-18/api/form/attachment/09707e51-28e2-4238-9834-66ac3bcf6135/1575621507050.jpg"/>
    <s v="https://www.commcarehq.org/a/demo-18/api/form/attachment/09707e51-28e2-4238-9834-66ac3bcf6135/1575621515414.jpg"/>
    <d v="2019-12-06T08:38:37"/>
    <d v="2019-12-06T08:34:51"/>
    <s v="arnold"/>
    <d v="2019-12-06T08:38:54"/>
    <s v="09707e51-28e2-4238-9834-66ac3bcf6135"/>
    <s v="https://www.commcarehq.org/a/demo-18/reports/form_data/09707e51-28e2-4238-9834-66ac3bcf6135/"/>
  </r>
  <r>
    <x v="92"/>
    <n v="5.5"/>
    <d v="2020-01-26T00:00:00"/>
    <d v="2019-12-27T00:00:00"/>
    <s v="no"/>
    <s v="---"/>
    <s v="---"/>
    <x v="5"/>
    <s v="no"/>
    <s v="---"/>
    <s v="https://www.commcarehq.org/a/demo-18/api/form/attachment/35189ca7-3c90-447e-9e5a-733d8106c918/1577434438337.jpg"/>
    <s v="https://www.commcarehq.org/a/demo-18/api/form/attachment/35189ca7-3c90-447e-9e5a-733d8106c918/1577434464077.jpg"/>
    <s v="https://www.commcarehq.org/a/demo-18/api/form/attachment/35189ca7-3c90-447e-9e5a-733d8106c918/1577434612769.jpg"/>
    <s v="https://www.commcarehq.org/a/demo-18/api/form/attachment/35189ca7-3c90-447e-9e5a-733d8106c918/1577434622709.jpg"/>
    <s v="https://www.commcarehq.org/a/demo-18/api/form/attachment/35189ca7-3c90-447e-9e5a-733d8106c918/1577434637460.jpg"/>
    <s v="https://www.commcarehq.org/a/demo-18/api/form/attachment/35189ca7-3c90-447e-9e5a-733d8106c918/1577434648654.jpg"/>
    <d v="2019-12-27T08:17:30"/>
    <d v="2019-12-27T08:12:31"/>
    <s v="arnold"/>
    <d v="2019-12-27T15:35:22"/>
    <s v="35189ca7-3c90-447e-9e5a-733d8106c918"/>
    <s v="https://www.commcarehq.org/a/demo-18/reports/form_data/35189ca7-3c90-447e-9e5a-733d8106c918/"/>
  </r>
  <r>
    <x v="93"/>
    <n v="5.6"/>
    <d v="2020-01-22T00:00:00"/>
    <d v="2019-12-23T00:00:00"/>
    <s v="no"/>
    <s v="---"/>
    <s v="---"/>
    <x v="0"/>
    <s v="no"/>
    <s v="---"/>
    <s v="https://www.commcarehq.org/a/demo-18/api/form/attachment/4e93f5ba-7f45-41ae-8dc5-9ea81003d5ee/1577082412680.jpg"/>
    <s v="https://www.commcarehq.org/a/demo-18/api/form/attachment/4e93f5ba-7f45-41ae-8dc5-9ea81003d5ee/1577082437327.jpg"/>
    <s v="https://www.commcarehq.org/a/demo-18/api/form/attachment/4e93f5ba-7f45-41ae-8dc5-9ea81003d5ee/1577082505852.jpg"/>
    <s v="https://www.commcarehq.org/a/demo-18/api/form/attachment/4e93f5ba-7f45-41ae-8dc5-9ea81003d5ee/1577082516589.jpg"/>
    <s v="https://www.commcarehq.org/a/demo-18/api/form/attachment/4e93f5ba-7f45-41ae-8dc5-9ea81003d5ee/1577082533924.jpg"/>
    <s v="https://www.commcarehq.org/a/demo-18/api/form/attachment/4e93f5ba-7f45-41ae-8dc5-9ea81003d5ee/1577082542941.jpg"/>
    <d v="2019-12-23T06:29:04"/>
    <d v="2019-12-23T06:26:30"/>
    <s v="arnold"/>
    <d v="2019-12-23T06:29:22"/>
    <s v="4e93f5ba-7f45-41ae-8dc5-9ea81003d5ee"/>
    <s v="https://www.commcarehq.org/a/demo-18/reports/form_data/4e93f5ba-7f45-41ae-8dc5-9ea81003d5ee/"/>
  </r>
  <r>
    <x v="94"/>
    <n v="4.5"/>
    <d v="2020-02-05T00:00:00"/>
    <d v="2020-01-06T00:00:00"/>
    <s v="no"/>
    <s v="---"/>
    <s v="---"/>
    <x v="0"/>
    <s v="no"/>
    <s v="---"/>
    <s v="https://www.commcarehq.org/a/demo-18/api/form/attachment/51b084ea-4b78-4d3e-938e-d2bceb233d66/1578292465461.jpg"/>
    <s v="https://www.commcarehq.org/a/demo-18/api/form/attachment/51b084ea-4b78-4d3e-938e-d2bceb233d66/1578292512491.jpg"/>
    <s v="https://www.commcarehq.org/a/demo-18/api/form/attachment/51b084ea-4b78-4d3e-938e-d2bceb233d66/1578292630244.jpg"/>
    <s v="https://www.commcarehq.org/a/demo-18/api/form/attachment/51b084ea-4b78-4d3e-938e-d2bceb233d66/1578292640643.jpg"/>
    <s v="https://www.commcarehq.org/a/demo-18/api/form/attachment/51b084ea-4b78-4d3e-938e-d2bceb233d66/1578292660960.jpg"/>
    <s v="https://www.commcarehq.org/a/demo-18/api/form/attachment/51b084ea-4b78-4d3e-938e-d2bceb233d66/1578292675373.jpg"/>
    <d v="2020-01-06T06:38:00"/>
    <d v="2020-01-06T06:33:39"/>
    <s v="arnold"/>
    <d v="2020-01-06T06:38:48"/>
    <s v="51b084ea-4b78-4d3e-938e-d2bceb233d66"/>
    <s v="https://www.commcarehq.org/a/demo-18/reports/form_data/51b084ea-4b78-4d3e-938e-d2bceb233d66/"/>
  </r>
  <r>
    <x v="95"/>
    <n v="5.8"/>
    <d v="2020-01-22T00:00:00"/>
    <d v="2019-12-23T00:00:00"/>
    <s v="no"/>
    <s v="---"/>
    <s v="---"/>
    <x v="0"/>
    <s v="no"/>
    <s v="---"/>
    <s v="https://www.commcarehq.org/a/demo-18/api/form/attachment/010e11d8-2391-4b1a-b697-0f7ebf434be8/1577082058865.jpg"/>
    <s v="https://www.commcarehq.org/a/demo-18/api/form/attachment/010e11d8-2391-4b1a-b697-0f7ebf434be8/1577082078616.jpg"/>
    <s v="https://www.commcarehq.org/a/demo-18/api/form/attachment/010e11d8-2391-4b1a-b697-0f7ebf434be8/1577082183784.jpg"/>
    <s v="https://www.commcarehq.org/a/demo-18/api/form/attachment/010e11d8-2391-4b1a-b697-0f7ebf434be8/1577082193829.jpg"/>
    <s v="https://www.commcarehq.org/a/demo-18/api/form/attachment/010e11d8-2391-4b1a-b697-0f7ebf434be8/1577082213992.jpg"/>
    <s v="https://www.commcarehq.org/a/demo-18/api/form/attachment/010e11d8-2391-4b1a-b697-0f7ebf434be8/1577082223238.jpg"/>
    <d v="2019-12-23T06:23:45"/>
    <d v="2019-12-23T06:20:16"/>
    <s v="arnold"/>
    <d v="2019-12-23T06:24:01"/>
    <s v="010e11d8-2391-4b1a-b697-0f7ebf434be8"/>
    <s v="https://www.commcarehq.org/a/demo-18/reports/form_data/010e11d8-2391-4b1a-b697-0f7ebf434be8/"/>
  </r>
  <r>
    <x v="96"/>
    <n v="4.9000000000000004"/>
    <d v="2020-01-25T00:00:00"/>
    <d v="2019-12-26T00:00:00"/>
    <s v="no"/>
    <s v="---"/>
    <s v="---"/>
    <x v="0"/>
    <s v="no"/>
    <s v="---"/>
    <s v="https://www.commcarehq.org/a/demo-18/api/form/attachment/df1a03cb-c9fc-4b4e-8085-09045f924f32/1577341648119.jpg"/>
    <s v="https://www.commcarehq.org/a/demo-18/api/form/attachment/df1a03cb-c9fc-4b4e-8085-09045f924f32/1577341661443.jpg"/>
    <s v="https://www.commcarehq.org/a/demo-18/api/form/attachment/df1a03cb-c9fc-4b4e-8085-09045f924f32/1577341698718.jpg"/>
    <s v="https://www.commcarehq.org/a/demo-18/api/form/attachment/df1a03cb-c9fc-4b4e-8085-09045f924f32/1577341709176.jpg"/>
    <s v="https://www.commcarehq.org/a/demo-18/api/form/attachment/df1a03cb-c9fc-4b4e-8085-09045f924f32/1577341731824.jpg"/>
    <s v="https://www.commcarehq.org/a/demo-18/api/form/attachment/df1a03cb-c9fc-4b4e-8085-09045f924f32/1577341752558.jpg"/>
    <d v="2019-12-26T06:29:15"/>
    <d v="2019-12-26T06:26:35"/>
    <s v="arnold"/>
    <d v="2019-12-26T06:50:55"/>
    <s v="df1a03cb-c9fc-4b4e-8085-09045f924f32"/>
    <s v="https://www.commcarehq.org/a/demo-18/reports/form_data/df1a03cb-c9fc-4b4e-8085-09045f924f32/"/>
  </r>
  <r>
    <x v="97"/>
    <n v="5.6"/>
    <d v="2020-01-22T00:00:00"/>
    <d v="2019-12-23T00:00:00"/>
    <s v="no"/>
    <s v="---"/>
    <s v="---"/>
    <x v="0"/>
    <s v="no"/>
    <s v="---"/>
    <s v="https://www.commcarehq.org/a/demo-18/api/form/attachment/d880aaee-2fb0-4b52-ae45-f3e380f76b7f/1577084677955.jpg"/>
    <s v="https://www.commcarehq.org/a/demo-18/api/form/attachment/d880aaee-2fb0-4b52-ae45-f3e380f76b7f/1577084694867.jpg"/>
    <s v="https://www.commcarehq.org/a/demo-18/api/form/attachment/d880aaee-2fb0-4b52-ae45-f3e380f76b7f/1577084768535.jpg"/>
    <s v="https://www.commcarehq.org/a/demo-18/api/form/attachment/d880aaee-2fb0-4b52-ae45-f3e380f76b7f/1577084778524.jpg"/>
    <s v="https://www.commcarehq.org/a/demo-18/api/form/attachment/d880aaee-2fb0-4b52-ae45-f3e380f76b7f/1577084808023.jpg"/>
    <s v="https://www.commcarehq.org/a/demo-18/api/form/attachment/d880aaee-2fb0-4b52-ae45-f3e380f76b7f/1577084819003.jpg"/>
    <d v="2019-12-23T07:07:01"/>
    <d v="2019-12-23T07:03:53"/>
    <s v="arnold"/>
    <d v="2019-12-23T07:07:18"/>
    <s v="d880aaee-2fb0-4b52-ae45-f3e380f76b7f"/>
    <s v="https://www.commcarehq.org/a/demo-18/reports/form_data/d880aaee-2fb0-4b52-ae45-f3e380f76b7f/"/>
  </r>
  <r>
    <x v="98"/>
    <n v="4.2"/>
    <d v="2020-01-22T00:00:00"/>
    <d v="2019-12-23T00:00:00"/>
    <s v="no"/>
    <s v="---"/>
    <s v="---"/>
    <x v="0"/>
    <s v="no"/>
    <s v="---"/>
    <s v="https://www.commcarehq.org/a/demo-18/api/form/attachment/0c594a7b-9764-47c6-b26e-bf741944d447/1577088387862.jpg"/>
    <s v="https://www.commcarehq.org/a/demo-18/api/form/attachment/0c594a7b-9764-47c6-b26e-bf741944d447/1577088400189.jpg"/>
    <s v="https://www.commcarehq.org/a/demo-18/api/form/attachment/0c594a7b-9764-47c6-b26e-bf741944d447/1577088556663.jpg"/>
    <s v="https://www.commcarehq.org/a/demo-18/api/form/attachment/0c594a7b-9764-47c6-b26e-bf741944d447/1577088566884.jpg"/>
    <s v="https://www.commcarehq.org/a/demo-18/api/form/attachment/0c594a7b-9764-47c6-b26e-bf741944d447/1577088596621.jpg"/>
    <s v="https://www.commcarehq.org/a/demo-18/api/form/attachment/0c594a7b-9764-47c6-b26e-bf741944d447/1577088613949.jpg"/>
    <d v="2019-12-23T08:10:15"/>
    <d v="2019-12-23T08:05:21"/>
    <s v="arnold"/>
    <d v="2019-12-23T08:10:35"/>
    <s v="0c594a7b-9764-47c6-b26e-bf741944d447"/>
    <s v="https://www.commcarehq.org/a/demo-18/reports/form_data/0c594a7b-9764-47c6-b26e-bf741944d447/"/>
  </r>
  <r>
    <x v="99"/>
    <n v="3.8"/>
    <d v="2020-01-04T00:00:00"/>
    <d v="2019-12-05T00:00:00"/>
    <s v="no"/>
    <s v="---"/>
    <s v="---"/>
    <x v="1"/>
    <s v="no"/>
    <s v="---"/>
    <s v="https://www.commcarehq.org/a/demo-18/api/form/attachment/f77ea4d6-4732-4ae1-9fbe-f44c73b93f5a/1575528423307.jpg"/>
    <s v="https://www.commcarehq.org/a/demo-18/api/form/attachment/f77ea4d6-4732-4ae1-9fbe-f44c73b93f5a/1575528451714.jpg"/>
    <s v="https://www.commcarehq.org/a/demo-18/api/form/attachment/f77ea4d6-4732-4ae1-9fbe-f44c73b93f5a/1575528544040.jpg"/>
    <s v="https://www.commcarehq.org/a/demo-18/api/form/attachment/f77ea4d6-4732-4ae1-9fbe-f44c73b93f5a/1575528556801.jpg"/>
    <s v="https://www.commcarehq.org/a/demo-18/api/form/attachment/f77ea4d6-4732-4ae1-9fbe-f44c73b93f5a/1575528590651.jpg"/>
    <s v="https://www.commcarehq.org/a/demo-18/api/form/attachment/f77ea4d6-4732-4ae1-9fbe-f44c73b93f5a/1575528600927.jpg"/>
    <d v="2019-12-05T06:50:03"/>
    <d v="2019-12-05T06:45:33"/>
    <s v="arnold"/>
    <d v="2019-12-05T09:44:49"/>
    <s v="f77ea4d6-4732-4ae1-9fbe-f44c73b93f5a"/>
    <s v="https://www.commcarehq.org/a/demo-18/reports/form_data/f77ea4d6-4732-4ae1-9fbe-f44c73b93f5a/"/>
  </r>
  <r>
    <x v="100"/>
    <n v="4.5"/>
    <d v="2020-01-25T00:00:00"/>
    <d v="2019-12-26T00:00:00"/>
    <s v="no"/>
    <s v="---"/>
    <s v="---"/>
    <x v="4"/>
    <s v="no"/>
    <s v="---"/>
    <s v="https://www.commcarehq.org/a/demo-18/api/form/attachment/a0aca676-a032-48d1-a4e0-df6cb4286179/1577346144130.jpg"/>
    <s v="https://www.commcarehq.org/a/demo-18/api/form/attachment/a0aca676-a032-48d1-a4e0-df6cb4286179/1577346162203.jpg"/>
    <s v="https://www.commcarehq.org/a/demo-18/api/form/attachment/a0aca676-a032-48d1-a4e0-df6cb4286179/1577346206479.jpg"/>
    <s v="https://www.commcarehq.org/a/demo-18/api/form/attachment/a0aca676-a032-48d1-a4e0-df6cb4286179/1577346215986.jpg"/>
    <s v="https://www.commcarehq.org/a/demo-18/api/form/attachment/a0aca676-a032-48d1-a4e0-df6cb4286179/1577346254685.jpg"/>
    <s v="https://www.commcarehq.org/a/demo-18/api/form/attachment/a0aca676-a032-48d1-a4e0-df6cb4286179/1577346267394.jpg"/>
    <d v="2019-12-26T07:44:29"/>
    <d v="2019-12-26T07:40:06"/>
    <s v="arnold"/>
    <d v="2019-12-26T18:08:00"/>
    <s v="a0aca676-a032-48d1-a4e0-df6cb4286179"/>
    <s v="https://www.commcarehq.org/a/demo-18/reports/form_data/a0aca676-a032-48d1-a4e0-df6cb4286179/"/>
  </r>
  <r>
    <x v="101"/>
    <n v="5.9"/>
    <d v="2020-01-25T00:00:00"/>
    <d v="2019-12-26T00:00:00"/>
    <s v="no"/>
    <s v="---"/>
    <s v="---"/>
    <x v="0"/>
    <s v="no"/>
    <s v="---"/>
    <s v="https://www.commcarehq.org/a/demo-18/api/form/attachment/d2e0ee70-1eee-47d2-95bc-2cada84fb63c/1577342487726.jpg"/>
    <s v="https://www.commcarehq.org/a/demo-18/api/form/attachment/d2e0ee70-1eee-47d2-95bc-2cada84fb63c/1577342510336.jpg"/>
    <s v="https://www.commcarehq.org/a/demo-18/api/form/attachment/d2e0ee70-1eee-47d2-95bc-2cada84fb63c/1577342551712.jpg"/>
    <s v="https://www.commcarehq.org/a/demo-18/api/form/attachment/d2e0ee70-1eee-47d2-95bc-2cada84fb63c/1577342563105.jpg"/>
    <s v="https://www.commcarehq.org/a/demo-18/api/form/attachment/d2e0ee70-1eee-47d2-95bc-2cada84fb63c/1577342579231.jpg"/>
    <s v="https://www.commcarehq.org/a/demo-18/api/form/attachment/d2e0ee70-1eee-47d2-95bc-2cada84fb63c/1577342590229.jpg"/>
    <d v="2019-12-26T06:43:12"/>
    <d v="2019-12-26T06:40:37"/>
    <s v="arnold"/>
    <d v="2019-12-26T06:51:40"/>
    <s v="d2e0ee70-1eee-47d2-95bc-2cada84fb63c"/>
    <s v="https://www.commcarehq.org/a/demo-18/reports/form_data/d2e0ee70-1eee-47d2-95bc-2cada84fb63c/"/>
  </r>
  <r>
    <x v="102"/>
    <n v="6.2"/>
    <d v="2020-01-29T00:00:00"/>
    <d v="2019-12-30T00:00:00"/>
    <s v="no"/>
    <s v="---"/>
    <s v="---"/>
    <x v="2"/>
    <s v="no"/>
    <s v="---"/>
    <s v="https://www.commcarehq.org/a/demo-18/api/form/attachment/aa62163c-734a-4785-8ff7-d8e16ece417e/1577686951871.jpg"/>
    <s v="https://www.commcarehq.org/a/demo-18/api/form/attachment/aa62163c-734a-4785-8ff7-d8e16ece417e/1577686977342.jpg"/>
    <s v="https://www.commcarehq.org/a/demo-18/api/form/attachment/aa62163c-734a-4785-8ff7-d8e16ece417e/1577687033356.jpg"/>
    <s v="https://www.commcarehq.org/a/demo-18/api/form/attachment/aa62163c-734a-4785-8ff7-d8e16ece417e/1577687044365.jpg"/>
    <s v="https://www.commcarehq.org/a/demo-18/api/form/attachment/aa62163c-734a-4785-8ff7-d8e16ece417e/1577687064387.jpg"/>
    <s v="https://www.commcarehq.org/a/demo-18/api/form/attachment/aa62163c-734a-4785-8ff7-d8e16ece417e/1577687078166.jpg"/>
    <d v="2019-12-30T06:24:40"/>
    <d v="2019-12-30T06:21:03"/>
    <s v="arnold"/>
    <d v="2019-12-31T04:30:51"/>
    <s v="aa62163c-734a-4785-8ff7-d8e16ece417e"/>
    <s v="https://www.commcarehq.org/a/demo-18/reports/form_data/aa62163c-734a-4785-8ff7-d8e16ece417e/"/>
  </r>
  <r>
    <x v="103"/>
    <n v="5.4"/>
    <d v="2020-01-25T00:00:00"/>
    <d v="2019-12-26T00:00:00"/>
    <s v="no"/>
    <s v="---"/>
    <s v="---"/>
    <x v="0"/>
    <s v="no"/>
    <s v="---"/>
    <s v="https://www.commcarehq.org/a/demo-18/api/form/attachment/8bd4c46b-5f18-4c8b-bddc-171672a4e7d0/1577346622335.jpg"/>
    <s v="https://www.commcarehq.org/a/demo-18/api/form/attachment/8bd4c46b-5f18-4c8b-bddc-171672a4e7d0/1577346651120.jpg"/>
    <s v="https://www.commcarehq.org/a/demo-18/api/form/attachment/8bd4c46b-5f18-4c8b-bddc-171672a4e7d0/1577346733608.jpg"/>
    <s v="https://www.commcarehq.org/a/demo-18/api/form/attachment/8bd4c46b-5f18-4c8b-bddc-171672a4e7d0/1577346745848.jpg"/>
    <s v="https://www.commcarehq.org/a/demo-18/api/form/attachment/8bd4c46b-5f18-4c8b-bddc-171672a4e7d0/1577346769582.jpg"/>
    <s v="https://www.commcarehq.org/a/demo-18/api/form/attachment/8bd4c46b-5f18-4c8b-bddc-171672a4e7d0/1577346780678.jpg"/>
    <d v="2019-12-26T07:53:03"/>
    <d v="2019-12-26T07:48:50"/>
    <s v="arnold"/>
    <d v="2019-12-26T18:12:11"/>
    <s v="8bd4c46b-5f18-4c8b-bddc-171672a4e7d0"/>
    <s v="https://www.commcarehq.org/a/demo-18/reports/form_data/8bd4c46b-5f18-4c8b-bddc-171672a4e7d0/"/>
  </r>
  <r>
    <x v="104"/>
    <n v="5.8"/>
    <d v="2020-01-26T00:00:00"/>
    <d v="2019-12-27T00:00:00"/>
    <s v="no"/>
    <s v="---"/>
    <s v="---"/>
    <x v="0"/>
    <s v="no"/>
    <s v="---"/>
    <s v="https://www.commcarehq.org/a/demo-18/api/form/attachment/3c6f625f-4fde-4f8a-a37d-e317b7b24575/1577436030822.jpg"/>
    <s v="https://www.commcarehq.org/a/demo-18/api/form/attachment/3c6f625f-4fde-4f8a-a37d-e317b7b24575/1577436060826.jpg"/>
    <s v="https://www.commcarehq.org/a/demo-18/api/form/attachment/3c6f625f-4fde-4f8a-a37d-e317b7b24575/1577436128635.jpg"/>
    <s v="https://www.commcarehq.org/a/demo-18/api/form/attachment/3c6f625f-4fde-4f8a-a37d-e317b7b24575/1577436138684.jpg"/>
    <s v="https://www.commcarehq.org/a/demo-18/api/form/attachment/3c6f625f-4fde-4f8a-a37d-e317b7b24575/1577436162341.jpg"/>
    <s v="https://www.commcarehq.org/a/demo-18/api/form/attachment/3c6f625f-4fde-4f8a-a37d-e317b7b24575/1577436172761.jpg"/>
    <d v="2019-12-27T08:42:54"/>
    <d v="2019-12-27T08:39:30"/>
    <s v="arnold"/>
    <d v="2019-12-27T15:35:38"/>
    <s v="3c6f625f-4fde-4f8a-a37d-e317b7b24575"/>
    <s v="https://www.commcarehq.org/a/demo-18/reports/form_data/3c6f625f-4fde-4f8a-a37d-e317b7b24575/"/>
  </r>
  <r>
    <x v="105"/>
    <n v="4.5"/>
    <d v="2020-02-05T00:00:00"/>
    <d v="2020-01-06T00:00:00"/>
    <s v="no"/>
    <s v="---"/>
    <s v="---"/>
    <x v="0"/>
    <s v="no"/>
    <s v="---"/>
    <s v="https://www.commcarehq.org/a/demo-18/api/form/attachment/9e96ba99-3689-4117-8bc3-5d3748d2937a/1578294579579.jpg"/>
    <s v="https://www.commcarehq.org/a/demo-18/api/form/attachment/9e96ba99-3689-4117-8bc3-5d3748d2937a/1578294596064.jpg"/>
    <s v="https://www.commcarehq.org/a/demo-18/api/form/attachment/9e96ba99-3689-4117-8bc3-5d3748d2937a/1578294655529.jpg"/>
    <s v="https://www.commcarehq.org/a/demo-18/api/form/attachment/9e96ba99-3689-4117-8bc3-5d3748d2937a/1578294664306.jpg"/>
    <s v="https://www.commcarehq.org/a/demo-18/api/form/attachment/9e96ba99-3689-4117-8bc3-5d3748d2937a/1578294676684.jpg"/>
    <s v="https://www.commcarehq.org/a/demo-18/api/form/attachment/9e96ba99-3689-4117-8bc3-5d3748d2937a/1578294684801.jpg"/>
    <d v="2020-01-06T07:11:27"/>
    <d v="2020-01-06T07:09:15"/>
    <s v="arnold"/>
    <d v="2020-01-06T07:13:39"/>
    <s v="9e96ba99-3689-4117-8bc3-5d3748d2937a"/>
    <s v="https://www.commcarehq.org/a/demo-18/reports/form_data/9e96ba99-3689-4117-8bc3-5d3748d2937a/"/>
  </r>
  <r>
    <x v="106"/>
    <n v="4.5"/>
    <d v="2020-02-05T00:00:00"/>
    <d v="2020-01-06T00:00:00"/>
    <s v="no"/>
    <s v="---"/>
    <s v="---"/>
    <x v="0"/>
    <s v="no"/>
    <s v="---"/>
    <s v="https://www.commcarehq.org/a/demo-18/api/form/attachment/0db193fe-dfdd-4874-a0cf-288fb6677bb0/1578296106207.jpg"/>
    <s v="https://www.commcarehq.org/a/demo-18/api/form/attachment/0db193fe-dfdd-4874-a0cf-288fb6677bb0/1578296128625.jpg"/>
    <s v="https://www.commcarehq.org/a/demo-18/api/form/attachment/0db193fe-dfdd-4874-a0cf-288fb6677bb0/1578296175483.jpg"/>
    <s v="https://www.commcarehq.org/a/demo-18/api/form/attachment/0db193fe-dfdd-4874-a0cf-288fb6677bb0/1578296185688.jpg"/>
    <s v="https://www.commcarehq.org/a/demo-18/api/form/attachment/0db193fe-dfdd-4874-a0cf-288fb6677bb0/1578296202646.jpg"/>
    <s v="https://www.commcarehq.org/a/demo-18/api/form/attachment/0db193fe-dfdd-4874-a0cf-288fb6677bb0/1578296211512.jpg"/>
    <d v="2020-01-06T07:36:53"/>
    <d v="2020-01-06T07:34:15"/>
    <s v="arnold"/>
    <d v="2020-01-06T07:37:10"/>
    <s v="0db193fe-dfdd-4874-a0cf-288fb6677bb0"/>
    <s v="https://www.commcarehq.org/a/demo-18/reports/form_data/0db193fe-dfdd-4874-a0cf-288fb6677bb0/"/>
  </r>
  <r>
    <x v="107"/>
    <n v="5.4"/>
    <d v="2020-02-05T00:00:00"/>
    <d v="2020-01-06T00:00:00"/>
    <s v="no"/>
    <s v="---"/>
    <s v="---"/>
    <x v="2"/>
    <s v="no"/>
    <s v="---"/>
    <s v="https://www.commcarehq.org/a/demo-18/api/form/attachment/17e06c08-8712-47e9-974f-939c33da4138/1578293829432.jpg"/>
    <s v="https://www.commcarehq.org/a/demo-18/api/form/attachment/17e06c08-8712-47e9-974f-939c33da4138/1578293850354.jpg"/>
    <s v="https://www.commcarehq.org/a/demo-18/api/form/attachment/17e06c08-8712-47e9-974f-939c33da4138/1578293904544.jpg"/>
    <s v="https://www.commcarehq.org/a/demo-18/api/form/attachment/17e06c08-8712-47e9-974f-939c33da4138/1578293933503.jpg"/>
    <s v="https://www.commcarehq.org/a/demo-18/api/form/attachment/17e06c08-8712-47e9-974f-939c33da4138/1578293947570.jpg"/>
    <s v="https://www.commcarehq.org/a/demo-18/api/form/attachment/17e06c08-8712-47e9-974f-939c33da4138/1578293958157.jpg"/>
    <d v="2020-01-06T06:59:20"/>
    <d v="2020-01-06T06:56:24"/>
    <s v="arnold"/>
    <d v="2020-01-06T07:13:04"/>
    <s v="17e06c08-8712-47e9-974f-939c33da4138"/>
    <s v="https://www.commcarehq.org/a/demo-18/reports/form_data/17e06c08-8712-47e9-974f-939c33da4138/"/>
  </r>
  <r>
    <x v="108"/>
    <n v="5.4"/>
    <d v="2020-02-08T00:00:00"/>
    <d v="2020-01-09T00:00:00"/>
    <s v="no"/>
    <s v="---"/>
    <s v="---"/>
    <x v="0"/>
    <s v="no"/>
    <s v="---"/>
    <s v="https://www.commcarehq.org/a/demo-18/api/form/attachment/f29d0b8c-c88b-45fc-a7ef-b30937cc0506/1578555712794.jpg"/>
    <s v="https://www.commcarehq.org/a/demo-18/api/form/attachment/f29d0b8c-c88b-45fc-a7ef-b30937cc0506/1578555739162.jpg"/>
    <s v="https://www.commcarehq.org/a/demo-18/api/form/attachment/f29d0b8c-c88b-45fc-a7ef-b30937cc0506/1578555803023.jpg"/>
    <s v="https://www.commcarehq.org/a/demo-18/api/form/attachment/f29d0b8c-c88b-45fc-a7ef-b30937cc0506/1578555813308.jpg"/>
    <s v="https://www.commcarehq.org/a/demo-18/api/form/attachment/f29d0b8c-c88b-45fc-a7ef-b30937cc0506/1578555834615.jpg"/>
    <s v="https://www.commcarehq.org/a/demo-18/api/form/attachment/f29d0b8c-c88b-45fc-a7ef-b30937cc0506/1578555850720.jpg"/>
    <d v="2020-01-09T07:44:12"/>
    <d v="2020-01-09T07:41:06"/>
    <s v="arnold"/>
    <d v="2020-01-09T07:44:28"/>
    <s v="f29d0b8c-c88b-45fc-a7ef-b30937cc0506"/>
    <s v="https://www.commcarehq.org/a/demo-18/reports/form_data/f29d0b8c-c88b-45fc-a7ef-b30937cc0506/"/>
  </r>
  <r>
    <x v="109"/>
    <m/>
    <m/>
    <m/>
    <m/>
    <m/>
    <m/>
    <x v="6"/>
    <m/>
    <m/>
    <m/>
    <m/>
    <m/>
    <m/>
    <m/>
    <m/>
    <m/>
    <m/>
    <m/>
    <m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">
  <r>
    <x v="0"/>
    <n v="5.2"/>
    <d v="2020-02-15T00:00:00"/>
    <d v="2020-01-16T00:00:00"/>
    <s v="no"/>
    <s v="---"/>
    <s v="---"/>
    <s v="---"/>
    <x v="0"/>
    <s v="no"/>
    <s v="---"/>
    <s v="https://www.commcarehq.org/a/demo-18/api/form/attachment/a2bea798-55ea-4892-b525-2634a9e29125/1579156174243.jpg"/>
    <s v="https://www.commcarehq.org/a/demo-18/api/form/attachment/a2bea798-55ea-4892-b525-2634a9e29125/1579156193505.jpg"/>
    <s v="https://www.commcarehq.org/a/demo-18/api/form/attachment/a2bea798-55ea-4892-b525-2634a9e29125/1579156257398.jpg"/>
    <s v="https://www.commcarehq.org/a/demo-18/api/form/attachment/a2bea798-55ea-4892-b525-2634a9e29125/1579156271368.jpg"/>
    <s v="https://www.commcarehq.org/a/demo-18/api/form/attachment/a2bea798-55ea-4892-b525-2634a9e29125/1579156288618.jpg"/>
    <s v="https://www.commcarehq.org/a/demo-18/api/form/attachment/a2bea798-55ea-4892-b525-2634a9e29125/1579156299896.jpg"/>
    <d v="2020-01-16T06:31:41"/>
    <d v="2020-01-16T06:28:57"/>
    <s v="arnold"/>
    <d v="2020-01-16T06:32:00"/>
    <s v="a2bea798-55ea-4892-b525-2634a9e29125"/>
    <s v="https://www.commcarehq.org/a/demo-18/reports/form_data/a2bea798-55ea-4892-b525-2634a9e29125/"/>
  </r>
  <r>
    <x v="1"/>
    <n v="5.8"/>
    <d v="2020-02-15T00:00:00"/>
    <d v="2020-01-16T00:00:00"/>
    <s v="no"/>
    <s v="---"/>
    <s v="---"/>
    <s v="---"/>
    <x v="0"/>
    <s v="no"/>
    <s v="---"/>
    <s v="https://www.commcarehq.org/a/demo-18/api/form/attachment/a00477f1-5978-4c04-b5f8-3bd0c32ca877/1579159869860.jpg"/>
    <s v="https://www.commcarehq.org/a/demo-18/api/form/attachment/a00477f1-5978-4c04-b5f8-3bd0c32ca877/1579159886038.jpg"/>
    <s v="https://www.commcarehq.org/a/demo-18/api/form/attachment/a00477f1-5978-4c04-b5f8-3bd0c32ca877/1579159923575.jpg"/>
    <s v="https://www.commcarehq.org/a/demo-18/api/form/attachment/a00477f1-5978-4c04-b5f8-3bd0c32ca877/1579159936205.jpg"/>
    <s v="https://www.commcarehq.org/a/demo-18/api/form/attachment/a00477f1-5978-4c04-b5f8-3bd0c32ca877/1579159954209.jpg"/>
    <s v="https://www.commcarehq.org/a/demo-18/api/form/attachment/a00477f1-5978-4c04-b5f8-3bd0c32ca877/1579159963571.jpg"/>
    <d v="2020-01-16T07:32:45"/>
    <d v="2020-01-16T07:30:27"/>
    <s v="arnold"/>
    <d v="2020-01-16T07:33:03"/>
    <s v="a00477f1-5978-4c04-b5f8-3bd0c32ca877"/>
    <s v="https://www.commcarehq.org/a/demo-18/reports/form_data/a00477f1-5978-4c04-b5f8-3bd0c32ca877/"/>
  </r>
  <r>
    <x v="2"/>
    <n v="5.2"/>
    <d v="2020-02-15T00:00:00"/>
    <d v="2020-01-16T00:00:00"/>
    <s v="no"/>
    <s v="---"/>
    <s v="---"/>
    <s v="---"/>
    <x v="0"/>
    <s v="no"/>
    <s v="---"/>
    <s v="https://www.commcarehq.org/a/demo-18/api/form/attachment/e9a4f8f7-6556-4185-b330-bfd763115162/1579157689433.jpg"/>
    <s v="https://www.commcarehq.org/a/demo-18/api/form/attachment/e9a4f8f7-6556-4185-b330-bfd763115162/1579157703817.jpg"/>
    <s v="https://www.commcarehq.org/a/demo-18/api/form/attachment/e9a4f8f7-6556-4185-b330-bfd763115162/1579157767849.jpg"/>
    <s v="https://www.commcarehq.org/a/demo-18/api/form/attachment/e9a4f8f7-6556-4185-b330-bfd763115162/1579157778980.jpg"/>
    <s v="https://www.commcarehq.org/a/demo-18/api/form/attachment/e9a4f8f7-6556-4185-b330-bfd763115162/1579157799159.jpg"/>
    <s v="https://www.commcarehq.org/a/demo-18/api/form/attachment/e9a4f8f7-6556-4185-b330-bfd763115162/1579157810055.jpg"/>
    <d v="2020-01-16T06:56:52"/>
    <d v="2020-01-16T06:54:23"/>
    <s v="arnold"/>
    <d v="2020-01-16T06:57:19"/>
    <s v="e9a4f8f7-6556-4185-b330-bfd763115162"/>
    <s v="https://www.commcarehq.org/a/demo-18/reports/form_data/e9a4f8f7-6556-4185-b330-bfd763115162/"/>
  </r>
  <r>
    <x v="3"/>
    <n v="7.2"/>
    <d v="2020-03-04T00:00:00"/>
    <d v="2020-02-03T00:00:00"/>
    <s v="no"/>
    <s v="---"/>
    <s v="---"/>
    <s v="---"/>
    <x v="0"/>
    <s v="no"/>
    <s v="---"/>
    <s v="https://www.commcarehq.org/a/demo-18/api/form/attachment/ee226d38-e52f-4d9d-814a-b18803a3233d/1580712820818.jpg"/>
    <s v="https://www.commcarehq.org/a/demo-18/api/form/attachment/ee226d38-e52f-4d9d-814a-b18803a3233d/1580712837954.jpg"/>
    <s v="https://www.commcarehq.org/a/demo-18/api/form/attachment/ee226d38-e52f-4d9d-814a-b18803a3233d/1580712877659.jpg"/>
    <s v="https://www.commcarehq.org/a/demo-18/api/form/attachment/ee226d38-e52f-4d9d-814a-b18803a3233d/1580712888099.jpg"/>
    <s v="https://www.commcarehq.org/a/demo-18/api/form/attachment/ee226d38-e52f-4d9d-814a-b18803a3233d/1580712901787.jpg"/>
    <s v="https://www.commcarehq.org/a/demo-18/api/form/attachment/ee226d38-e52f-4d9d-814a-b18803a3233d/1580712912544.jpg"/>
    <d v="2020-02-03T06:55:16"/>
    <d v="2020-02-03T06:52:21"/>
    <s v="arnold"/>
    <d v="2020-02-03T06:55:35"/>
    <s v="ee226d38-e52f-4d9d-814a-b18803a3233d"/>
    <s v="https://www.commcarehq.org/a/demo-18/reports/form_data/ee226d38-e52f-4d9d-814a-b18803a3233d/"/>
  </r>
  <r>
    <x v="4"/>
    <n v="5"/>
    <d v="2020-03-04T00:00:00"/>
    <d v="2020-02-03T00:00:00"/>
    <s v="no"/>
    <s v="---"/>
    <s v="---"/>
    <s v="---"/>
    <x v="1"/>
    <s v="no"/>
    <s v="---"/>
    <s v="https://www.commcarehq.org/a/demo-18/api/form/attachment/09b785a1-c97f-4563-9068-d3cb729e8cf1/1580713180520.jpg"/>
    <s v="https://www.commcarehq.org/a/demo-18/api/form/attachment/09b785a1-c97f-4563-9068-d3cb729e8cf1/1580713201261.jpg"/>
    <s v="https://www.commcarehq.org/a/demo-18/api/form/attachment/09b785a1-c97f-4563-9068-d3cb729e8cf1/1580713249880.jpg"/>
    <s v="https://www.commcarehq.org/a/demo-18/api/form/attachment/09b785a1-c97f-4563-9068-d3cb729e8cf1/1580713259723.jpg"/>
    <s v="https://www.commcarehq.org/a/demo-18/api/form/attachment/09b785a1-c97f-4563-9068-d3cb729e8cf1/1580713273101.jpg"/>
    <s v="https://www.commcarehq.org/a/demo-18/api/form/attachment/09b785a1-c97f-4563-9068-d3cb729e8cf1/1580713282634.jpg"/>
    <d v="2020-02-03T07:01:24"/>
    <d v="2020-02-03T06:58:59"/>
    <s v="arnold"/>
    <d v="2020-02-03T07:01:45"/>
    <s v="09b785a1-c97f-4563-9068-d3cb729e8cf1"/>
    <s v="https://www.commcarehq.org/a/demo-18/reports/form_data/09b785a1-c97f-4563-9068-d3cb729e8cf1/"/>
  </r>
  <r>
    <x v="5"/>
    <n v="5.4"/>
    <d v="2020-02-23T00:00:00"/>
    <d v="2020-01-24T00:00:00"/>
    <s v="no"/>
    <s v="---"/>
    <s v="---"/>
    <s v="---"/>
    <x v="0"/>
    <s v="no"/>
    <s v="---"/>
    <s v="https://www.commcarehq.org/a/demo-18/api/form/attachment/617830de-52a8-45da-a1ed-de9e02c34168/1579847775343.jpg"/>
    <s v="https://www.commcarehq.org/a/demo-18/api/form/attachment/617830de-52a8-45da-a1ed-de9e02c34168/1579847795427.jpg"/>
    <s v="https://www.commcarehq.org/a/demo-18/api/form/attachment/617830de-52a8-45da-a1ed-de9e02c34168/1579847846534.jpg"/>
    <s v="https://www.commcarehq.org/a/demo-18/api/form/attachment/617830de-52a8-45da-a1ed-de9e02c34168/1579847858353.jpg"/>
    <s v="https://www.commcarehq.org/a/demo-18/api/form/attachment/617830de-52a8-45da-a1ed-de9e02c34168/1579847876947.jpg"/>
    <s v="https://www.commcarehq.org/a/demo-18/api/form/attachment/617830de-52a8-45da-a1ed-de9e02c34168/1579847888471.jpg"/>
    <d v="2020-01-24T06:38:11"/>
    <d v="2020-01-24T06:35:24"/>
    <s v="arnold"/>
    <d v="2020-01-24T06:38:28"/>
    <s v="617830de-52a8-45da-a1ed-de9e02c34168"/>
    <s v="https://www.commcarehq.org/a/demo-18/reports/form_data/617830de-52a8-45da-a1ed-de9e02c34168/"/>
  </r>
  <r>
    <x v="6"/>
    <n v="5.4"/>
    <d v="2020-02-22T00:00:00"/>
    <d v="2020-01-23T00:00:00"/>
    <s v="no"/>
    <s v="---"/>
    <s v="---"/>
    <s v="---"/>
    <x v="1"/>
    <s v="no"/>
    <s v="---"/>
    <s v="https://www.commcarehq.org/a/demo-18/api/form/attachment/65869ff5-9346-4689-94a4-288bd80ede80/1579761848925.jpg"/>
    <s v="https://www.commcarehq.org/a/demo-18/api/form/attachment/65869ff5-9346-4689-94a4-288bd80ede80/1579761872366.jpg"/>
    <s v="https://www.commcarehq.org/a/demo-18/api/form/attachment/65869ff5-9346-4689-94a4-288bd80ede80/1579761936057.jpg"/>
    <s v="https://www.commcarehq.org/a/demo-18/api/form/attachment/65869ff5-9346-4689-94a4-288bd80ede80/1579761945003.jpg"/>
    <s v="https://www.commcarehq.org/a/demo-18/api/form/attachment/65869ff5-9346-4689-94a4-288bd80ede80/1579761961408.jpg"/>
    <s v="https://www.commcarehq.org/a/demo-18/api/form/attachment/65869ff5-9346-4689-94a4-288bd80ede80/1579761972116.jpg"/>
    <d v="2020-01-23T06:46:16"/>
    <d v="2020-01-23T06:42:41"/>
    <s v="arnold"/>
    <d v="2020-01-23T08:34:25"/>
    <s v="65869ff5-9346-4689-94a4-288bd80ede80"/>
    <s v="https://www.commcarehq.org/a/demo-18/reports/form_data/65869ff5-9346-4689-94a4-288bd80ede80/"/>
  </r>
  <r>
    <x v="7"/>
    <n v="5.5"/>
    <d v="2020-02-22T00:00:00"/>
    <d v="2020-01-23T00:00:00"/>
    <s v="no"/>
    <s v="---"/>
    <s v="---"/>
    <s v="---"/>
    <x v="1"/>
    <s v="no"/>
    <s v="---"/>
    <s v="https://www.commcarehq.org/a/demo-18/api/form/attachment/141d899c-2a58-4075-8c84-2869f02a570d/1579765291697.jpg"/>
    <s v="https://www.commcarehq.org/a/demo-18/api/form/attachment/141d899c-2a58-4075-8c84-2869f02a570d/1579765305257.jpg"/>
    <s v="https://www.commcarehq.org/a/demo-18/api/form/attachment/141d899c-2a58-4075-8c84-2869f02a570d/1579765362434.jpg"/>
    <s v="https://www.commcarehq.org/a/demo-18/api/form/attachment/141d899c-2a58-4075-8c84-2869f02a570d/1579765373642.jpg"/>
    <s v="https://www.commcarehq.org/a/demo-18/api/form/attachment/141d899c-2a58-4075-8c84-2869f02a570d/1579765386580.jpg"/>
    <s v="https://www.commcarehq.org/a/demo-18/api/form/attachment/141d899c-2a58-4075-8c84-2869f02a570d/1579765395535.jpg"/>
    <d v="2020-01-23T07:43:20"/>
    <d v="2020-01-23T07:41:04"/>
    <s v="arnold"/>
    <d v="2020-01-23T08:37:46"/>
    <s v="141d899c-2a58-4075-8c84-2869f02a570d"/>
    <s v="https://www.commcarehq.org/a/demo-18/reports/form_data/141d899c-2a58-4075-8c84-2869f02a570d/"/>
  </r>
  <r>
    <x v="8"/>
    <n v="4.9000000000000004"/>
    <d v="2020-02-22T00:00:00"/>
    <d v="2020-01-23T00:00:00"/>
    <s v="no"/>
    <s v="---"/>
    <s v="---"/>
    <s v="---"/>
    <x v="1"/>
    <s v="no"/>
    <s v="---"/>
    <s v="https://www.commcarehq.org/a/demo-18/api/form/attachment/759610cb-49dd-4f81-8862-cff100c7e145/1579764880676.jpg"/>
    <s v="https://www.commcarehq.org/a/demo-18/api/form/attachment/759610cb-49dd-4f81-8862-cff100c7e145/1579764896089.jpg"/>
    <s v="https://www.commcarehq.org/a/demo-18/api/form/attachment/759610cb-49dd-4f81-8862-cff100c7e145/1579764966360.jpg"/>
    <s v="https://www.commcarehq.org/a/demo-18/api/form/attachment/759610cb-49dd-4f81-8862-cff100c7e145/1579764975222.jpg"/>
    <s v="https://www.commcarehq.org/a/demo-18/api/form/attachment/759610cb-49dd-4f81-8862-cff100c7e145/1579765005401.jpg"/>
    <s v="https://www.commcarehq.org/a/demo-18/api/form/attachment/759610cb-49dd-4f81-8862-cff100c7e145/1579765016009.jpg"/>
    <d v="2020-01-23T07:36:57"/>
    <d v="2020-01-23T07:34:17"/>
    <s v="arnold"/>
    <d v="2020-01-23T08:37:27"/>
    <s v="759610cb-49dd-4f81-8862-cff100c7e145"/>
    <s v="https://www.commcarehq.org/a/demo-18/reports/form_data/759610cb-49dd-4f81-8862-cff100c7e145/"/>
  </r>
  <r>
    <x v="9"/>
    <n v="5.6"/>
    <d v="2020-02-22T00:00:00"/>
    <d v="2020-01-23T00:00:00"/>
    <s v="no"/>
    <s v="---"/>
    <s v="---"/>
    <s v="---"/>
    <x v="1"/>
    <s v="no"/>
    <s v="---"/>
    <s v="https://www.commcarehq.org/a/demo-18/api/form/attachment/0872be31-aed2-437c-916f-dd41d3a05135/1579764496382.jpg"/>
    <s v="https://www.commcarehq.org/a/demo-18/api/form/attachment/0872be31-aed2-437c-916f-dd41d3a05135/1579764516526.jpg"/>
    <s v="https://www.commcarehq.org/a/demo-18/api/form/attachment/0872be31-aed2-437c-916f-dd41d3a05135/1579764601550.jpg"/>
    <s v="https://www.commcarehq.org/a/demo-18/api/form/attachment/0872be31-aed2-437c-916f-dd41d3a05135/1579764609794.jpg"/>
    <s v="https://www.commcarehq.org/a/demo-18/api/form/attachment/0872be31-aed2-437c-916f-dd41d3a05135/1579764631055.jpg"/>
    <s v="https://www.commcarehq.org/a/demo-18/api/form/attachment/0872be31-aed2-437c-916f-dd41d3a05135/1579764640440.jpg"/>
    <d v="2020-01-23T07:30:42"/>
    <d v="2020-01-23T07:27:37"/>
    <s v="arnold"/>
    <d v="2020-01-23T08:37:07"/>
    <s v="0872be31-aed2-437c-916f-dd41d3a05135"/>
    <s v="https://www.commcarehq.org/a/demo-18/reports/form_data/0872be31-aed2-437c-916f-dd41d3a05135/"/>
  </r>
  <r>
    <x v="10"/>
    <n v="6.3"/>
    <d v="2020-02-26T00:00:00"/>
    <d v="2020-01-27T00:00:00"/>
    <s v="no"/>
    <s v="---"/>
    <s v="---"/>
    <s v="---"/>
    <x v="0"/>
    <s v="no"/>
    <s v="---"/>
    <s v="https://www.commcarehq.org/a/demo-18/api/form/attachment/49fc8f44-48b2-408f-83d7-c4f671c8e27c/1580106634156.jpg"/>
    <s v="https://www.commcarehq.org/a/demo-18/api/form/attachment/49fc8f44-48b2-408f-83d7-c4f671c8e27c/1580106647122.jpg"/>
    <s v="https://www.commcarehq.org/a/demo-18/api/form/attachment/49fc8f44-48b2-408f-83d7-c4f671c8e27c/1580106680977.jpg"/>
    <s v="https://www.commcarehq.org/a/demo-18/api/form/attachment/49fc8f44-48b2-408f-83d7-c4f671c8e27c/1580106691040.jpg"/>
    <s v="https://www.commcarehq.org/a/demo-18/api/form/attachment/49fc8f44-48b2-408f-83d7-c4f671c8e27c/1580106709672.jpg"/>
    <s v="https://www.commcarehq.org/a/demo-18/api/form/attachment/49fc8f44-48b2-408f-83d7-c4f671c8e27c/1580106731996.jpg"/>
    <d v="2020-01-27T06:32:14"/>
    <d v="2020-01-27T06:30:00"/>
    <s v="arnold"/>
    <d v="2020-01-27T06:32:33"/>
    <s v="49fc8f44-48b2-408f-83d7-c4f671c8e27c"/>
    <s v="https://www.commcarehq.org/a/demo-18/reports/form_data/49fc8f44-48b2-408f-83d7-c4f671c8e27c/"/>
  </r>
  <r>
    <x v="11"/>
    <n v="6.9"/>
    <d v="2020-03-11T00:00:00"/>
    <d v="2020-02-10T00:00:00"/>
    <s v="no"/>
    <s v="---"/>
    <s v="---"/>
    <s v="---"/>
    <x v="1"/>
    <s v="no"/>
    <s v="---"/>
    <s v="https://www.commcarehq.org/a/demo-18/api/form/attachment/5ff78580-e8c9-424f-bc64-912230d44e28/1581321214409.jpg"/>
    <s v="https://www.commcarehq.org/a/demo-18/api/form/attachment/5ff78580-e8c9-424f-bc64-912230d44e28/1581321231774.jpg"/>
    <s v="https://www.commcarehq.org/a/demo-18/api/form/attachment/5ff78580-e8c9-424f-bc64-912230d44e28/1581321268573.jpg"/>
    <s v="https://www.commcarehq.org/a/demo-18/api/form/attachment/5ff78580-e8c9-424f-bc64-912230d44e28/1581321277137.jpg"/>
    <s v="https://www.commcarehq.org/a/demo-18/api/form/attachment/5ff78580-e8c9-424f-bc64-912230d44e28/1581321300365.jpg"/>
    <s v="https://www.commcarehq.org/a/demo-18/api/form/attachment/5ff78580-e8c9-424f-bc64-912230d44e28/1581321311270.jpg"/>
    <d v="2020-02-10T07:55:17"/>
    <d v="2020-02-10T07:51:31"/>
    <s v="arnold"/>
    <d v="2020-02-10T07:57:03"/>
    <s v="5ff78580-e8c9-424f-bc64-912230d44e28"/>
    <s v="https://www.commcarehq.org/a/demo-18/reports/form_data/5ff78580-e8c9-424f-bc64-912230d44e28/"/>
  </r>
  <r>
    <x v="12"/>
    <n v="6.7"/>
    <d v="2020-03-14T00:00:00"/>
    <d v="2020-02-13T00:00:00"/>
    <s v="no"/>
    <s v="---"/>
    <s v="---"/>
    <s v="---"/>
    <x v="0"/>
    <s v="no"/>
    <s v="---"/>
    <s v="https://www.commcarehq.org/a/demo-18/api/form/attachment/e3e0933f-1c68-4773-b6ee-1ab1072204b1/1581578362285.jpg"/>
    <s v="https://www.commcarehq.org/a/demo-18/api/form/attachment/e3e0933f-1c68-4773-b6ee-1ab1072204b1/1581578377128.jpg"/>
    <s v="https://www.commcarehq.org/a/demo-18/api/form/attachment/e3e0933f-1c68-4773-b6ee-1ab1072204b1/1581578460839.jpg"/>
    <s v="https://www.commcarehq.org/a/demo-18/api/form/attachment/e3e0933f-1c68-4773-b6ee-1ab1072204b1/1581578470591.jpg"/>
    <s v="https://www.commcarehq.org/a/demo-18/api/form/attachment/e3e0933f-1c68-4773-b6ee-1ab1072204b1/1581578539626.jpg"/>
    <s v="https://www.commcarehq.org/a/demo-18/api/form/attachment/e3e0933f-1c68-4773-b6ee-1ab1072204b1/1581578548753.jpg"/>
    <d v="2020-02-13T07:22:30"/>
    <d v="2020-02-13T07:16:40"/>
    <s v="arnold"/>
    <d v="2020-02-13T07:22:52"/>
    <s v="e3e0933f-1c68-4773-b6ee-1ab1072204b1"/>
    <s v="https://www.commcarehq.org/a/demo-18/reports/form_data/e3e0933f-1c68-4773-b6ee-1ab1072204b1/"/>
  </r>
  <r>
    <x v="13"/>
    <n v="6.8"/>
    <d v="2020-03-18T00:00:00"/>
    <d v="2020-02-17T00:00:00"/>
    <s v="no"/>
    <s v="---"/>
    <s v="---"/>
    <s v="---"/>
    <x v="0"/>
    <s v="no"/>
    <s v="---"/>
    <s v="https://www.commcarehq.org/a/demo-18/api/form/attachment/5681fc41-2390-43a3-be4d-5eecea4555ca/1581922696985.jpg"/>
    <s v="https://www.commcarehq.org/a/demo-18/api/form/attachment/5681fc41-2390-43a3-be4d-5eecea4555ca/1581922711137.jpg"/>
    <s v="https://www.commcarehq.org/a/demo-18/api/form/attachment/5681fc41-2390-43a3-be4d-5eecea4555ca/1581922777200.jpg"/>
    <s v="https://www.commcarehq.org/a/demo-18/api/form/attachment/5681fc41-2390-43a3-be4d-5eecea4555ca/1581922785729.jpg"/>
    <s v="https://www.commcarehq.org/a/demo-18/api/form/attachment/5681fc41-2390-43a3-be4d-5eecea4555ca/1581922812720.jpg"/>
    <s v="https://www.commcarehq.org/a/demo-18/api/form/attachment/5681fc41-2390-43a3-be4d-5eecea4555ca/1581922820999.jpg"/>
    <d v="2020-02-17T07:00:22"/>
    <d v="2020-02-17T06:57:24"/>
    <s v="arnold"/>
    <d v="2020-02-17T07:00:42"/>
    <s v="5681fc41-2390-43a3-be4d-5eecea4555ca"/>
    <s v="https://www.commcarehq.org/a/demo-18/reports/form_data/5681fc41-2390-43a3-be4d-5eecea4555ca/"/>
  </r>
  <r>
    <x v="14"/>
    <n v="5.8"/>
    <d v="2020-03-21T00:00:00"/>
    <d v="2020-02-20T00:00:00"/>
    <s v="no"/>
    <s v="---"/>
    <s v="---"/>
    <s v="---"/>
    <x v="0"/>
    <s v="no"/>
    <s v="---"/>
    <s v="https://www.commcarehq.org/a/demo-18/api/form/attachment/10561c9d-d95e-42e3-8d47-b0cfa65f96ba/1582183456185.jpg"/>
    <s v="https://www.commcarehq.org/a/demo-18/api/form/attachment/10561c9d-d95e-42e3-8d47-b0cfa65f96ba/1582183471651.jpg"/>
    <s v="https://www.commcarehq.org/a/demo-18/api/form/attachment/10561c9d-d95e-42e3-8d47-b0cfa65f96ba/1582183545417.jpg"/>
    <s v="https://www.commcarehq.org/a/demo-18/api/form/attachment/10561c9d-d95e-42e3-8d47-b0cfa65f96ba/1582183560766.jpg"/>
    <s v="https://www.commcarehq.org/a/demo-18/api/form/attachment/10561c9d-d95e-42e3-8d47-b0cfa65f96ba/1582183581414.jpg"/>
    <s v="https://www.commcarehq.org/a/demo-18/api/form/attachment/10561c9d-d95e-42e3-8d47-b0cfa65f96ba/1582183590467.jpg"/>
    <d v="2020-02-20T07:26:32"/>
    <d v="2020-02-20T07:23:37"/>
    <s v="arnold"/>
    <d v="2020-02-20T07:26:53"/>
    <s v="10561c9d-d95e-42e3-8d47-b0cfa65f96ba"/>
    <s v="https://www.commcarehq.org/a/demo-18/reports/form_data/10561c9d-d95e-42e3-8d47-b0cfa65f96ba/"/>
  </r>
  <r>
    <x v="15"/>
    <n v="5.9"/>
    <d v="2020-03-21T00:00:00"/>
    <d v="2020-02-20T00:00:00"/>
    <s v="no"/>
    <s v="---"/>
    <s v="---"/>
    <s v="---"/>
    <x v="1"/>
    <s v="no"/>
    <s v="---"/>
    <s v="https://www.commcarehq.org/a/demo-18/api/form/attachment/091ac47c-fd29-483c-83c5-d020e2040582/1582191421697.jpg"/>
    <s v="https://www.commcarehq.org/a/demo-18/api/form/attachment/091ac47c-fd29-483c-83c5-d020e2040582/1582191438140.jpg"/>
    <s v="https://www.commcarehq.org/a/demo-18/api/form/attachment/091ac47c-fd29-483c-83c5-d020e2040582/1582191471957.jpg"/>
    <s v="https://www.commcarehq.org/a/demo-18/api/form/attachment/091ac47c-fd29-483c-83c5-d020e2040582/1582191480864.jpg"/>
    <s v="https://www.commcarehq.org/a/demo-18/api/form/attachment/091ac47c-fd29-483c-83c5-d020e2040582/1582191499210.jpg"/>
    <s v="https://www.commcarehq.org/a/demo-18/api/form/attachment/091ac47c-fd29-483c-83c5-d020e2040582/1582191508858.jpg"/>
    <d v="2020-02-20T09:38:33"/>
    <d v="2020-02-20T09:36:17"/>
    <s v="arnold"/>
    <d v="2020-02-20T09:38:59"/>
    <s v="091ac47c-fd29-483c-83c5-d020e2040582"/>
    <s v="https://www.commcarehq.org/a/demo-18/reports/form_data/091ac47c-fd29-483c-83c5-d020e2040582/"/>
  </r>
  <r>
    <x v="16"/>
    <n v="7"/>
    <d v="2020-03-21T00:00:00"/>
    <d v="2020-02-20T00:00:00"/>
    <s v="no"/>
    <s v="---"/>
    <s v="---"/>
    <s v="---"/>
    <x v="1"/>
    <s v="no"/>
    <s v="---"/>
    <s v="https://www.commcarehq.org/a/demo-18/api/form/attachment/630af412-478d-415b-9470-25563d6a09af/1582191711984.jpg"/>
    <s v="https://www.commcarehq.org/a/demo-18/api/form/attachment/630af412-478d-415b-9470-25563d6a09af/1582191726915.jpg"/>
    <s v="https://www.commcarehq.org/a/demo-18/api/form/attachment/630af412-478d-415b-9470-25563d6a09af/1582191784693.jpg"/>
    <s v="https://www.commcarehq.org/a/demo-18/api/form/attachment/630af412-478d-415b-9470-25563d6a09af/1582191795419.jpg"/>
    <s v="https://www.commcarehq.org/a/demo-18/api/form/attachment/630af412-478d-415b-9470-25563d6a09af/1582191817933.jpg"/>
    <s v="https://www.commcarehq.org/a/demo-18/api/form/attachment/630af412-478d-415b-9470-25563d6a09af/1582191834205.jpg"/>
    <d v="2020-02-20T09:43:55"/>
    <d v="2020-02-20T09:41:00"/>
    <s v="arnold"/>
    <d v="2020-02-20T09:44:13"/>
    <s v="630af412-478d-415b-9470-25563d6a09af"/>
    <s v="https://www.commcarehq.org/a/demo-18/reports/form_data/630af412-478d-415b-9470-25563d6a09af/"/>
  </r>
  <r>
    <x v="17"/>
    <n v="4.5"/>
    <d v="2020-03-15T00:00:00"/>
    <d v="2020-02-14T00:00:00"/>
    <s v="no"/>
    <s v="---"/>
    <s v="---"/>
    <s v="---"/>
    <x v="0"/>
    <s v="no"/>
    <s v="---"/>
    <s v="https://www.commcarehq.org/a/demo-18/api/form/attachment/b898e8fe-c20b-43d1-9f2b-8baae8d9f87c/1581665332951.jpg"/>
    <s v="https://www.commcarehq.org/a/demo-18/api/form/attachment/b898e8fe-c20b-43d1-9f2b-8baae8d9f87c/1581665349939.jpg"/>
    <s v="https://www.commcarehq.org/a/demo-18/api/form/attachment/b898e8fe-c20b-43d1-9f2b-8baae8d9f87c/1581665431851.jpg"/>
    <s v="https://www.commcarehq.org/a/demo-18/api/form/attachment/b898e8fe-c20b-43d1-9f2b-8baae8d9f87c/1581665445773.jpg"/>
    <s v="https://www.commcarehq.org/a/demo-18/api/form/attachment/b898e8fe-c20b-43d1-9f2b-8baae8d9f87c/1581665469463.jpg"/>
    <s v="https://www.commcarehq.org/a/demo-18/api/form/attachment/b898e8fe-c20b-43d1-9f2b-8baae8d9f87c/1581665479550.jpg"/>
    <d v="2020-02-14T07:31:21"/>
    <d v="2020-02-14T07:27:47"/>
    <s v="arnold"/>
    <d v="2020-02-14T07:31:42"/>
    <s v="b898e8fe-c20b-43d1-9f2b-8baae8d9f87c"/>
    <s v="https://www.commcarehq.org/a/demo-18/reports/form_data/b898e8fe-c20b-43d1-9f2b-8baae8d9f87c/"/>
  </r>
  <r>
    <x v="18"/>
    <n v="5.8"/>
    <d v="2020-03-11T00:00:00"/>
    <d v="2020-02-10T00:00:00"/>
    <s v="no"/>
    <s v="---"/>
    <s v="---"/>
    <s v="---"/>
    <x v="0"/>
    <s v="no"/>
    <s v="---"/>
    <s v="https://www.commcarehq.org/a/demo-18/api/form/attachment/28493741-5b35-4585-9362-640a0f6702f0/1581316055207.jpg"/>
    <s v="https://www.commcarehq.org/a/demo-18/api/form/attachment/28493741-5b35-4585-9362-640a0f6702f0/1581316073883.jpg"/>
    <s v="https://www.commcarehq.org/a/demo-18/api/form/attachment/28493741-5b35-4585-9362-640a0f6702f0/1581316108193.jpg"/>
    <s v="https://www.commcarehq.org/a/demo-18/api/form/attachment/28493741-5b35-4585-9362-640a0f6702f0/1581316117473.jpg"/>
    <s v="https://www.commcarehq.org/a/demo-18/api/form/attachment/28493741-5b35-4585-9362-640a0f6702f0/1581316130336.jpg"/>
    <s v="https://www.commcarehq.org/a/demo-18/api/form/attachment/28493741-5b35-4585-9362-640a0f6702f0/1581316139725.jpg"/>
    <d v="2020-02-10T06:29:01"/>
    <d v="2020-02-10T06:26:49"/>
    <s v="arnold"/>
    <d v="2020-02-10T06:29:27"/>
    <s v="28493741-5b35-4585-9362-640a0f6702f0"/>
    <s v="https://www.commcarehq.org/a/demo-18/reports/form_data/28493741-5b35-4585-9362-640a0f6702f0/"/>
  </r>
  <r>
    <x v="19"/>
    <n v="5.5"/>
    <d v="2020-03-07T00:00:00"/>
    <d v="2020-02-06T00:00:00"/>
    <s v="no"/>
    <s v="---"/>
    <s v="---"/>
    <s v="---"/>
    <x v="1"/>
    <s v="no"/>
    <s v="---"/>
    <s v="https://www.commcarehq.org/a/demo-18/api/form/attachment/0ac56b1b-92bd-4275-8878-b73976d5da1f/1580968888077.jpg"/>
    <s v="https://www.commcarehq.org/a/demo-18/api/form/attachment/0ac56b1b-92bd-4275-8878-b73976d5da1f/1580968906511.jpg"/>
    <s v="https://www.commcarehq.org/a/demo-18/api/form/attachment/0ac56b1b-92bd-4275-8878-b73976d5da1f/1580968949323.jpg"/>
    <s v="https://www.commcarehq.org/a/demo-18/api/form/attachment/0ac56b1b-92bd-4275-8878-b73976d5da1f/1580968958841.jpg"/>
    <s v="https://www.commcarehq.org/a/demo-18/api/form/attachment/0ac56b1b-92bd-4275-8878-b73976d5da1f/1580968971526.jpg"/>
    <s v="https://www.commcarehq.org/a/demo-18/api/form/attachment/0ac56b1b-92bd-4275-8878-b73976d5da1f/1580968980828.jpg"/>
    <d v="2020-02-06T06:03:02"/>
    <d v="2020-02-06T06:00:55"/>
    <s v="arnold"/>
    <d v="2020-02-06T06:03:20"/>
    <s v="0ac56b1b-92bd-4275-8878-b73976d5da1f"/>
    <s v="https://www.commcarehq.org/a/demo-18/reports/form_data/0ac56b1b-92bd-4275-8878-b73976d5da1f/"/>
  </r>
  <r>
    <x v="20"/>
    <n v="6.4"/>
    <d v="2020-02-19T00:00:00"/>
    <d v="2020-01-20T00:00:00"/>
    <s v="no"/>
    <s v="---"/>
    <s v="---"/>
    <s v="---"/>
    <x v="1"/>
    <s v="no"/>
    <s v="---"/>
    <m/>
    <s v="https://www.commcarehq.org/a/demo-18/api/form/attachment/bc747d5e-3e45-4699-94d2-44051fdc0266/1579505803586.jpg"/>
    <s v="https://www.commcarehq.org/a/demo-18/api/form/attachment/bc747d5e-3e45-4699-94d2-44051fdc0266/1579505991004.jpg"/>
    <s v="https://www.commcarehq.org/a/demo-18/api/form/attachment/bc747d5e-3e45-4699-94d2-44051fdc0266/1579506001285.jpg"/>
    <s v="https://www.commcarehq.org/a/demo-18/api/form/attachment/bc747d5e-3e45-4699-94d2-44051fdc0266/1579506014666.jpg"/>
    <s v="https://www.commcarehq.org/a/demo-18/api/form/attachment/bc747d5e-3e45-4699-94d2-44051fdc0266/1579506025922.jpg"/>
    <d v="2020-01-20T07:40:27"/>
    <d v="2020-01-20T07:35:46"/>
    <s v="arnold"/>
    <d v="2020-01-20T07:40:52"/>
    <s v="bc747d5e-3e45-4699-94d2-44051fdc0266"/>
    <s v="https://www.commcarehq.org/a/demo-18/reports/form_data/bc747d5e-3e45-4699-94d2-44051fdc0266/"/>
  </r>
  <r>
    <x v="21"/>
    <n v="6.2"/>
    <d v="2020-02-19T00:00:00"/>
    <d v="2020-01-20T00:00:00"/>
    <s v="no"/>
    <s v="---"/>
    <s v="---"/>
    <s v="---"/>
    <x v="1"/>
    <s v="no"/>
    <s v="---"/>
    <s v="https://www.commcarehq.org/a/demo-18/api/form/attachment/6666d85e-9f74-4e07-8ab2-4f5116139c47/1579503385252.jpg"/>
    <s v="https://www.commcarehq.org/a/demo-18/api/form/attachment/6666d85e-9f74-4e07-8ab2-4f5116139c47/1579503398887.jpg"/>
    <s v="https://www.commcarehq.org/a/demo-18/api/form/attachment/6666d85e-9f74-4e07-8ab2-4f5116139c47/1579503443390.jpg"/>
    <s v="https://www.commcarehq.org/a/demo-18/api/form/attachment/6666d85e-9f74-4e07-8ab2-4f5116139c47/1579503453942.jpg"/>
    <s v="https://www.commcarehq.org/a/demo-18/api/form/attachment/6666d85e-9f74-4e07-8ab2-4f5116139c47/1579503468315.jpg"/>
    <s v="https://www.commcarehq.org/a/demo-18/api/form/attachment/6666d85e-9f74-4e07-8ab2-4f5116139c47/1579503479153.jpg"/>
    <d v="2020-01-20T06:58:01"/>
    <d v="2020-01-20T06:55:29"/>
    <s v="arnold"/>
    <d v="2020-01-20T06:58:17"/>
    <s v="6666d85e-9f74-4e07-8ab2-4f5116139c47"/>
    <s v="https://www.commcarehq.org/a/demo-18/reports/form_data/6666d85e-9f74-4e07-8ab2-4f5116139c47/"/>
  </r>
  <r>
    <x v="22"/>
    <n v="5.6"/>
    <d v="2020-02-19T00:00:00"/>
    <d v="2020-01-20T00:00:00"/>
    <s v="no"/>
    <s v="---"/>
    <s v="---"/>
    <s v="---"/>
    <x v="0"/>
    <s v="no"/>
    <s v="---"/>
    <s v="https://www.commcarehq.org/a/demo-18/api/form/attachment/49bc24f0-d2ca-45be-8f1f-73a9e3a7ca76/1579504858702.jpg"/>
    <s v="https://www.commcarehq.org/a/demo-18/api/form/attachment/49bc24f0-d2ca-45be-8f1f-73a9e3a7ca76/1579504871905.jpg"/>
    <s v="https://www.commcarehq.org/a/demo-18/api/form/attachment/49bc24f0-d2ca-45be-8f1f-73a9e3a7ca76/1579504933314.jpg"/>
    <s v="https://www.commcarehq.org/a/demo-18/api/form/attachment/49bc24f0-d2ca-45be-8f1f-73a9e3a7ca76/1579504943493.jpg"/>
    <s v="https://www.commcarehq.org/a/demo-18/api/form/attachment/49bc24f0-d2ca-45be-8f1f-73a9e3a7ca76/1579504959632.jpg"/>
    <s v="https://www.commcarehq.org/a/demo-18/api/form/attachment/49bc24f0-d2ca-45be-8f1f-73a9e3a7ca76/1579504970021.jpg"/>
    <d v="2020-01-20T07:22:56"/>
    <d v="2020-01-20T07:20:25"/>
    <s v="arnold"/>
    <d v="2020-01-20T07:23:16"/>
    <s v="49bc24f0-d2ca-45be-8f1f-73a9e3a7ca76"/>
    <s v="https://www.commcarehq.org/a/demo-18/reports/form_data/49bc24f0-d2ca-45be-8f1f-73a9e3a7ca76/"/>
  </r>
  <r>
    <x v="23"/>
    <n v="5.7"/>
    <d v="2020-02-14T00:00:00"/>
    <d v="2020-01-15T00:00:00"/>
    <s v="no"/>
    <s v="---"/>
    <s v="---"/>
    <s v="---"/>
    <x v="0"/>
    <s v="no"/>
    <s v="---"/>
    <s v="https://www.commcarehq.org/a/demo-18/api/form/attachment/4be5ea43-d376-46fb-9f1d-01425d8b7bef/1579075273997.jpg"/>
    <s v="https://www.commcarehq.org/a/demo-18/api/form/attachment/4be5ea43-d376-46fb-9f1d-01425d8b7bef/1579075289261.jpg"/>
    <s v="https://www.commcarehq.org/a/demo-18/api/form/attachment/4be5ea43-d376-46fb-9f1d-01425d8b7bef/1579075350111.jpg"/>
    <s v="https://www.commcarehq.org/a/demo-18/api/form/attachment/4be5ea43-d376-46fb-9f1d-01425d8b7bef/1579075359288.jpg"/>
    <s v="https://www.commcarehq.org/a/demo-18/api/form/attachment/4be5ea43-d376-46fb-9f1d-01425d8b7bef/1579075378859.jpg"/>
    <s v="https://www.commcarehq.org/a/demo-18/api/form/attachment/4be5ea43-d376-46fb-9f1d-01425d8b7bef/1579075392222.jpg"/>
    <d v="2020-01-15T08:03:13"/>
    <d v="2020-01-15T08:00:29"/>
    <s v="arnold"/>
    <d v="2020-01-15T08:03:34"/>
    <s v="4be5ea43-d376-46fb-9f1d-01425d8b7bef"/>
    <s v="https://www.commcarehq.org/a/demo-18/reports/form_data/4be5ea43-d376-46fb-9f1d-01425d8b7bef/"/>
  </r>
  <r>
    <x v="24"/>
    <n v="6"/>
    <d v="2020-03-11T00:00:00"/>
    <d v="2020-02-10T00:00:00"/>
    <s v="no"/>
    <s v="---"/>
    <s v="---"/>
    <s v="---"/>
    <x v="1"/>
    <s v="no"/>
    <s v="---"/>
    <s v="https://www.commcarehq.org/a/demo-18/api/form/attachment/a92bcc8d-9f42-4d5f-9f9e-d270fe5cfda4/1581316517688.jpg"/>
    <s v="https://www.commcarehq.org/a/demo-18/api/form/attachment/a92bcc8d-9f42-4d5f-9f9e-d270fe5cfda4/1581316537442.jpg"/>
    <s v="https://www.commcarehq.org/a/demo-18/api/form/attachment/a92bcc8d-9f42-4d5f-9f9e-d270fe5cfda4/1581316565343.jpg"/>
    <s v="https://www.commcarehq.org/a/demo-18/api/form/attachment/a92bcc8d-9f42-4d5f-9f9e-d270fe5cfda4/1581316573880.jpg"/>
    <s v="https://www.commcarehq.org/a/demo-18/api/form/attachment/a92bcc8d-9f42-4d5f-9f9e-d270fe5cfda4/1581316585887.jpg"/>
    <s v="https://www.commcarehq.org/a/demo-18/api/form/attachment/a92bcc8d-9f42-4d5f-9f9e-d270fe5cfda4/1581316594983.jpg"/>
    <d v="2020-02-10T06:36:36"/>
    <d v="2020-02-10T06:34:34"/>
    <s v="arnold"/>
    <d v="2020-02-10T06:37:01"/>
    <s v="a92bcc8d-9f42-4d5f-9f9e-d270fe5cfda4"/>
    <s v="https://www.commcarehq.org/a/demo-18/reports/form_data/a92bcc8d-9f42-4d5f-9f9e-d270fe5cfda4/"/>
  </r>
  <r>
    <x v="25"/>
    <n v="6.2"/>
    <d v="2020-03-11T00:00:00"/>
    <d v="2020-02-10T00:00:00"/>
    <s v="no"/>
    <s v="---"/>
    <s v="---"/>
    <s v="---"/>
    <x v="0"/>
    <s v="no"/>
    <s v="---"/>
    <s v="https://www.commcarehq.org/a/demo-18/api/form/attachment/38f488ce-a198-4ef1-9aad-a6f214590801/1581319898048.jpg"/>
    <s v="https://www.commcarehq.org/a/demo-18/api/form/attachment/38f488ce-a198-4ef1-9aad-a6f214590801/1581319913682.jpg"/>
    <s v="https://www.commcarehq.org/a/demo-18/api/form/attachment/38f488ce-a198-4ef1-9aad-a6f214590801/1581320038596.jpg"/>
    <s v="https://www.commcarehq.org/a/demo-18/api/form/attachment/38f488ce-a198-4ef1-9aad-a6f214590801/1581320048508.jpg"/>
    <s v="https://www.commcarehq.org/a/demo-18/api/form/attachment/38f488ce-a198-4ef1-9aad-a6f214590801/1581320061738.jpg"/>
    <s v="https://www.commcarehq.org/a/demo-18/api/form/attachment/38f488ce-a198-4ef1-9aad-a6f214590801/1581320071337.jpg"/>
    <d v="2020-02-10T07:34:34"/>
    <d v="2020-02-10T07:30:58"/>
    <s v="arnold"/>
    <d v="2020-02-10T07:56:26"/>
    <s v="38f488ce-a198-4ef1-9aad-a6f214590801"/>
    <s v="https://www.commcarehq.org/a/demo-18/reports/form_data/38f488ce-a198-4ef1-9aad-a6f214590801/"/>
  </r>
  <r>
    <x v="26"/>
    <n v="5.7"/>
    <d v="2020-03-07T00:00:00"/>
    <d v="2020-02-06T00:00:00"/>
    <s v="no"/>
    <s v="---"/>
    <s v="---"/>
    <s v="---"/>
    <x v="0"/>
    <s v="no"/>
    <s v="---"/>
    <s v="https://www.commcarehq.org/a/demo-18/api/form/attachment/191d42da-f59a-4023-97bb-4416fdc07ac1/1580973223318.jpg"/>
    <s v="https://www.commcarehq.org/a/demo-18/api/form/attachment/191d42da-f59a-4023-97bb-4416fdc07ac1/1580973241333.jpg"/>
    <s v="https://www.commcarehq.org/a/demo-18/api/form/attachment/191d42da-f59a-4023-97bb-4416fdc07ac1/1580973294353.jpg"/>
    <s v="https://www.commcarehq.org/a/demo-18/api/form/attachment/191d42da-f59a-4023-97bb-4416fdc07ac1/1580973303506.jpg"/>
    <s v="https://www.commcarehq.org/a/demo-18/api/form/attachment/191d42da-f59a-4023-97bb-4416fdc07ac1/1580973337466.jpg"/>
    <s v="https://www.commcarehq.org/a/demo-18/api/form/attachment/191d42da-f59a-4023-97bb-4416fdc07ac1/1580973348227.jpg"/>
    <d v="2020-02-06T07:15:50"/>
    <d v="2020-02-06T07:13:04"/>
    <s v="arnold"/>
    <d v="2020-02-06T07:32:37"/>
    <s v="191d42da-f59a-4023-97bb-4416fdc07ac1"/>
    <s v="https://www.commcarehq.org/a/demo-18/reports/form_data/191d42da-f59a-4023-97bb-4416fdc07ac1/"/>
  </r>
  <r>
    <x v="27"/>
    <n v="6"/>
    <d v="2020-03-08T00:00:00"/>
    <d v="2020-02-07T00:00:00"/>
    <s v="no"/>
    <s v="---"/>
    <s v="---"/>
    <s v="---"/>
    <x v="2"/>
    <s v="no"/>
    <s v="---"/>
    <s v="https://www.commcarehq.org/a/demo-18/api/form/attachment/db69d85d-9286-4f2b-9fc5-b92a1784241b/1581058435345.jpg"/>
    <s v="https://www.commcarehq.org/a/demo-18/api/form/attachment/db69d85d-9286-4f2b-9fc5-b92a1784241b/1581058450532.jpg"/>
    <s v="https://www.commcarehq.org/a/demo-18/api/form/attachment/db69d85d-9286-4f2b-9fc5-b92a1784241b/1581058491111.jpg"/>
    <s v="https://www.commcarehq.org/a/demo-18/api/form/attachment/db69d85d-9286-4f2b-9fc5-b92a1784241b/1581058500181.jpg"/>
    <s v="https://www.commcarehq.org/a/demo-18/api/form/attachment/db69d85d-9286-4f2b-9fc5-b92a1784241b/1581058523186.jpg"/>
    <s v="https://www.commcarehq.org/a/demo-18/api/form/attachment/db69d85d-9286-4f2b-9fc5-b92a1784241b/1581058534309.jpg"/>
    <d v="2020-02-07T06:55:36"/>
    <d v="2020-02-07T06:51:39"/>
    <s v="arnold"/>
    <d v="2020-02-07T06:56:05"/>
    <s v="db69d85d-9286-4f2b-9fc5-b92a1784241b"/>
    <s v="https://www.commcarehq.org/a/demo-18/reports/form_data/db69d85d-9286-4f2b-9fc5-b92a1784241b/"/>
  </r>
  <r>
    <x v="28"/>
    <n v="5.8"/>
    <d v="2020-03-14T00:00:00"/>
    <d v="2020-02-13T00:00:00"/>
    <s v="no"/>
    <s v="---"/>
    <s v="---"/>
    <s v="---"/>
    <x v="3"/>
    <s v="no"/>
    <s v="---"/>
    <s v="https://www.commcarehq.org/a/demo-18/api/form/attachment/9cfdf76c-1a88-4a74-8bbf-94d39b5e113e/1581578980034.jpg"/>
    <s v="https://www.commcarehq.org/a/demo-18/api/form/attachment/9cfdf76c-1a88-4a74-8bbf-94d39b5e113e/1581579034627.jpg"/>
    <s v="https://www.commcarehq.org/a/demo-18/api/form/attachment/9cfdf76c-1a88-4a74-8bbf-94d39b5e113e/1581579063816.jpg"/>
    <s v="https://www.commcarehq.org/a/demo-18/api/form/attachment/9cfdf76c-1a88-4a74-8bbf-94d39b5e113e/1581579071703.jpg"/>
    <s v="https://www.commcarehq.org/a/demo-18/api/form/attachment/9cfdf76c-1a88-4a74-8bbf-94d39b5e113e/1581579083614.jpg"/>
    <s v="https://www.commcarehq.org/a/demo-18/api/form/attachment/9cfdf76c-1a88-4a74-8bbf-94d39b5e113e/1581579094344.jpg"/>
    <d v="2020-02-13T07:31:36"/>
    <d v="2020-02-13T07:29:01"/>
    <s v="arnold"/>
    <d v="2020-02-13T07:31:57"/>
    <s v="9cfdf76c-1a88-4a74-8bbf-94d39b5e113e"/>
    <s v="https://www.commcarehq.org/a/demo-18/reports/form_data/9cfdf76c-1a88-4a74-8bbf-94d39b5e113e/"/>
  </r>
  <r>
    <x v="29"/>
    <n v="5.0999999999999996"/>
    <d v="2020-02-22T00:00:00"/>
    <d v="2020-01-23T00:00:00"/>
    <s v="no"/>
    <s v="---"/>
    <s v="---"/>
    <s v="---"/>
    <x v="1"/>
    <s v="no"/>
    <s v="---"/>
    <s v="https://www.commcarehq.org/a/demo-18/api/form/attachment/ba48f439-9ae9-4a93-bcf6-e5ebfe97a48b/1579761246809.jpg"/>
    <s v="https://www.commcarehq.org/a/demo-18/api/form/attachment/ba48f439-9ae9-4a93-bcf6-e5ebfe97a48b/1579761261527.jpg"/>
    <s v="https://www.commcarehq.org/a/demo-18/api/form/attachment/ba48f439-9ae9-4a93-bcf6-e5ebfe97a48b/1579761286888.jpg"/>
    <s v="https://www.commcarehq.org/a/demo-18/api/form/attachment/ba48f439-9ae9-4a93-bcf6-e5ebfe97a48b/1579761296265.jpg"/>
    <s v="https://www.commcarehq.org/a/demo-18/api/form/attachment/ba48f439-9ae9-4a93-bcf6-e5ebfe97a48b/1579761308693.jpg"/>
    <s v="https://www.commcarehq.org/a/demo-18/api/form/attachment/ba48f439-9ae9-4a93-bcf6-e5ebfe97a48b/1579761317236.jpg"/>
    <d v="2020-01-23T06:35:19"/>
    <d v="2020-01-23T06:33:31"/>
    <s v="arnold"/>
    <d v="2020-01-23T08:33:47"/>
    <s v="ba48f439-9ae9-4a93-bcf6-e5ebfe97a48b"/>
    <s v="https://www.commcarehq.org/a/demo-18/reports/form_data/ba48f439-9ae9-4a93-bcf6-e5ebfe97a48b/"/>
  </r>
  <r>
    <x v="30"/>
    <n v="6.1"/>
    <d v="2020-02-22T00:00:00"/>
    <d v="2020-01-23T00:00:00"/>
    <s v="no"/>
    <s v="---"/>
    <s v="---"/>
    <s v="---"/>
    <x v="1"/>
    <s v="no"/>
    <s v="---"/>
    <s v="https://www.commcarehq.org/a/demo-18/api/form/attachment/f066c7cd-28e2-4e1e-b67f-0e5071156370/1579766548307.jpg"/>
    <s v="https://www.commcarehq.org/a/demo-18/api/form/attachment/f066c7cd-28e2-4e1e-b67f-0e5071156370/1579766564917.jpg"/>
    <s v="https://www.commcarehq.org/a/demo-18/api/form/attachment/f066c7cd-28e2-4e1e-b67f-0e5071156370/1579766601558.jpg"/>
    <s v="https://www.commcarehq.org/a/demo-18/api/form/attachment/f066c7cd-28e2-4e1e-b67f-0e5071156370/1579766610772.jpg"/>
    <s v="https://www.commcarehq.org/a/demo-18/api/form/attachment/f066c7cd-28e2-4e1e-b67f-0e5071156370/1579766627743.jpg"/>
    <s v="https://www.commcarehq.org/a/demo-18/api/form/attachment/f066c7cd-28e2-4e1e-b67f-0e5071156370/1579766636402.jpg"/>
    <d v="2020-01-23T08:04:01"/>
    <d v="2020-01-23T08:02:02"/>
    <s v="arnold"/>
    <d v="2020-01-23T08:39:03"/>
    <s v="f066c7cd-28e2-4e1e-b67f-0e5071156370"/>
    <s v="https://www.commcarehq.org/a/demo-18/reports/form_data/f066c7cd-28e2-4e1e-b67f-0e5071156370/"/>
  </r>
  <r>
    <x v="31"/>
    <n v="5.9"/>
    <d v="2020-02-26T00:00:00"/>
    <d v="2020-01-27T00:00:00"/>
    <s v="no"/>
    <s v="---"/>
    <s v="---"/>
    <s v="---"/>
    <x v="0"/>
    <s v="no"/>
    <s v="---"/>
    <s v="https://www.commcarehq.org/a/demo-18/api/form/attachment/100fc457-0f34-409d-be00-1bdde50d39af/1580106287108.jpg"/>
    <s v="https://www.commcarehq.org/a/demo-18/api/form/attachment/100fc457-0f34-409d-be00-1bdde50d39af/1580106304312.jpg"/>
    <s v="https://www.commcarehq.org/a/demo-18/api/form/attachment/100fc457-0f34-409d-be00-1bdde50d39af/1580106335255.jpg"/>
    <s v="https://www.commcarehq.org/a/demo-18/api/form/attachment/100fc457-0f34-409d-be00-1bdde50d39af/1580106345183.jpg"/>
    <s v="https://www.commcarehq.org/a/demo-18/api/form/attachment/100fc457-0f34-409d-be00-1bdde50d39af/1580106359603.jpg"/>
    <s v="https://www.commcarehq.org/a/demo-18/api/form/attachment/100fc457-0f34-409d-be00-1bdde50d39af/1580106369895.jpg"/>
    <d v="2020-01-27T06:26:11"/>
    <d v="2020-01-27T06:24:04"/>
    <s v="arnold"/>
    <d v="2020-01-27T06:26:39"/>
    <s v="100fc457-0f34-409d-be00-1bdde50d39af"/>
    <s v="https://www.commcarehq.org/a/demo-18/reports/form_data/100fc457-0f34-409d-be00-1bdde50d39af/"/>
  </r>
  <r>
    <x v="32"/>
    <n v="5"/>
    <d v="2020-02-26T00:00:00"/>
    <d v="2020-01-27T00:00:00"/>
    <s v="no"/>
    <s v="---"/>
    <s v="---"/>
    <s v="---"/>
    <x v="1"/>
    <s v="no"/>
    <s v="---"/>
    <s v="https://www.commcarehq.org/a/demo-18/api/form/attachment/8564bf0c-26c6-4adc-be28-7cb10b8aaae8/1580110974916.jpg"/>
    <s v="https://www.commcarehq.org/a/demo-18/api/form/attachment/8564bf0c-26c6-4adc-be28-7cb10b8aaae8/1580110991675.jpg"/>
    <s v="https://www.commcarehq.org/a/demo-18/api/form/attachment/8564bf0c-26c6-4adc-be28-7cb10b8aaae8/1580111053244.jpg"/>
    <s v="https://www.commcarehq.org/a/demo-18/api/form/attachment/8564bf0c-26c6-4adc-be28-7cb10b8aaae8/1580111063186.jpg"/>
    <s v="https://www.commcarehq.org/a/demo-18/api/form/attachment/8564bf0c-26c6-4adc-be28-7cb10b8aaae8/1580111092516.jpg"/>
    <s v="https://www.commcarehq.org/a/demo-18/api/form/attachment/8564bf0c-26c6-4adc-be28-7cb10b8aaae8/1580111103874.jpg"/>
    <d v="2020-01-27T07:45:05"/>
    <d v="2020-01-27T07:42:19"/>
    <s v="arnold"/>
    <d v="2020-01-27T07:45:25"/>
    <s v="8564bf0c-26c6-4adc-be28-7cb10b8aaae8"/>
    <s v="https://www.commcarehq.org/a/demo-18/reports/form_data/8564bf0c-26c6-4adc-be28-7cb10b8aaae8/"/>
  </r>
  <r>
    <x v="33"/>
    <n v="4.4000000000000004"/>
    <d v="2020-02-19T00:00:00"/>
    <d v="2020-01-20T00:00:00"/>
    <s v="no"/>
    <s v="---"/>
    <s v="---"/>
    <s v="---"/>
    <x v="4"/>
    <s v="no"/>
    <s v="---"/>
    <s v="https://www.commcarehq.org/a/demo-18/api/form/attachment/db2c71c4-820b-4f99-8bfa-8c5eae8b76b8/1579509425340.jpg"/>
    <s v="https://www.commcarehq.org/a/demo-18/api/form/attachment/db2c71c4-820b-4f99-8bfa-8c5eae8b76b8/1579509439118.jpg"/>
    <s v="https://www.commcarehq.org/a/demo-18/api/form/attachment/db2c71c4-820b-4f99-8bfa-8c5eae8b76b8/1579509473003.jpg"/>
    <s v="https://www.commcarehq.org/a/demo-18/api/form/attachment/db2c71c4-820b-4f99-8bfa-8c5eae8b76b8/1579509482204.jpg"/>
    <s v="https://www.commcarehq.org/a/demo-18/api/form/attachment/db2c71c4-820b-4f99-8bfa-8c5eae8b76b8/1579509494053.jpg"/>
    <s v="https://www.commcarehq.org/a/demo-18/api/form/attachment/db2c71c4-820b-4f99-8bfa-8c5eae8b76b8/1579509502273.jpg"/>
    <d v="2020-01-20T08:38:23"/>
    <d v="2020-01-20T08:34:15"/>
    <s v="arnold"/>
    <d v="2020-01-20T08:38:43"/>
    <s v="db2c71c4-820b-4f99-8bfa-8c5eae8b76b8"/>
    <s v="https://www.commcarehq.org/a/demo-18/reports/form_data/db2c71c4-820b-4f99-8bfa-8c5eae8b76b8/"/>
  </r>
  <r>
    <x v="34"/>
    <n v="6.1"/>
    <d v="2020-02-21T00:00:00"/>
    <d v="2020-01-22T00:00:00"/>
    <s v="no"/>
    <s v="---"/>
    <s v="---"/>
    <s v="---"/>
    <x v="0"/>
    <s v="no"/>
    <s v="---"/>
    <s v="https://www.commcarehq.org/a/demo-18/api/form/attachment/6abdcb04-be98-4ce4-8015-d8416328fed6/1579676877077.jpg"/>
    <s v="https://www.commcarehq.org/a/demo-18/api/form/attachment/6abdcb04-be98-4ce4-8015-d8416328fed6/1579676899626.jpg"/>
    <s v="https://www.commcarehq.org/a/demo-18/api/form/attachment/6abdcb04-be98-4ce4-8015-d8416328fed6/1579676943858.jpg"/>
    <s v="https://www.commcarehq.org/a/demo-18/api/form/attachment/6abdcb04-be98-4ce4-8015-d8416328fed6/1579676954194.jpg"/>
    <s v="https://www.commcarehq.org/a/demo-18/api/form/attachment/6abdcb04-be98-4ce4-8015-d8416328fed6/1579676968359.jpg"/>
    <s v="https://www.commcarehq.org/a/demo-18/api/form/attachment/6abdcb04-be98-4ce4-8015-d8416328fed6/1579676977763.jpg"/>
    <d v="2020-01-22T07:09:39"/>
    <d v="2020-01-22T07:07:06"/>
    <s v="arnold"/>
    <d v="2020-01-22T07:09:54"/>
    <s v="6abdcb04-be98-4ce4-8015-d8416328fed6"/>
    <s v="https://www.commcarehq.org/a/demo-18/reports/form_data/6abdcb04-be98-4ce4-8015-d8416328fed6/"/>
  </r>
  <r>
    <x v="35"/>
    <n v="5.4"/>
    <d v="2020-02-21T00:00:00"/>
    <d v="2020-01-22T00:00:00"/>
    <s v="no"/>
    <s v="---"/>
    <s v="---"/>
    <s v="---"/>
    <x v="0"/>
    <s v="no"/>
    <s v="---"/>
    <s v="https://www.commcarehq.org/a/demo-18/api/form/attachment/c1a7a9d9-772e-4406-b9b8-f3feec46e19e/1579678995286.jpg"/>
    <s v="https://www.commcarehq.org/a/demo-18/api/form/attachment/c1a7a9d9-772e-4406-b9b8-f3feec46e19e/1579679012254.jpg"/>
    <s v="https://www.commcarehq.org/a/demo-18/api/form/attachment/c1a7a9d9-772e-4406-b9b8-f3feec46e19e/1579679043676.jpg"/>
    <s v="https://www.commcarehq.org/a/demo-18/api/form/attachment/c1a7a9d9-772e-4406-b9b8-f3feec46e19e/1579679054616.jpg"/>
    <s v="https://www.commcarehq.org/a/demo-18/api/form/attachment/c1a7a9d9-772e-4406-b9b8-f3feec46e19e/1579679078670.jpg"/>
    <s v="https://www.commcarehq.org/a/demo-18/api/form/attachment/c1a7a9d9-772e-4406-b9b8-f3feec46e19e/1579679087394.jpg"/>
    <d v="2020-01-22T07:44:49"/>
    <d v="2020-01-22T07:42:40"/>
    <s v="arnold"/>
    <d v="2020-01-22T07:45:12"/>
    <s v="c1a7a9d9-772e-4406-b9b8-f3feec46e19e"/>
    <s v="https://www.commcarehq.org/a/demo-18/reports/form_data/c1a7a9d9-772e-4406-b9b8-f3feec46e19e/"/>
  </r>
  <r>
    <x v="36"/>
    <n v="5"/>
    <d v="2020-02-21T00:00:00"/>
    <d v="2020-01-22T00:00:00"/>
    <s v="no"/>
    <s v="---"/>
    <s v="---"/>
    <s v="---"/>
    <x v="5"/>
    <s v="no"/>
    <s v="---"/>
    <s v="https://www.commcarehq.org/a/demo-18/api/form/attachment/7e4a5b25-6e29-48d0-bbdb-8f4f7b26c463/1579674974395.jpg"/>
    <s v="https://www.commcarehq.org/a/demo-18/api/form/attachment/7e4a5b25-6e29-48d0-bbdb-8f4f7b26c463/1579674990055.jpg"/>
    <s v="https://www.commcarehq.org/a/demo-18/api/form/attachment/7e4a5b25-6e29-48d0-bbdb-8f4f7b26c463/1579675017197.jpg"/>
    <s v="https://www.commcarehq.org/a/demo-18/api/form/attachment/7e4a5b25-6e29-48d0-bbdb-8f4f7b26c463/1579675027618.jpg"/>
    <s v="https://www.commcarehq.org/a/demo-18/api/form/attachment/7e4a5b25-6e29-48d0-bbdb-8f4f7b26c463/1579675042912.jpg"/>
    <s v="https://www.commcarehq.org/a/demo-18/api/form/attachment/7e4a5b25-6e29-48d0-bbdb-8f4f7b26c463/1579675052707.jpg"/>
    <d v="2020-01-22T06:37:34"/>
    <d v="2020-01-22T06:35:44"/>
    <s v="arnold"/>
    <d v="2020-01-22T06:37:55"/>
    <s v="7e4a5b25-6e29-48d0-bbdb-8f4f7b26c463"/>
    <s v="https://www.commcarehq.org/a/demo-18/reports/form_data/7e4a5b25-6e29-48d0-bbdb-8f4f7b26c463/"/>
  </r>
  <r>
    <x v="37"/>
    <n v="4.5999999999999996"/>
    <d v="2020-02-21T00:00:00"/>
    <d v="2020-01-22T00:00:00"/>
    <s v="no"/>
    <s v="---"/>
    <s v="---"/>
    <s v="---"/>
    <x v="6"/>
    <s v="no"/>
    <s v="---"/>
    <s v="https://www.commcarehq.org/a/demo-18/api/form/attachment/a80af71f-5898-432e-ba6c-191c0a359ba9/1579679375256.jpg"/>
    <s v="https://www.commcarehq.org/a/demo-18/api/form/attachment/a80af71f-5898-432e-ba6c-191c0a359ba9/1579679389994.jpg"/>
    <s v="https://www.commcarehq.org/a/demo-18/api/form/attachment/a80af71f-5898-432e-ba6c-191c0a359ba9/1579679446722.jpg"/>
    <s v="https://www.commcarehq.org/a/demo-18/api/form/attachment/a80af71f-5898-432e-ba6c-191c0a359ba9/1579679456750.jpg"/>
    <s v="https://www.commcarehq.org/a/demo-18/api/form/attachment/a80af71f-5898-432e-ba6c-191c0a359ba9/1579679469107.jpg"/>
    <s v="https://www.commcarehq.org/a/demo-18/api/form/attachment/a80af71f-5898-432e-ba6c-191c0a359ba9/1579679479284.jpg"/>
    <d v="2020-01-22T07:51:21"/>
    <d v="2020-01-22T07:48:31"/>
    <s v="arnold"/>
    <d v="2020-01-22T07:51:43"/>
    <s v="a80af71f-5898-432e-ba6c-191c0a359ba9"/>
    <s v="https://www.commcarehq.org/a/demo-18/reports/form_data/a80af71f-5898-432e-ba6c-191c0a359ba9/"/>
  </r>
  <r>
    <x v="38"/>
    <n v="5.8"/>
    <d v="2020-02-14T00:00:00"/>
    <d v="2020-01-15T00:00:00"/>
    <s v="no"/>
    <s v="---"/>
    <s v="---"/>
    <s v="---"/>
    <x v="0"/>
    <s v="no"/>
    <s v="---"/>
    <s v="https://www.commcarehq.org/a/demo-18/api/form/attachment/d5a4caf3-5a39-4739-95b2-26a0a051b634/1579075978694.jpg"/>
    <s v="https://www.commcarehq.org/a/demo-18/api/form/attachment/d5a4caf3-5a39-4739-95b2-26a0a051b634/1579075995412.jpg"/>
    <s v="https://www.commcarehq.org/a/demo-18/api/form/attachment/d5a4caf3-5a39-4739-95b2-26a0a051b634/1579076032436.jpg"/>
    <s v="https://www.commcarehq.org/a/demo-18/api/form/attachment/d5a4caf3-5a39-4739-95b2-26a0a051b634/1579076042615.jpg"/>
    <s v="https://www.commcarehq.org/a/demo-18/api/form/attachment/d5a4caf3-5a39-4739-95b2-26a0a051b634/1579076060925.jpg"/>
    <s v="https://www.commcarehq.org/a/demo-18/api/form/attachment/d5a4caf3-5a39-4739-95b2-26a0a051b634/1579076072634.jpg"/>
    <d v="2020-01-15T08:14:34"/>
    <d v="2020-01-15T08:12:23"/>
    <s v="arnold"/>
    <d v="2020-01-15T08:14:55"/>
    <s v="d5a4caf3-5a39-4739-95b2-26a0a051b634"/>
    <s v="https://www.commcarehq.org/a/demo-18/reports/form_data/d5a4caf3-5a39-4739-95b2-26a0a051b634/"/>
  </r>
  <r>
    <x v="39"/>
    <n v="5.4"/>
    <d v="2020-02-16T00:00:00"/>
    <d v="2020-01-17T00:00:00"/>
    <s v="no"/>
    <s v="---"/>
    <s v="---"/>
    <s v="---"/>
    <x v="1"/>
    <s v="no"/>
    <s v="---"/>
    <s v="https://www.commcarehq.org/a/demo-18/api/form/attachment/9ff0ed09-f894-4815-a443-3c7af20964d6/1579244923308.jpg"/>
    <s v="https://www.commcarehq.org/a/demo-18/api/form/attachment/9ff0ed09-f894-4815-a443-3c7af20964d6/1579244942656.jpg"/>
    <s v="https://www.commcarehq.org/a/demo-18/api/form/attachment/9ff0ed09-f894-4815-a443-3c7af20964d6/1579245006999.jpg"/>
    <s v="https://www.commcarehq.org/a/demo-18/api/form/attachment/9ff0ed09-f894-4815-a443-3c7af20964d6/1579245016901.jpg"/>
    <s v="https://www.commcarehq.org/a/demo-18/api/form/attachment/9ff0ed09-f894-4815-a443-3c7af20964d6/1579245039710.jpg"/>
    <s v="https://www.commcarehq.org/a/demo-18/api/form/attachment/9ff0ed09-f894-4815-a443-3c7af20964d6/1579245051182.jpg"/>
    <d v="2020-01-17T07:10:53"/>
    <d v="2020-01-17T07:08:21"/>
    <s v="arnold"/>
    <d v="2020-01-17T07:11:13"/>
    <s v="9ff0ed09-f894-4815-a443-3c7af20964d6"/>
    <s v="https://www.commcarehq.org/a/demo-18/reports/form_data/9ff0ed09-f894-4815-a443-3c7af20964d6/"/>
  </r>
  <r>
    <x v="40"/>
    <n v="5.7"/>
    <d v="2020-02-15T00:00:00"/>
    <d v="2020-01-16T00:00:00"/>
    <s v="no"/>
    <s v="---"/>
    <s v="---"/>
    <s v="---"/>
    <x v="7"/>
    <s v="no"/>
    <s v="---"/>
    <s v="https://www.commcarehq.org/a/demo-18/api/form/attachment/2b596f19-fc5e-4578-90ad-9f1b33ded051/1579160142260.jpg"/>
    <s v="https://www.commcarehq.org/a/demo-18/api/form/attachment/2b596f19-fc5e-4578-90ad-9f1b33ded051/1579160155911.jpg"/>
    <s v="https://www.commcarehq.org/a/demo-18/api/form/attachment/2b596f19-fc5e-4578-90ad-9f1b33ded051/1579160202893.jpg"/>
    <s v="https://www.commcarehq.org/a/demo-18/api/form/attachment/2b596f19-fc5e-4578-90ad-9f1b33ded051/1579160212784.jpg"/>
    <s v="https://www.commcarehq.org/a/demo-18/api/form/attachment/2b596f19-fc5e-4578-90ad-9f1b33ded051/1579160224480.jpg"/>
    <s v="https://www.commcarehq.org/a/demo-18/api/form/attachment/2b596f19-fc5e-4578-90ad-9f1b33ded051/1579160236622.jpg"/>
    <d v="2020-01-16T07:37:18"/>
    <d v="2020-01-16T07:34:26"/>
    <s v="arnold"/>
    <d v="2020-01-16T07:37:35"/>
    <s v="2b596f19-fc5e-4578-90ad-9f1b33ded051"/>
    <s v="https://www.commcarehq.org/a/demo-18/reports/form_data/2b596f19-fc5e-4578-90ad-9f1b33ded051/"/>
  </r>
  <r>
    <x v="41"/>
    <n v="7"/>
    <d v="2020-02-15T00:00:00"/>
    <d v="2020-01-16T00:00:00"/>
    <s v="no"/>
    <s v="---"/>
    <s v="---"/>
    <s v="---"/>
    <x v="5"/>
    <s v="no"/>
    <s v="---"/>
    <s v="https://www.commcarehq.org/a/demo-18/api/form/attachment/415eedcf-c3bb-4c87-965e-ca2dac17b1be/1579165819136.jpg"/>
    <s v="https://www.commcarehq.org/a/demo-18/api/form/attachment/415eedcf-c3bb-4c87-965e-ca2dac17b1be/1579165837218.jpg"/>
    <s v="https://www.commcarehq.org/a/demo-18/api/form/attachment/415eedcf-c3bb-4c87-965e-ca2dac17b1be/1579165890514.jpg"/>
    <s v="https://www.commcarehq.org/a/demo-18/api/form/attachment/415eedcf-c3bb-4c87-965e-ca2dac17b1be/1579165902486.jpg"/>
    <s v="https://www.commcarehq.org/a/demo-18/api/form/attachment/415eedcf-c3bb-4c87-965e-ca2dac17b1be/1579165917324.jpg"/>
    <s v="https://www.commcarehq.org/a/demo-18/api/form/attachment/415eedcf-c3bb-4c87-965e-ca2dac17b1be/1579165930112.jpg"/>
    <d v="2020-01-16T09:12:12"/>
    <d v="2020-01-16T09:09:28"/>
    <s v="arnold"/>
    <d v="2020-01-16T09:12:34"/>
    <s v="415eedcf-c3bb-4c87-965e-ca2dac17b1be"/>
    <s v="https://www.commcarehq.org/a/demo-18/reports/form_data/415eedcf-c3bb-4c87-965e-ca2dac17b1be/"/>
  </r>
  <r>
    <x v="42"/>
    <n v="5.5"/>
    <d v="2020-03-04T00:00:00"/>
    <d v="2020-02-03T00:00:00"/>
    <s v="no"/>
    <s v="---"/>
    <s v="---"/>
    <s v="---"/>
    <x v="8"/>
    <s v="no"/>
    <s v="---"/>
    <s v="https://www.commcarehq.org/a/demo-18/api/form/attachment/04782940-9eae-4e6f-8219-b254419ed9a4/1580719388861.jpg"/>
    <s v="https://www.commcarehq.org/a/demo-18/api/form/attachment/04782940-9eae-4e6f-8219-b254419ed9a4/1580719404459.jpg"/>
    <s v="https://www.commcarehq.org/a/demo-18/api/form/attachment/04782940-9eae-4e6f-8219-b254419ed9a4/1580719464100.jpg"/>
    <s v="https://www.commcarehq.org/a/demo-18/api/form/attachment/04782940-9eae-4e6f-8219-b254419ed9a4/1580719474401.jpg"/>
    <s v="https://www.commcarehq.org/a/demo-18/api/form/attachment/04782940-9eae-4e6f-8219-b254419ed9a4/1580719488034.jpg"/>
    <s v="https://www.commcarehq.org/a/demo-18/api/form/attachment/04782940-9eae-4e6f-8219-b254419ed9a4/1580719496589.jpg"/>
    <d v="2020-02-03T08:44:58"/>
    <d v="2020-02-03T08:42:41"/>
    <s v="arnold"/>
    <d v="2020-02-03T08:45:20"/>
    <s v="04782940-9eae-4e6f-8219-b254419ed9a4"/>
    <s v="https://www.commcarehq.org/a/demo-18/reports/form_data/04782940-9eae-4e6f-8219-b254419ed9a4/"/>
  </r>
  <r>
    <x v="43"/>
    <n v="5.7"/>
    <d v="2020-03-20T00:00:00"/>
    <d v="2020-02-19T00:00:00"/>
    <s v="no"/>
    <s v="---"/>
    <s v="---"/>
    <s v="---"/>
    <x v="1"/>
    <s v="no"/>
    <s v="---"/>
    <s v="https://www.commcarehq.org/a/demo-18/api/form/attachment/e4c3725c-2a37-434f-b45f-9bafe0003263/1582097857002.jpg"/>
    <s v="https://www.commcarehq.org/a/demo-18/api/form/attachment/e4c3725c-2a37-434f-b45f-9bafe0003263/1582097874606.jpg"/>
    <s v="https://www.commcarehq.org/a/demo-18/api/form/attachment/e4c3725c-2a37-434f-b45f-9bafe0003263/1582097898424.jpg"/>
    <s v="https://www.commcarehq.org/a/demo-18/api/form/attachment/e4c3725c-2a37-434f-b45f-9bafe0003263/1582097906035.jpg"/>
    <s v="https://www.commcarehq.org/a/demo-18/api/form/attachment/e4c3725c-2a37-434f-b45f-9bafe0003263/1582097933216.jpg"/>
    <s v="https://www.commcarehq.org/a/demo-18/api/form/attachment/e4c3725c-2a37-434f-b45f-9bafe0003263/1582097941738.jpg"/>
    <d v="2020-02-19T07:39:03"/>
    <d v="2020-02-19T07:37:18"/>
    <s v="arnold"/>
    <d v="2020-02-19T07:39:21"/>
    <s v="e4c3725c-2a37-434f-b45f-9bafe0003263"/>
    <s v="https://www.commcarehq.org/a/demo-18/reports/form_data/e4c3725c-2a37-434f-b45f-9bafe0003263/"/>
  </r>
  <r>
    <x v="44"/>
    <n v="5.2"/>
    <d v="2020-03-21T00:00:00"/>
    <d v="2020-02-20T00:00:00"/>
    <s v="no"/>
    <s v="---"/>
    <s v="---"/>
    <s v="---"/>
    <x v="1"/>
    <s v="no"/>
    <s v="---"/>
    <s v="https://www.commcarehq.org/a/demo-18/api/form/attachment/1a31c4bc-1f2f-4d3e-b21c-6fba0ab684e6/1582187374410.jpg"/>
    <s v="https://www.commcarehq.org/a/demo-18/api/form/attachment/1a31c4bc-1f2f-4d3e-b21c-6fba0ab684e6/1582187390889.jpg"/>
    <s v="https://www.commcarehq.org/a/demo-18/api/form/attachment/1a31c4bc-1f2f-4d3e-b21c-6fba0ab684e6/1582187432507.jpg"/>
    <s v="https://www.commcarehq.org/a/demo-18/api/form/attachment/1a31c4bc-1f2f-4d3e-b21c-6fba0ab684e6/1582187442276.jpg"/>
    <s v="https://www.commcarehq.org/a/demo-18/api/form/attachment/1a31c4bc-1f2f-4d3e-b21c-6fba0ab684e6/1582187460423.jpg"/>
    <s v="https://www.commcarehq.org/a/demo-18/api/form/attachment/1a31c4bc-1f2f-4d3e-b21c-6fba0ab684e6/1582187470763.jpg"/>
    <d v="2020-02-20T08:31:12"/>
    <d v="2020-02-20T08:28:54"/>
    <s v="arnold"/>
    <d v="2020-02-20T08:31:34"/>
    <s v="1a31c4bc-1f2f-4d3e-b21c-6fba0ab684e6"/>
    <s v="https://www.commcarehq.org/a/demo-18/reports/form_data/1a31c4bc-1f2f-4d3e-b21c-6fba0ab684e6/"/>
  </r>
  <r>
    <x v="45"/>
    <n v="6.2"/>
    <d v="2020-03-22T00:00:00"/>
    <d v="2020-02-21T00:00:00"/>
    <s v="no"/>
    <s v="---"/>
    <s v="---"/>
    <s v="---"/>
    <x v="1"/>
    <s v="no"/>
    <s v="---"/>
    <s v="https://www.commcarehq.org/a/demo-18/api/form/attachment/59e00ec6-60e3-4a8b-8566-a1b9e03734d8/1582268489844.jpg"/>
    <s v="https://www.commcarehq.org/a/demo-18/api/form/attachment/59e00ec6-60e3-4a8b-8566-a1b9e03734d8/1582268508645.jpg"/>
    <s v="https://www.commcarehq.org/a/demo-18/api/form/attachment/59e00ec6-60e3-4a8b-8566-a1b9e03734d8/1582268554957.jpg"/>
    <s v="https://www.commcarehq.org/a/demo-18/api/form/attachment/59e00ec6-60e3-4a8b-8566-a1b9e03734d8/1582268564892.jpg"/>
    <s v="https://www.commcarehq.org/a/demo-18/api/form/attachment/59e00ec6-60e3-4a8b-8566-a1b9e03734d8/1582268579370.jpg"/>
    <s v="https://www.commcarehq.org/a/demo-18/api/form/attachment/59e00ec6-60e3-4a8b-8566-a1b9e03734d8/1582268588493.jpg"/>
    <d v="2020-02-21T07:03:10"/>
    <d v="2020-02-21T07:01:00"/>
    <s v="arnold"/>
    <d v="2020-02-21T07:03:33"/>
    <s v="59e00ec6-60e3-4a8b-8566-a1b9e03734d8"/>
    <s v="https://www.commcarehq.org/a/demo-18/reports/form_data/59e00ec6-60e3-4a8b-8566-a1b9e03734d8/"/>
  </r>
  <r>
    <x v="46"/>
    <n v="5.2"/>
    <d v="2020-03-25T00:00:00"/>
    <d v="2020-02-24T00:00:00"/>
    <s v="no"/>
    <s v="---"/>
    <s v="---"/>
    <s v="---"/>
    <x v="0"/>
    <s v="no"/>
    <s v="---"/>
    <s v="https://www.commcarehq.org/a/demo-18/api/form/attachment/761a64a2-8b99-47b3-8dcd-9b3071fcc0d0/1582528275299.jpg"/>
    <s v="https://www.commcarehq.org/a/demo-18/api/form/attachment/761a64a2-8b99-47b3-8dcd-9b3071fcc0d0/1582528289980.jpg"/>
    <s v="https://www.commcarehq.org/a/demo-18/api/form/attachment/761a64a2-8b99-47b3-8dcd-9b3071fcc0d0/1582528327008.jpg"/>
    <s v="https://www.commcarehq.org/a/demo-18/api/form/attachment/761a64a2-8b99-47b3-8dcd-9b3071fcc0d0/1582528335089.jpg"/>
    <s v="https://www.commcarehq.org/a/demo-18/api/form/attachment/761a64a2-8b99-47b3-8dcd-9b3071fcc0d0/1582528346704.jpg"/>
    <s v="https://www.commcarehq.org/a/demo-18/api/form/attachment/761a64a2-8b99-47b3-8dcd-9b3071fcc0d0/1582528355126.jpg"/>
    <d v="2020-02-24T07:12:36"/>
    <d v="2020-02-24T07:10:35"/>
    <s v="arnold"/>
    <d v="2020-02-24T07:12:54"/>
    <s v="761a64a2-8b99-47b3-8dcd-9b3071fcc0d0"/>
    <s v="https://www.commcarehq.org/a/demo-18/reports/form_data/761a64a2-8b99-47b3-8dcd-9b3071fcc0d0/"/>
  </r>
  <r>
    <x v="47"/>
    <n v="4.9000000000000004"/>
    <d v="2020-03-25T00:00:00"/>
    <d v="2020-02-24T00:00:00"/>
    <s v="no"/>
    <s v="---"/>
    <s v="---"/>
    <s v="---"/>
    <x v="2"/>
    <s v="no"/>
    <s v="---"/>
    <s v="https://www.commcarehq.org/a/demo-18/api/form/attachment/6a6989fa-baa6-4774-b494-df3131058d3e/1582532380803.jpg"/>
    <s v="https://www.commcarehq.org/a/demo-18/api/form/attachment/6a6989fa-baa6-4774-b494-df3131058d3e/1582532400700.jpg"/>
    <s v="https://www.commcarehq.org/a/demo-18/api/form/attachment/6a6989fa-baa6-4774-b494-df3131058d3e/1582532506271.jpg"/>
    <s v="https://www.commcarehq.org/a/demo-18/api/form/attachment/6a6989fa-baa6-4774-b494-df3131058d3e/1582532515992.jpg"/>
    <s v="https://www.commcarehq.org/a/demo-18/api/form/attachment/6a6989fa-baa6-4774-b494-df3131058d3e/1582532548894.jpg"/>
    <s v="https://www.commcarehq.org/a/demo-18/api/form/attachment/6a6989fa-baa6-4774-b494-df3131058d3e/1582532558662.jpg"/>
    <d v="2020-02-24T08:22:40"/>
    <d v="2020-02-24T08:18:46"/>
    <s v="arnold"/>
    <d v="2020-02-24T08:22:58"/>
    <s v="6a6989fa-baa6-4774-b494-df3131058d3e"/>
    <s v="https://www.commcarehq.org/a/demo-18/reports/form_data/6a6989fa-baa6-4774-b494-df3131058d3e/"/>
  </r>
  <r>
    <x v="48"/>
    <n v="5.9"/>
    <d v="2020-01-29T00:00:00"/>
    <d v="2019-12-30T00:00:00"/>
    <s v="no"/>
    <s v="---"/>
    <s v="---"/>
    <s v="---"/>
    <x v="5"/>
    <s v="no"/>
    <s v="---"/>
    <s v="https://www.commcarehq.org/a/demo-18/api/form/attachment/5c1df0a2-e90f-4004-a5fa-cda3f01d9f23/1577688304870.jpg"/>
    <s v="https://www.commcarehq.org/a/demo-18/api/form/attachment/5c1df0a2-e90f-4004-a5fa-cda3f01d9f23/1577688328956.jpg"/>
    <s v="https://www.commcarehq.org/a/demo-18/api/form/attachment/5c1df0a2-e90f-4004-a5fa-cda3f01d9f23/1577688374716.jpg"/>
    <s v="https://www.commcarehq.org/a/demo-18/api/form/attachment/5c1df0a2-e90f-4004-a5fa-cda3f01d9f23/1577688384108.jpg"/>
    <s v="https://www.commcarehq.org/a/demo-18/api/form/attachment/5c1df0a2-e90f-4004-a5fa-cda3f01d9f23/1577688399065.jpg"/>
    <s v="https://www.commcarehq.org/a/demo-18/api/form/attachment/5c1df0a2-e90f-4004-a5fa-cda3f01d9f23/1577688409153.jpg"/>
    <d v="2019-12-30T06:46:50"/>
    <d v="2019-12-30T06:44:34"/>
    <s v="arnold"/>
    <d v="2019-12-31T04:31:04"/>
    <s v="5c1df0a2-e90f-4004-a5fa-cda3f01d9f23"/>
    <s v="https://www.commcarehq.org/a/demo-18/reports/form_data/5c1df0a2-e90f-4004-a5fa-cda3f01d9f23/"/>
  </r>
  <r>
    <x v="49"/>
    <n v="4"/>
    <d v="2020-02-08T00:00:00"/>
    <d v="2020-01-09T00:00:00"/>
    <s v="no"/>
    <s v="---"/>
    <s v="---"/>
    <s v="---"/>
    <x v="1"/>
    <s v="no"/>
    <s v="---"/>
    <s v="https://www.commcarehq.org/a/demo-18/api/form/attachment/1f51730d-f613-4271-a1a3-25edc0f6550b/1578551668643.jpg"/>
    <s v="https://www.commcarehq.org/a/demo-18/api/form/attachment/1f51730d-f613-4271-a1a3-25edc0f6550b/1578551689152.jpg"/>
    <s v="https://www.commcarehq.org/a/demo-18/api/form/attachment/1f51730d-f613-4271-a1a3-25edc0f6550b/1578551845150.jpg"/>
    <s v="https://www.commcarehq.org/a/demo-18/api/form/attachment/1f51730d-f613-4271-a1a3-25edc0f6550b/1578551867745.jpg"/>
    <s v="https://www.commcarehq.org/a/demo-18/api/form/attachment/1f51730d-f613-4271-a1a3-25edc0f6550b/1578551891376.jpg"/>
    <s v="https://www.commcarehq.org/a/demo-18/api/form/attachment/1f51730d-f613-4271-a1a3-25edc0f6550b/1578551902964.jpg"/>
    <d v="2020-01-09T06:38:25"/>
    <d v="2020-01-09T06:32:56"/>
    <s v="arnold"/>
    <d v="2020-01-09T06:38:42"/>
    <s v="1f51730d-f613-4271-a1a3-25edc0f6550b"/>
    <s v="https://www.commcarehq.org/a/demo-18/reports/form_data/1f51730d-f613-4271-a1a3-25edc0f6550b/"/>
  </r>
  <r>
    <x v="50"/>
    <n v="6.2"/>
    <d v="2020-03-04T00:00:00"/>
    <d v="2020-02-03T00:00:00"/>
    <s v="no"/>
    <s v="---"/>
    <s v="---"/>
    <s v="---"/>
    <x v="1"/>
    <s v="no"/>
    <s v="---"/>
    <s v="https://www.commcarehq.org/a/demo-18/api/form/attachment/d96cf1ca-f2e2-4393-bf81-8e337ca785ce/1580713570366.jpg"/>
    <s v="https://www.commcarehq.org/a/demo-18/api/form/attachment/d96cf1ca-f2e2-4393-bf81-8e337ca785ce/1580713590621.jpg"/>
    <s v="https://www.commcarehq.org/a/demo-18/api/form/attachment/d96cf1ca-f2e2-4393-bf81-8e337ca785ce/1580713647121.jpg"/>
    <s v="https://www.commcarehq.org/a/demo-18/api/form/attachment/d96cf1ca-f2e2-4393-bf81-8e337ca785ce/1580713656462.jpg"/>
    <s v="https://www.commcarehq.org/a/demo-18/api/form/attachment/d96cf1ca-f2e2-4393-bf81-8e337ca785ce/1580713707577.jpg"/>
    <s v="https://www.commcarehq.org/a/demo-18/api/form/attachment/d96cf1ca-f2e2-4393-bf81-8e337ca785ce/1580713716542.jpg"/>
    <d v="2020-02-03T07:08:38"/>
    <d v="2020-02-03T07:05:40"/>
    <s v="arnold"/>
    <d v="2020-02-03T07:09:02"/>
    <s v="d96cf1ca-f2e2-4393-bf81-8e337ca785ce"/>
    <s v="https://www.commcarehq.org/a/demo-18/reports/form_data/d96cf1ca-f2e2-4393-bf81-8e337ca785ce/"/>
  </r>
  <r>
    <x v="51"/>
    <n v="5.5"/>
    <d v="2020-03-04T00:00:00"/>
    <d v="2020-02-03T00:00:00"/>
    <s v="no"/>
    <s v="---"/>
    <s v="---"/>
    <s v="---"/>
    <x v="1"/>
    <s v="no"/>
    <s v="---"/>
    <s v="https://www.commcarehq.org/a/demo-18/api/form/attachment/91ccb3a6-26cd-48a9-a3e9-52d6236da71a/1580723832116.jpg"/>
    <s v="https://www.commcarehq.org/a/demo-18/api/form/attachment/91ccb3a6-26cd-48a9-a3e9-52d6236da71a/1580723856440.jpg"/>
    <s v="https://www.commcarehq.org/a/demo-18/api/form/attachment/91ccb3a6-26cd-48a9-a3e9-52d6236da71a/1580723956415.jpg"/>
    <s v="https://www.commcarehq.org/a/demo-18/api/form/attachment/91ccb3a6-26cd-48a9-a3e9-52d6236da71a/1580723964724.jpg"/>
    <s v="https://www.commcarehq.org/a/demo-18/api/form/attachment/91ccb3a6-26cd-48a9-a3e9-52d6236da71a/1580723979490.jpg"/>
    <s v="https://www.commcarehq.org/a/demo-18/api/form/attachment/91ccb3a6-26cd-48a9-a3e9-52d6236da71a/1580723990270.jpg"/>
    <d v="2020-02-03T09:59:52"/>
    <d v="2020-02-03T09:56:32"/>
    <s v="arnold"/>
    <d v="2020-02-03T13:59:10"/>
    <s v="91ccb3a6-26cd-48a9-a3e9-52d6236da71a"/>
    <s v="https://www.commcarehq.org/a/demo-18/reports/form_data/91ccb3a6-26cd-48a9-a3e9-52d6236da71a/"/>
  </r>
  <r>
    <x v="52"/>
    <n v="5.3"/>
    <d v="2020-03-07T00:00:00"/>
    <d v="2020-02-06T00:00:00"/>
    <s v="no"/>
    <s v="---"/>
    <s v="---"/>
    <s v="---"/>
    <x v="0"/>
    <s v="no"/>
    <s v="---"/>
    <s v="https://www.commcarehq.org/a/demo-18/api/form/attachment/cc87304a-4ba1-41d4-937a-0ef70bbe52ab/1580971946672.jpg"/>
    <s v="https://www.commcarehq.org/a/demo-18/api/form/attachment/cc87304a-4ba1-41d4-937a-0ef70bbe52ab/1580971964191.jpg"/>
    <s v="https://www.commcarehq.org/a/demo-18/api/form/attachment/cc87304a-4ba1-41d4-937a-0ef70bbe52ab/1580972002384.jpg"/>
    <s v="https://www.commcarehq.org/a/demo-18/api/form/attachment/cc87304a-4ba1-41d4-937a-0ef70bbe52ab/1580972011810.jpg"/>
    <s v="https://www.commcarehq.org/a/demo-18/api/form/attachment/cc87304a-4ba1-41d4-937a-0ef70bbe52ab/1580972026029.jpg"/>
    <s v="https://www.commcarehq.org/a/demo-18/api/form/attachment/cc87304a-4ba1-41d4-937a-0ef70bbe52ab/1580972038354.jpg"/>
    <d v="2020-02-06T06:53:59"/>
    <d v="2020-02-06T06:50:06"/>
    <s v="arnold"/>
    <d v="2020-02-06T06:54:22"/>
    <s v="cc87304a-4ba1-41d4-937a-0ef70bbe52ab"/>
    <s v="https://www.commcarehq.org/a/demo-18/reports/form_data/cc87304a-4ba1-41d4-937a-0ef70bbe52ab/"/>
  </r>
  <r>
    <x v="53"/>
    <n v="6.1"/>
    <d v="2020-03-08T00:00:00"/>
    <d v="2020-02-07T00:00:00"/>
    <s v="no"/>
    <s v="---"/>
    <s v="---"/>
    <s v="---"/>
    <x v="0"/>
    <s v="no"/>
    <s v="---"/>
    <s v="https://www.commcarehq.org/a/demo-18/api/form/attachment/94c1f564-459e-4f4b-8db4-12220c86df38/1581060701828.jpg"/>
    <s v="https://www.commcarehq.org/a/demo-18/api/form/attachment/94c1f564-459e-4f4b-8db4-12220c86df38/1581060713707.jpg"/>
    <s v="https://www.commcarehq.org/a/demo-18/api/form/attachment/94c1f564-459e-4f4b-8db4-12220c86df38/1581060746322.jpg"/>
    <s v="https://www.commcarehq.org/a/demo-18/api/form/attachment/94c1f564-459e-4f4b-8db4-12220c86df38/1581060756219.jpg"/>
    <s v="https://www.commcarehq.org/a/demo-18/api/form/attachment/94c1f564-459e-4f4b-8db4-12220c86df38/1581060796534.jpg"/>
    <s v="https://www.commcarehq.org/a/demo-18/api/form/attachment/94c1f564-459e-4f4b-8db4-12220c86df38/1581060811772.jpg"/>
    <d v="2020-02-07T07:33:34"/>
    <d v="2020-02-07T07:28:37"/>
    <s v="arnold"/>
    <d v="2020-02-07T07:33:57"/>
    <s v="94c1f564-459e-4f4b-8db4-12220c86df38"/>
    <s v="https://www.commcarehq.org/a/demo-18/reports/form_data/94c1f564-459e-4f4b-8db4-12220c86df38/"/>
  </r>
  <r>
    <x v="54"/>
    <n v="6"/>
    <d v="2020-03-14T00:00:00"/>
    <d v="2020-02-13T00:00:00"/>
    <s v="no"/>
    <s v="---"/>
    <s v="---"/>
    <s v="---"/>
    <x v="2"/>
    <s v="no"/>
    <s v="---"/>
    <s v="https://www.commcarehq.org/a/demo-18/api/form/attachment/fdd10f78-b922-4873-bd2a-71ad251c2063/1581584954883.jpg"/>
    <s v="https://www.commcarehq.org/a/demo-18/api/form/attachment/fdd10f78-b922-4873-bd2a-71ad251c2063/1581584972548.jpg"/>
    <s v="https://www.commcarehq.org/a/demo-18/api/form/attachment/fdd10f78-b922-4873-bd2a-71ad251c2063/1581585099612.jpg"/>
    <s v="https://www.commcarehq.org/a/demo-18/api/form/attachment/fdd10f78-b922-4873-bd2a-71ad251c2063/1581585108969.jpg"/>
    <s v="https://www.commcarehq.org/a/demo-18/api/form/attachment/fdd10f78-b922-4873-bd2a-71ad251c2063/1581585133701.jpg"/>
    <s v="https://www.commcarehq.org/a/demo-18/api/form/attachment/fdd10f78-b922-4873-bd2a-71ad251c2063/1581585143623.jpg"/>
    <d v="2020-02-13T09:12:25"/>
    <d v="2020-02-13T09:07:31"/>
    <s v="arnold"/>
    <d v="2020-02-13T09:12:41"/>
    <s v="fdd10f78-b922-4873-bd2a-71ad251c2063"/>
    <s v="https://www.commcarehq.org/a/demo-18/reports/form_data/fdd10f78-b922-4873-bd2a-71ad251c2063/"/>
  </r>
  <r>
    <x v="55"/>
    <n v="5.8"/>
    <d v="2020-03-20T00:00:00"/>
    <d v="2020-02-19T00:00:00"/>
    <s v="no"/>
    <s v="---"/>
    <s v="---"/>
    <s v="---"/>
    <x v="0"/>
    <s v="no"/>
    <s v="---"/>
    <s v="https://www.commcarehq.org/a/demo-18/api/form/attachment/19c266af-4b93-4d0d-bd7f-de38ffe79745/1582096611538.jpg"/>
    <s v="https://www.commcarehq.org/a/demo-18/api/form/attachment/19c266af-4b93-4d0d-bd7f-de38ffe79745/1582096626826.jpg"/>
    <s v="https://www.commcarehq.org/a/demo-18/api/form/attachment/19c266af-4b93-4d0d-bd7f-de38ffe79745/1582096659315.jpg"/>
    <s v="https://www.commcarehq.org/a/demo-18/api/form/attachment/19c266af-4b93-4d0d-bd7f-de38ffe79745/1582096668298.jpg"/>
    <s v="https://www.commcarehq.org/a/demo-18/api/form/attachment/19c266af-4b93-4d0d-bd7f-de38ffe79745/1582096685910.jpg"/>
    <s v="https://www.commcarehq.org/a/demo-18/api/form/attachment/19c266af-4b93-4d0d-bd7f-de38ffe79745/1582096694218.jpg"/>
    <d v="2020-02-19T07:18:16"/>
    <d v="2020-02-19T07:16:25"/>
    <s v="arnold"/>
    <d v="2020-02-19T07:18:38"/>
    <s v="19c266af-4b93-4d0d-bd7f-de38ffe79745"/>
    <s v="https://www.commcarehq.org/a/demo-18/reports/form_data/19c266af-4b93-4d0d-bd7f-de38ffe79745/"/>
  </r>
  <r>
    <x v="56"/>
    <n v="6.6"/>
    <d v="2020-03-18T00:00:00"/>
    <d v="2020-02-17T00:00:00"/>
    <s v="no"/>
    <s v="---"/>
    <s v="---"/>
    <s v="---"/>
    <x v="0"/>
    <s v="no"/>
    <s v="---"/>
    <s v="https://www.commcarehq.org/a/demo-18/api/form/attachment/93810e56-d3a2-4878-8771-2f96a518dbc1/1581923084720.jpg"/>
    <s v="https://www.commcarehq.org/a/demo-18/api/form/attachment/93810e56-d3a2-4878-8771-2f96a518dbc1/1581923098570.jpg"/>
    <s v="https://www.commcarehq.org/a/demo-18/api/form/attachment/93810e56-d3a2-4878-8771-2f96a518dbc1/1581923131036.jpg"/>
    <s v="https://www.commcarehq.org/a/demo-18/api/form/attachment/93810e56-d3a2-4878-8771-2f96a518dbc1/1581923140103.jpg"/>
    <s v="https://www.commcarehq.org/a/demo-18/api/form/attachment/93810e56-d3a2-4878-8771-2f96a518dbc1/1581923153252.jpg"/>
    <s v="https://www.commcarehq.org/a/demo-18/api/form/attachment/93810e56-d3a2-4878-8771-2f96a518dbc1/1581923164785.jpg"/>
    <d v="2020-02-17T07:06:06"/>
    <d v="2020-02-17T07:04:01"/>
    <s v="arnold"/>
    <d v="2020-02-17T07:06:33"/>
    <s v="93810e56-d3a2-4878-8771-2f96a518dbc1"/>
    <s v="https://www.commcarehq.org/a/demo-18/reports/form_data/93810e56-d3a2-4878-8771-2f96a518dbc1/"/>
  </r>
  <r>
    <x v="57"/>
    <n v="5.6"/>
    <d v="2020-02-19T00:00:00"/>
    <d v="2020-01-20T00:00:00"/>
    <s v="no"/>
    <s v="---"/>
    <s v="---"/>
    <s v="---"/>
    <x v="5"/>
    <s v="no"/>
    <s v="---"/>
    <s v="https://www.commcarehq.org/a/demo-18/api/form/attachment/9f00e0ee-5cc9-4f5c-9c33-e078f65fc8cd/1579502711269.jpg"/>
    <s v="https://www.commcarehq.org/a/demo-18/api/form/attachment/9f00e0ee-5cc9-4f5c-9c33-e078f65fc8cd/1579502728338.jpg"/>
    <s v="https://www.commcarehq.org/a/demo-18/api/form/attachment/9f00e0ee-5cc9-4f5c-9c33-e078f65fc8cd/1579502802570.jpg"/>
    <s v="https://www.commcarehq.org/a/demo-18/api/form/attachment/9f00e0ee-5cc9-4f5c-9c33-e078f65fc8cd/1579502813323.jpg"/>
    <s v="https://www.commcarehq.org/a/demo-18/api/form/attachment/9f00e0ee-5cc9-4f5c-9c33-e078f65fc8cd/1579502829358.jpg"/>
    <s v="https://www.commcarehq.org/a/demo-18/api/form/attachment/9f00e0ee-5cc9-4f5c-9c33-e078f65fc8cd/1579502839331.jpg"/>
    <d v="2020-01-20T06:47:22"/>
    <d v="2020-01-20T06:44:22"/>
    <s v="arnold"/>
    <d v="2020-01-20T06:47:54"/>
    <s v="9f00e0ee-5cc9-4f5c-9c33-e078f65fc8cd"/>
    <s v="https://www.commcarehq.org/a/demo-18/reports/form_data/9f00e0ee-5cc9-4f5c-9c33-e078f65fc8cd/"/>
  </r>
  <r>
    <x v="58"/>
    <n v="4.9000000000000004"/>
    <d v="2020-02-21T00:00:00"/>
    <d v="2020-01-22T00:00:00"/>
    <s v="no"/>
    <s v="---"/>
    <s v="---"/>
    <s v="---"/>
    <x v="0"/>
    <s v="no"/>
    <s v="---"/>
    <s v="https://www.commcarehq.org/a/demo-18/api/form/attachment/a7530f83-4fc8-47d4-85c7-fc2b0a3e9b63/1579676602805.jpg"/>
    <s v="https://www.commcarehq.org/a/demo-18/api/form/attachment/a7530f83-4fc8-47d4-85c7-fc2b0a3e9b63/1579676619787.jpg"/>
    <s v="https://www.commcarehq.org/a/demo-18/api/form/attachment/a7530f83-4fc8-47d4-85c7-fc2b0a3e9b63/1579676668612.jpg"/>
    <s v="https://www.commcarehq.org/a/demo-18/api/form/attachment/a7530f83-4fc8-47d4-85c7-fc2b0a3e9b63/1579676678746.jpg"/>
    <s v="https://www.commcarehq.org/a/demo-18/api/form/attachment/a7530f83-4fc8-47d4-85c7-fc2b0a3e9b63/1579676692828.jpg"/>
    <s v="https://www.commcarehq.org/a/demo-18/api/form/attachment/a7530f83-4fc8-47d4-85c7-fc2b0a3e9b63/1579676705688.jpg"/>
    <d v="2020-01-22T07:05:07"/>
    <d v="2020-01-22T07:02:47"/>
    <s v="arnold"/>
    <d v="2020-01-22T07:05:23"/>
    <s v="a7530f83-4fc8-47d4-85c7-fc2b0a3e9b63"/>
    <s v="https://www.commcarehq.org/a/demo-18/reports/form_data/a7530f83-4fc8-47d4-85c7-fc2b0a3e9b63/"/>
  </r>
  <r>
    <x v="59"/>
    <n v="5.5"/>
    <d v="2020-02-19T00:00:00"/>
    <d v="2020-01-20T00:00:00"/>
    <s v="no"/>
    <s v="---"/>
    <s v="---"/>
    <s v="---"/>
    <x v="1"/>
    <s v="no"/>
    <s v="---"/>
    <s v="https://www.commcarehq.org/a/demo-18/api/form/attachment/fe8dc7ba-5e03-4e76-a167-ff7224fb3413/1579511547484.jpg"/>
    <s v="https://www.commcarehq.org/a/demo-18/api/form/attachment/fe8dc7ba-5e03-4e76-a167-ff7224fb3413/1579511565524.jpg"/>
    <s v="https://www.commcarehq.org/a/demo-18/api/form/attachment/fe8dc7ba-5e03-4e76-a167-ff7224fb3413/1579511605545.jpg"/>
    <s v="https://www.commcarehq.org/a/demo-18/api/form/attachment/fe8dc7ba-5e03-4e76-a167-ff7224fb3413/1579511615288.jpg"/>
    <s v="https://www.commcarehq.org/a/demo-18/api/form/attachment/fe8dc7ba-5e03-4e76-a167-ff7224fb3413/1579511626016.jpg"/>
    <s v="https://www.commcarehq.org/a/demo-18/api/form/attachment/fe8dc7ba-5e03-4e76-a167-ff7224fb3413/1579511634996.jpg"/>
    <d v="2020-01-20T09:13:56"/>
    <d v="2020-01-20T09:12:02"/>
    <s v="arnold"/>
    <d v="2020-01-20T11:47:00"/>
    <s v="fe8dc7ba-5e03-4e76-a167-ff7224fb3413"/>
    <s v="https://www.commcarehq.org/a/demo-18/reports/form_data/fe8dc7ba-5e03-4e76-a167-ff7224fb3413/"/>
  </r>
  <r>
    <x v="60"/>
    <n v="6.2"/>
    <d v="2020-02-22T00:00:00"/>
    <d v="2020-01-23T00:00:00"/>
    <s v="no"/>
    <s v="---"/>
    <s v="---"/>
    <s v="---"/>
    <x v="1"/>
    <s v="no"/>
    <s v="---"/>
    <s v="https://www.commcarehq.org/a/demo-18/api/form/attachment/2301d170-f177-46ed-b940-d28d279ac05a/1579763448956.jpg"/>
    <s v="https://www.commcarehq.org/a/demo-18/api/form/attachment/2301d170-f177-46ed-b940-d28d279ac05a/1579763465007.jpg"/>
    <s v="https://www.commcarehq.org/a/demo-18/api/form/attachment/2301d170-f177-46ed-b940-d28d279ac05a/1579763554463.jpg"/>
    <s v="https://www.commcarehq.org/a/demo-18/api/form/attachment/2301d170-f177-46ed-b940-d28d279ac05a/1579763564154.jpg"/>
    <s v="https://www.commcarehq.org/a/demo-18/api/form/attachment/2301d170-f177-46ed-b940-d28d279ac05a/1579763583564.jpg"/>
    <s v="https://www.commcarehq.org/a/demo-18/api/form/attachment/2301d170-f177-46ed-b940-d28d279ac05a/1579763591730.jpg"/>
    <d v="2020-01-23T07:13:13"/>
    <d v="2020-01-23T07:10:30"/>
    <s v="arnold"/>
    <d v="2020-01-23T08:36:02"/>
    <s v="2301d170-f177-46ed-b940-d28d279ac05a"/>
    <s v="https://www.commcarehq.org/a/demo-18/reports/form_data/2301d170-f177-46ed-b940-d28d279ac05a/"/>
  </r>
  <r>
    <x v="61"/>
    <n v="7.2"/>
    <d v="2020-02-22T00:00:00"/>
    <d v="2020-01-23T00:00:00"/>
    <s v="no"/>
    <s v="---"/>
    <s v="---"/>
    <s v="---"/>
    <x v="0"/>
    <s v="no"/>
    <s v="---"/>
    <s v="https://www.commcarehq.org/a/demo-18/api/form/attachment/f6fe2c77-ee5a-43c8-963b-4f4c513d2f2f/1579761585765.jpg"/>
    <s v="https://www.commcarehq.org/a/demo-18/api/form/attachment/f6fe2c77-ee5a-43c8-963b-4f4c513d2f2f/1579761602278.jpg"/>
    <s v="https://www.commcarehq.org/a/demo-18/api/form/attachment/f6fe2c77-ee5a-43c8-963b-4f4c513d2f2f/1579761652046.jpg"/>
    <s v="https://www.commcarehq.org/a/demo-18/api/form/attachment/f6fe2c77-ee5a-43c8-963b-4f4c513d2f2f/1579761661944.jpg"/>
    <s v="https://www.commcarehq.org/a/demo-18/api/form/attachment/f6fe2c77-ee5a-43c8-963b-4f4c513d2f2f/1579761677143.jpg"/>
    <s v="https://www.commcarehq.org/a/demo-18/api/form/attachment/f6fe2c77-ee5a-43c8-963b-4f4c513d2f2f/1579761686888.jpg"/>
    <d v="2020-01-23T06:41:28"/>
    <d v="2020-01-23T06:39:08"/>
    <s v="arnold"/>
    <d v="2020-01-23T08:34:07"/>
    <s v="f6fe2c77-ee5a-43c8-963b-4f4c513d2f2f"/>
    <s v="https://www.commcarehq.org/a/demo-18/reports/form_data/f6fe2c77-ee5a-43c8-963b-4f4c513d2f2f/"/>
  </r>
  <r>
    <x v="62"/>
    <n v="5.2"/>
    <d v="2020-02-22T00:00:00"/>
    <d v="2020-01-23T00:00:00"/>
    <s v="no"/>
    <s v="---"/>
    <s v="---"/>
    <s v="---"/>
    <x v="0"/>
    <s v="no"/>
    <s v="---"/>
    <s v="https://www.commcarehq.org/a/demo-18/api/form/attachment/1e3a6ef3-96fe-449c-add6-27fff3d80df9/1579765582906.jpg"/>
    <s v="https://www.commcarehq.org/a/demo-18/api/form/attachment/1e3a6ef3-96fe-449c-add6-27fff3d80df9/1579765595661.jpg"/>
    <s v="https://www.commcarehq.org/a/demo-18/api/form/attachment/1e3a6ef3-96fe-449c-add6-27fff3d80df9/1579765629582.jpg"/>
    <s v="https://www.commcarehq.org/a/demo-18/api/form/attachment/1e3a6ef3-96fe-449c-add6-27fff3d80df9/1579765640675.jpg"/>
    <s v="https://www.commcarehq.org/a/demo-18/api/form/attachment/1e3a6ef3-96fe-449c-add6-27fff3d80df9/1579765655996.jpg"/>
    <s v="https://www.commcarehq.org/a/demo-18/api/form/attachment/1e3a6ef3-96fe-449c-add6-27fff3d80df9/1579765664594.jpg"/>
    <d v="2020-01-23T07:47:47"/>
    <d v="2020-01-23T07:45:41"/>
    <s v="arnold"/>
    <d v="2020-01-23T08:38:03"/>
    <s v="1e3a6ef3-96fe-449c-add6-27fff3d80df9"/>
    <s v="https://www.commcarehq.org/a/demo-18/reports/form_data/1e3a6ef3-96fe-449c-add6-27fff3d80df9/"/>
  </r>
  <r>
    <x v="63"/>
    <n v="5.2"/>
    <d v="2020-02-14T00:00:00"/>
    <d v="2020-01-15T00:00:00"/>
    <s v="no"/>
    <s v="---"/>
    <s v="---"/>
    <s v="---"/>
    <x v="1"/>
    <s v="no"/>
    <s v="---"/>
    <s v="https://www.commcarehq.org/a/demo-18/api/form/attachment/a4214c8c-68d6-4a14-8e12-245781213421/1579074055847.jpg"/>
    <s v="https://www.commcarehq.org/a/demo-18/api/form/attachment/a4214c8c-68d6-4a14-8e12-245781213421/1579074072240.jpg"/>
    <s v="https://www.commcarehq.org/a/demo-18/api/form/attachment/a4214c8c-68d6-4a14-8e12-245781213421/1579074161350.jpg"/>
    <s v="https://www.commcarehq.org/a/demo-18/api/form/attachment/a4214c8c-68d6-4a14-8e12-245781213421/1579074173946.jpg"/>
    <s v="https://www.commcarehq.org/a/demo-18/api/form/attachment/a4214c8c-68d6-4a14-8e12-245781213421/1579074198662.jpg"/>
    <s v="https://www.commcarehq.org/a/demo-18/api/form/attachment/a4214c8c-68d6-4a14-8e12-245781213421/1579074207772.jpg"/>
    <d v="2020-01-15T07:43:29"/>
    <d v="2020-01-15T07:40:18"/>
    <s v="arnold"/>
    <d v="2020-01-15T07:43:47"/>
    <s v="a4214c8c-68d6-4a14-8e12-245781213421"/>
    <s v="https://www.commcarehq.org/a/demo-18/reports/form_data/a4214c8c-68d6-4a14-8e12-245781213421/"/>
  </r>
  <r>
    <x v="64"/>
    <n v="6.6"/>
    <d v="2020-02-14T00:00:00"/>
    <d v="2020-01-15T00:00:00"/>
    <s v="no"/>
    <s v="---"/>
    <s v="---"/>
    <s v="---"/>
    <x v="1"/>
    <s v="no"/>
    <s v="---"/>
    <s v="https://www.commcarehq.org/a/demo-18/api/form/attachment/4f70ef8a-06d8-4152-b9e4-8f188d7a9894/1579074484820.jpg"/>
    <s v="https://www.commcarehq.org/a/demo-18/api/form/attachment/4f70ef8a-06d8-4152-b9e4-8f188d7a9894/1579074509619.jpg"/>
    <s v="https://www.commcarehq.org/a/demo-18/api/form/attachment/4f70ef8a-06d8-4152-b9e4-8f188d7a9894/1579074586833.jpg"/>
    <s v="https://www.commcarehq.org/a/demo-18/api/form/attachment/4f70ef8a-06d8-4152-b9e4-8f188d7a9894/1579074602039.jpg"/>
    <s v="https://www.commcarehq.org/a/demo-18/api/form/attachment/4f70ef8a-06d8-4152-b9e4-8f188d7a9894/1579074626012.jpg"/>
    <s v="https://www.commcarehq.org/a/demo-18/api/form/attachment/4f70ef8a-06d8-4152-b9e4-8f188d7a9894/1579074635632.jpg"/>
    <d v="2020-01-15T07:50:37"/>
    <d v="2020-01-15T07:46:34"/>
    <s v="arnold"/>
    <d v="2020-01-15T07:50:54"/>
    <s v="4f70ef8a-06d8-4152-b9e4-8f188d7a9894"/>
    <s v="https://www.commcarehq.org/a/demo-18/reports/form_data/4f70ef8a-06d8-4152-b9e4-8f188d7a9894/"/>
  </r>
  <r>
    <x v="65"/>
    <n v="6.4"/>
    <d v="2020-02-14T00:00:00"/>
    <d v="2020-01-15T00:00:00"/>
    <s v="no"/>
    <s v="---"/>
    <s v="---"/>
    <s v="---"/>
    <x v="0"/>
    <s v="no"/>
    <s v="---"/>
    <s v="https://www.commcarehq.org/a/demo-18/api/form/attachment/1a90b3b8-3991-4e06-84cf-8345dccaf188/1579075633700.jpg"/>
    <s v="https://www.commcarehq.org/a/demo-18/api/form/attachment/1a90b3b8-3991-4e06-84cf-8345dccaf188/1579075675592.jpg"/>
    <s v="https://www.commcarehq.org/a/demo-18/api/form/attachment/1a90b3b8-3991-4e06-84cf-8345dccaf188/1579075743424.jpg"/>
    <s v="https://www.commcarehq.org/a/demo-18/api/form/attachment/1a90b3b8-3991-4e06-84cf-8345dccaf188/1579075753951.jpg"/>
    <s v="https://www.commcarehq.org/a/demo-18/api/form/attachment/1a90b3b8-3991-4e06-84cf-8345dccaf188/1579075769401.jpg"/>
    <s v="https://www.commcarehq.org/a/demo-18/api/form/attachment/1a90b3b8-3991-4e06-84cf-8345dccaf188/1579075781133.jpg"/>
    <d v="2020-01-15T08:09:43"/>
    <d v="2020-01-15T08:06:35"/>
    <s v="arnold"/>
    <d v="2020-01-15T08:10:13"/>
    <s v="1a90b3b8-3991-4e06-84cf-8345dccaf188"/>
    <s v="https://www.commcarehq.org/a/demo-18/reports/form_data/1a90b3b8-3991-4e06-84cf-8345dccaf188/"/>
  </r>
  <r>
    <x v="66"/>
    <n v="5.4"/>
    <d v="2020-02-15T00:00:00"/>
    <d v="2020-01-16T00:00:00"/>
    <s v="no"/>
    <s v="---"/>
    <s v="---"/>
    <s v="---"/>
    <x v="1"/>
    <s v="no"/>
    <s v="---"/>
    <s v="https://www.commcarehq.org/a/demo-18/api/form/attachment/1975b72e-ebc8-4eee-960c-ec4f5ed5ab14/1579166621576.jpg"/>
    <s v="https://www.commcarehq.org/a/demo-18/api/form/attachment/1975b72e-ebc8-4eee-960c-ec4f5ed5ab14/1579166635234.jpg"/>
    <s v="https://www.commcarehq.org/a/demo-18/api/form/attachment/1975b72e-ebc8-4eee-960c-ec4f5ed5ab14/1579166784171.jpg"/>
    <s v="https://www.commcarehq.org/a/demo-18/api/form/attachment/1975b72e-ebc8-4eee-960c-ec4f5ed5ab14/1579166794663.jpg"/>
    <s v="https://www.commcarehq.org/a/demo-18/api/form/attachment/1975b72e-ebc8-4eee-960c-ec4f5ed5ab14/1579166813180.jpg"/>
    <s v="https://www.commcarehq.org/a/demo-18/api/form/attachment/1975b72e-ebc8-4eee-960c-ec4f5ed5ab14/1579166825074.jpg"/>
    <d v="2020-01-16T09:27:07"/>
    <d v="2020-01-16T09:22:30"/>
    <s v="arnold"/>
    <d v="2020-01-16T09:27:27"/>
    <s v="1975b72e-ebc8-4eee-960c-ec4f5ed5ab14"/>
    <s v="https://www.commcarehq.org/a/demo-18/reports/form_data/1975b72e-ebc8-4eee-960c-ec4f5ed5ab14/"/>
  </r>
  <r>
    <x v="67"/>
    <n v="6.7"/>
    <d v="2020-02-28T00:00:00"/>
    <d v="2020-01-29T00:00:00"/>
    <s v="no"/>
    <s v="---"/>
    <s v="---"/>
    <s v="---"/>
    <x v="1"/>
    <s v="no"/>
    <s v="---"/>
    <s v="https://www.commcarehq.org/a/demo-18/api/form/attachment/c3478b8e-b7d2-4149-91ba-0819996d8d1e/1580285271355.jpg"/>
    <s v="https://www.commcarehq.org/a/demo-18/api/form/attachment/c3478b8e-b7d2-4149-91ba-0819996d8d1e/1580285289882.jpg"/>
    <s v="https://www.commcarehq.org/a/demo-18/api/form/attachment/c3478b8e-b7d2-4149-91ba-0819996d8d1e/1580285350997.jpg"/>
    <s v="https://www.commcarehq.org/a/demo-18/api/form/attachment/c3478b8e-b7d2-4149-91ba-0819996d8d1e/1580285362474.jpg"/>
    <s v="https://www.commcarehq.org/a/demo-18/api/form/attachment/c3478b8e-b7d2-4149-91ba-0819996d8d1e/1580285399448.jpg"/>
    <s v="https://www.commcarehq.org/a/demo-18/api/form/attachment/c3478b8e-b7d2-4149-91ba-0819996d8d1e/1580285409279.jpg"/>
    <d v="2020-01-29T08:10:10"/>
    <d v="2020-01-29T08:07:13"/>
    <s v="arnold"/>
    <d v="2020-01-29T09:03:17"/>
    <s v="c3478b8e-b7d2-4149-91ba-0819996d8d1e"/>
    <s v="https://www.commcarehq.org/a/demo-18/reports/form_data/c3478b8e-b7d2-4149-91ba-0819996d8d1e/"/>
  </r>
  <r>
    <x v="68"/>
    <n v="5.4"/>
    <d v="2020-02-23T00:00:00"/>
    <d v="2020-01-24T00:00:00"/>
    <s v="no"/>
    <s v="---"/>
    <s v="---"/>
    <s v="---"/>
    <x v="1"/>
    <s v="no"/>
    <s v="---"/>
    <s v="https://www.commcarehq.org/a/demo-18/api/form/attachment/5793e96e-5c2b-41af-882d-86f166a2c354/1579847134106.jpg"/>
    <s v="https://www.commcarehq.org/a/demo-18/api/form/attachment/5793e96e-5c2b-41af-882d-86f166a2c354/1579847151288.jpg"/>
    <s v="https://www.commcarehq.org/a/demo-18/api/form/attachment/5793e96e-5c2b-41af-882d-86f166a2c354/1579847194910.jpg"/>
    <s v="https://www.commcarehq.org/a/demo-18/api/form/attachment/5793e96e-5c2b-41af-882d-86f166a2c354/1579847204398.jpg"/>
    <s v="https://www.commcarehq.org/a/demo-18/api/form/attachment/5793e96e-5c2b-41af-882d-86f166a2c354/1579847216159.jpg"/>
    <s v="https://www.commcarehq.org/a/demo-18/api/form/attachment/5793e96e-5c2b-41af-882d-86f166a2c354/1579847226502.jpg"/>
    <d v="2020-01-24T06:27:09"/>
    <d v="2020-01-24T06:24:47"/>
    <s v="arnold"/>
    <d v="2020-01-24T06:27:29"/>
    <s v="5793e96e-5c2b-41af-882d-86f166a2c354"/>
    <s v="https://www.commcarehq.org/a/demo-18/reports/form_data/5793e96e-5c2b-41af-882d-86f166a2c354/"/>
  </r>
  <r>
    <x v="69"/>
    <n v="5.6"/>
    <d v="2020-02-26T00:00:00"/>
    <d v="2020-01-27T00:00:00"/>
    <s v="no"/>
    <s v="---"/>
    <s v="---"/>
    <s v="---"/>
    <x v="1"/>
    <s v="no"/>
    <s v="---"/>
    <s v="https://www.commcarehq.org/a/demo-18/api/form/attachment/b2eb82d8-ae31-4471-84d8-8b35f59caff9/1580109223914.jpg"/>
    <s v="https://www.commcarehq.org/a/demo-18/api/form/attachment/b2eb82d8-ae31-4471-84d8-8b35f59caff9/1580109241623.jpg"/>
    <s v="https://www.commcarehq.org/a/demo-18/api/form/attachment/b2eb82d8-ae31-4471-84d8-8b35f59caff9/1580109355321.jpg"/>
    <s v="https://www.commcarehq.org/a/demo-18/api/form/attachment/b2eb82d8-ae31-4471-84d8-8b35f59caff9/1580109365327.jpg"/>
    <s v="https://www.commcarehq.org/a/demo-18/api/form/attachment/b2eb82d8-ae31-4471-84d8-8b35f59caff9/1580109383250.jpg"/>
    <s v="https://www.commcarehq.org/a/demo-18/api/form/attachment/b2eb82d8-ae31-4471-84d8-8b35f59caff9/1580109393790.jpg"/>
    <d v="2020-01-27T07:16:42"/>
    <d v="2020-01-27T07:13:13"/>
    <s v="arnold"/>
    <d v="2020-01-27T07:17:04"/>
    <s v="b2eb82d8-ae31-4471-84d8-8b35f59caff9"/>
    <s v="https://www.commcarehq.org/a/demo-18/reports/form_data/b2eb82d8-ae31-4471-84d8-8b35f59caff9/"/>
  </r>
  <r>
    <x v="70"/>
    <n v="5"/>
    <d v="2019-12-28T00:00:00"/>
    <d v="2019-11-28T00:00:00"/>
    <s v="no"/>
    <s v="---"/>
    <s v="---"/>
    <s v="---"/>
    <x v="5"/>
    <s v="no"/>
    <s v="---"/>
    <s v="https://www.commcarehq.org/a/demo-18/api/form/attachment/a984aace-b8f1-462a-9386-1f0d2027b1fc/1574931335284.jpg"/>
    <s v="https://www.commcarehq.org/a/demo-18/api/form/attachment/a984aace-b8f1-462a-9386-1f0d2027b1fc/1574931351067.jpg"/>
    <s v="https://www.commcarehq.org/a/demo-18/api/form/attachment/a984aace-b8f1-462a-9386-1f0d2027b1fc/1574931403919.jpg"/>
    <s v="https://www.commcarehq.org/a/demo-18/api/form/attachment/a984aace-b8f1-462a-9386-1f0d2027b1fc/1574931412237.jpg"/>
    <s v="https://www.commcarehq.org/a/demo-18/api/form/attachment/a984aace-b8f1-462a-9386-1f0d2027b1fc/1574931430005.jpg"/>
    <s v="https://www.commcarehq.org/a/demo-18/api/form/attachment/a984aace-b8f1-462a-9386-1f0d2027b1fc/1574931437275.jpg"/>
    <d v="2019-11-28T08:57:19"/>
    <d v="2019-11-28T08:54:18"/>
    <s v="arnold"/>
    <d v="2019-11-28T08:57:50"/>
    <s v="a984aace-b8f1-462a-9386-1f0d2027b1fc"/>
    <s v="https://www.commcarehq.org/a/demo-18/reports/form_data/a984aace-b8f1-462a-9386-1f0d2027b1fc/"/>
  </r>
  <r>
    <x v="71"/>
    <n v="6.9"/>
    <d v="2020-02-16T00:00:00"/>
    <d v="2020-01-17T00:00:00"/>
    <s v="no"/>
    <s v="---"/>
    <s v="---"/>
    <s v="---"/>
    <x v="1"/>
    <s v="no"/>
    <s v="---"/>
    <s v="https://www.commcarehq.org/a/demo-18/api/form/attachment/d4c61fd2-f950-4c80-99ba-75178a9b7e44/1579243843306.jpg"/>
    <s v="https://www.commcarehq.org/a/demo-18/api/form/attachment/d4c61fd2-f950-4c80-99ba-75178a9b7e44/1579243858096.jpg"/>
    <s v="https://www.commcarehq.org/a/demo-18/api/form/attachment/d4c61fd2-f950-4c80-99ba-75178a9b7e44/1579243983961.jpg"/>
    <s v="https://www.commcarehq.org/a/demo-18/api/form/attachment/d4c61fd2-f950-4c80-99ba-75178a9b7e44/1579243997755.jpg"/>
    <s v="https://www.commcarehq.org/a/demo-18/api/form/attachment/d4c61fd2-f950-4c80-99ba-75178a9b7e44/1579244012161.jpg"/>
    <s v="https://www.commcarehq.org/a/demo-18/api/form/attachment/d4c61fd2-f950-4c80-99ba-75178a9b7e44/1579244026609.jpg"/>
    <d v="2020-01-17T06:53:48"/>
    <d v="2020-01-17T06:50:00"/>
    <s v="arnold"/>
    <d v="2020-01-17T06:54:09"/>
    <s v="d4c61fd2-f950-4c80-99ba-75178a9b7e44"/>
    <s v="https://www.commcarehq.org/a/demo-18/reports/form_data/d4c61fd2-f950-4c80-99ba-75178a9b7e44/"/>
  </r>
  <r>
    <x v="72"/>
    <n v="6.2"/>
    <d v="2020-02-19T00:00:00"/>
    <d v="2020-01-20T00:00:00"/>
    <s v="no"/>
    <s v="---"/>
    <s v="---"/>
    <s v="---"/>
    <x v="5"/>
    <s v="no"/>
    <s v="---"/>
    <s v="https://www.commcarehq.org/a/demo-18/api/form/attachment/c677ba2c-315a-49ac-a3e2-6029bc26382f/1579504555345.jpg"/>
    <s v="https://www.commcarehq.org/a/demo-18/api/form/attachment/c677ba2c-315a-49ac-a3e2-6029bc26382f/1579504569799.jpg"/>
    <s v="https://www.commcarehq.org/a/demo-18/api/form/attachment/c677ba2c-315a-49ac-a3e2-6029bc26382f/1579504629385.jpg"/>
    <s v="https://www.commcarehq.org/a/demo-18/api/form/attachment/c677ba2c-315a-49ac-a3e2-6029bc26382f/1579504639617.jpg"/>
    <s v="https://www.commcarehq.org/a/demo-18/api/form/attachment/c677ba2c-315a-49ac-a3e2-6029bc26382f/1579504654906.jpg"/>
    <s v="https://www.commcarehq.org/a/demo-18/api/form/attachment/c677ba2c-315a-49ac-a3e2-6029bc26382f/1579504664031.jpg"/>
    <d v="2020-01-20T07:17:54"/>
    <d v="2020-01-20T07:15:27"/>
    <s v="arnold"/>
    <d v="2020-01-20T07:18:13"/>
    <s v="c677ba2c-315a-49ac-a3e2-6029bc26382f"/>
    <s v="https://www.commcarehq.org/a/demo-18/reports/form_data/c677ba2c-315a-49ac-a3e2-6029bc26382f/"/>
  </r>
  <r>
    <x v="73"/>
    <n v="6"/>
    <d v="2020-02-19T00:00:00"/>
    <d v="2020-01-20T00:00:00"/>
    <s v="no"/>
    <s v="---"/>
    <s v="---"/>
    <s v="---"/>
    <x v="1"/>
    <s v="no"/>
    <s v="---"/>
    <s v="https://www.commcarehq.org/a/demo-18/api/form/attachment/21fd2f4f-c4e4-4fd4-b36f-642e626c2384/1579508785987.jpg"/>
    <s v="https://www.commcarehq.org/a/demo-18/api/form/attachment/21fd2f4f-c4e4-4fd4-b36f-642e626c2384/1579508804948.jpg"/>
    <s v="https://www.commcarehq.org/a/demo-18/api/form/attachment/21fd2f4f-c4e4-4fd4-b36f-642e626c2384/1579508948714.jpg"/>
    <s v="https://www.commcarehq.org/a/demo-18/api/form/attachment/21fd2f4f-c4e4-4fd4-b36f-642e626c2384/1579508959068.jpg"/>
    <s v="https://www.commcarehq.org/a/demo-18/api/form/attachment/21fd2f4f-c4e4-4fd4-b36f-642e626c2384/1579508976130.jpg"/>
    <s v="https://www.commcarehq.org/a/demo-18/api/form/attachment/21fd2f4f-c4e4-4fd4-b36f-642e626c2384/1579508988442.jpg"/>
    <d v="2020-01-20T08:29:50"/>
    <d v="2020-01-20T08:25:48"/>
    <s v="arnold"/>
    <d v="2020-01-20T08:30:07"/>
    <s v="21fd2f4f-c4e4-4fd4-b36f-642e626c2384"/>
    <s v="https://www.commcarehq.org/a/demo-18/reports/form_data/21fd2f4f-c4e4-4fd4-b36f-642e626c2384/"/>
  </r>
  <r>
    <x v="74"/>
    <n v="5.5"/>
    <d v="2020-02-19T00:00:00"/>
    <d v="2020-01-20T00:00:00"/>
    <s v="no"/>
    <s v="---"/>
    <s v="---"/>
    <s v="---"/>
    <x v="1"/>
    <s v="no"/>
    <s v="---"/>
    <s v="https://www.commcarehq.org/a/demo-18/api/form/attachment/f006fe1a-3189-4077-9b90-f61894a5caeb/1579506226581.jpg"/>
    <s v="https://www.commcarehq.org/a/demo-18/api/form/attachment/f006fe1a-3189-4077-9b90-f61894a5caeb/1579506243963.jpg"/>
    <s v="https://www.commcarehq.org/a/demo-18/api/form/attachment/f006fe1a-3189-4077-9b90-f61894a5caeb/1579506286051.jpg"/>
    <s v="https://www.commcarehq.org/a/demo-18/api/form/attachment/f006fe1a-3189-4077-9b90-f61894a5caeb/1579506295384.jpg"/>
    <s v="https://www.commcarehq.org/a/demo-18/api/form/attachment/f006fe1a-3189-4077-9b90-f61894a5caeb/1579506308727.jpg"/>
    <s v="https://www.commcarehq.org/a/demo-18/api/form/attachment/f006fe1a-3189-4077-9b90-f61894a5caeb/1579506317271.jpg"/>
    <d v="2020-01-20T07:45:24"/>
    <d v="2020-01-20T07:42:17"/>
    <s v="arnold"/>
    <d v="2020-01-20T07:45:48"/>
    <s v="f006fe1a-3189-4077-9b90-f61894a5caeb"/>
    <s v="https://www.commcarehq.org/a/demo-18/reports/form_data/f006fe1a-3189-4077-9b90-f61894a5caeb/"/>
  </r>
  <r>
    <x v="75"/>
    <n v="5.9"/>
    <d v="2020-02-19T00:00:00"/>
    <d v="2020-01-20T00:00:00"/>
    <s v="no"/>
    <s v="---"/>
    <s v="---"/>
    <s v="---"/>
    <x v="5"/>
    <s v="no"/>
    <s v="---"/>
    <s v="https://www.commcarehq.org/a/demo-18/api/form/attachment/5dab97d9-bde0-4fe3-b19e-68f564f1195a/1579505149591.jpg"/>
    <s v="https://www.commcarehq.org/a/demo-18/api/form/attachment/5dab97d9-bde0-4fe3-b19e-68f564f1195a/1579505164695.jpg"/>
    <s v="https://www.commcarehq.org/a/demo-18/api/form/attachment/5dab97d9-bde0-4fe3-b19e-68f564f1195a/1579505197879.jpg"/>
    <s v="https://www.commcarehq.org/a/demo-18/api/form/attachment/5dab97d9-bde0-4fe3-b19e-68f564f1195a/1579505210067.jpg"/>
    <s v="https://www.commcarehq.org/a/demo-18/api/form/attachment/5dab97d9-bde0-4fe3-b19e-68f564f1195a/1579505226225.jpg"/>
    <s v="https://www.commcarehq.org/a/demo-18/api/form/attachment/5dab97d9-bde0-4fe3-b19e-68f564f1195a/1579505236165.jpg"/>
    <d v="2020-01-20T07:27:18"/>
    <d v="2020-01-20T07:25:19"/>
    <s v="arnold"/>
    <d v="2020-01-20T07:27:38"/>
    <s v="5dab97d9-bde0-4fe3-b19e-68f564f1195a"/>
    <s v="https://www.commcarehq.org/a/demo-18/reports/form_data/5dab97d9-bde0-4fe3-b19e-68f564f1195a/"/>
  </r>
  <r>
    <x v="76"/>
    <n v="5.8"/>
    <d v="2020-02-21T00:00:00"/>
    <d v="2020-01-22T00:00:00"/>
    <s v="no"/>
    <s v="---"/>
    <s v="---"/>
    <s v="---"/>
    <x v="1"/>
    <s v="no"/>
    <s v="---"/>
    <s v="https://www.commcarehq.org/a/demo-18/api/form/attachment/d2d3c539-ec20-4ff2-9348-57d9120d2fb2/1579674285724.jpg"/>
    <s v="https://www.commcarehq.org/a/demo-18/api/form/attachment/d2d3c539-ec20-4ff2-9348-57d9120d2fb2/1579674310102.jpg"/>
    <s v="https://www.commcarehq.org/a/demo-18/api/form/attachment/d2d3c539-ec20-4ff2-9348-57d9120d2fb2/1579674348659.jpg"/>
    <s v="https://www.commcarehq.org/a/demo-18/api/form/attachment/d2d3c539-ec20-4ff2-9348-57d9120d2fb2/1579674359292.jpg"/>
    <s v="https://www.commcarehq.org/a/demo-18/api/form/attachment/d2d3c539-ec20-4ff2-9348-57d9120d2fb2/1579674384376.jpg"/>
    <s v="https://www.commcarehq.org/a/demo-18/api/form/attachment/d2d3c539-ec20-4ff2-9348-57d9120d2fb2/1579674395429.jpg"/>
    <d v="2020-01-22T06:26:37"/>
    <d v="2020-01-22T06:23:53"/>
    <s v="arnold"/>
    <d v="2020-01-22T06:26:57"/>
    <s v="d2d3c539-ec20-4ff2-9348-57d9120d2fb2"/>
    <s v="https://www.commcarehq.org/a/demo-18/reports/form_data/d2d3c539-ec20-4ff2-9348-57d9120d2fb2/"/>
  </r>
  <r>
    <x v="77"/>
    <n v="6"/>
    <d v="2020-02-14T00:00:00"/>
    <d v="2020-01-15T00:00:00"/>
    <s v="no"/>
    <s v="---"/>
    <s v="---"/>
    <s v="---"/>
    <x v="0"/>
    <s v="no"/>
    <s v="---"/>
    <s v="https://www.commcarehq.org/a/demo-18/api/form/attachment/ff612325-a591-4e54-90da-e4d635f86024/1579073669074.jpg"/>
    <s v="https://www.commcarehq.org/a/demo-18/api/form/attachment/ff612325-a591-4e54-90da-e4d635f86024/1579073686884.jpg"/>
    <s v="https://www.commcarehq.org/a/demo-18/api/form/attachment/ff612325-a591-4e54-90da-e4d635f86024/1579073727686.jpg"/>
    <s v="https://www.commcarehq.org/a/demo-18/api/form/attachment/ff612325-a591-4e54-90da-e4d635f86024/1579073739845.jpg"/>
    <s v="https://www.commcarehq.org/a/demo-18/api/form/attachment/ff612325-a591-4e54-90da-e4d635f86024/1579073756717.jpg"/>
    <s v="https://www.commcarehq.org/a/demo-18/api/form/attachment/ff612325-a591-4e54-90da-e4d635f86024/1579073766594.jpg"/>
    <d v="2020-01-15T07:36:09"/>
    <d v="2020-01-15T07:33:47"/>
    <s v="arnold"/>
    <d v="2020-01-15T07:36:29"/>
    <s v="ff612325-a591-4e54-90da-e4d635f86024"/>
    <s v="https://www.commcarehq.org/a/demo-18/reports/form_data/ff612325-a591-4e54-90da-e4d635f86024/"/>
  </r>
  <r>
    <x v="78"/>
    <n v="7"/>
    <d v="2020-02-26T00:00:00"/>
    <d v="2020-01-27T00:00:00"/>
    <s v="no"/>
    <s v="---"/>
    <s v="---"/>
    <s v="---"/>
    <x v="1"/>
    <s v="no"/>
    <s v="---"/>
    <s v="https://www.commcarehq.org/a/demo-18/api/form/attachment/6186921f-9406-4177-bab5-cd2e439c108c/1580105650219.jpg"/>
    <s v="https://www.commcarehq.org/a/demo-18/api/form/attachment/6186921f-9406-4177-bab5-cd2e439c108c/1580105665888.jpg"/>
    <s v="https://www.commcarehq.org/a/demo-18/api/form/attachment/6186921f-9406-4177-bab5-cd2e439c108c/1580105704343.jpg"/>
    <s v="https://www.commcarehq.org/a/demo-18/api/form/attachment/6186921f-9406-4177-bab5-cd2e439c108c/1580105713601.jpg"/>
    <s v="https://www.commcarehq.org/a/demo-18/api/form/attachment/6186921f-9406-4177-bab5-cd2e439c108c/1580105727950.jpg"/>
    <s v="https://www.commcarehq.org/a/demo-18/api/form/attachment/6186921f-9406-4177-bab5-cd2e439c108c/1580105739813.jpg"/>
    <d v="2020-01-27T06:15:41"/>
    <d v="2020-01-27T06:13:29"/>
    <s v="arnold"/>
    <d v="2020-01-27T06:16:00"/>
    <s v="6186921f-9406-4177-bab5-cd2e439c108c"/>
    <s v="https://www.commcarehq.org/a/demo-18/reports/form_data/6186921f-9406-4177-bab5-cd2e439c108c/"/>
  </r>
  <r>
    <x v="79"/>
    <n v="5"/>
    <d v="2020-02-05T00:00:00"/>
    <d v="2020-01-06T00:00:00"/>
    <s v="no"/>
    <s v="---"/>
    <s v="---"/>
    <s v="---"/>
    <x v="5"/>
    <s v="no"/>
    <s v="---"/>
    <s v="https://www.commcarehq.org/a/demo-18/api/form/attachment/b5f8411d-10ad-4994-9355-aaea3a0cf024/1578292927281.jpg"/>
    <s v="https://www.commcarehq.org/a/demo-18/api/form/attachment/b5f8411d-10ad-4994-9355-aaea3a0cf024/1578292940935.jpg"/>
    <s v="https://www.commcarehq.org/a/demo-18/api/form/attachment/b5f8411d-10ad-4994-9355-aaea3a0cf024/1578293050550.jpg"/>
    <s v="https://www.commcarehq.org/a/demo-18/api/form/attachment/b5f8411d-10ad-4994-9355-aaea3a0cf024/1578293061244.jpg"/>
    <s v="https://www.commcarehq.org/a/demo-18/api/form/attachment/b5f8411d-10ad-4994-9355-aaea3a0cf024/1578293079373.jpg"/>
    <s v="https://www.commcarehq.org/a/demo-18/api/form/attachment/b5f8411d-10ad-4994-9355-aaea3a0cf024/1578293090688.jpg"/>
    <d v="2020-01-06T06:44:52"/>
    <d v="2020-01-06T06:41:06"/>
    <s v="arnold"/>
    <d v="2020-01-06T06:45:33"/>
    <s v="b5f8411d-10ad-4994-9355-aaea3a0cf024"/>
    <s v="https://www.commcarehq.org/a/demo-18/reports/form_data/b5f8411d-10ad-4994-9355-aaea3a0cf024/"/>
  </r>
  <r>
    <x v="80"/>
    <n v="6.2"/>
    <d v="2020-03-11T00:00:00"/>
    <d v="2020-02-10T00:00:00"/>
    <s v="no"/>
    <s v="---"/>
    <s v="---"/>
    <s v="---"/>
    <x v="0"/>
    <s v="no"/>
    <s v="---"/>
    <s v="https://www.commcarehq.org/a/demo-18/api/form/attachment/c97de56e-95db-417b-abe1-50f8ce1e0485/1581319430758.jpg"/>
    <s v="https://www.commcarehq.org/a/demo-18/api/form/attachment/c97de56e-95db-417b-abe1-50f8ce1e0485/1581319451287.jpg"/>
    <s v="https://www.commcarehq.org/a/demo-18/api/form/attachment/c97de56e-95db-417b-abe1-50f8ce1e0485/1581319553892.jpg"/>
    <s v="https://www.commcarehq.org/a/demo-18/api/form/attachment/c97de56e-95db-417b-abe1-50f8ce1e0485/1581319563836.jpg"/>
    <s v="https://www.commcarehq.org/a/demo-18/api/form/attachment/c97de56e-95db-417b-abe1-50f8ce1e0485/1581319597327.jpg"/>
    <s v="https://www.commcarehq.org/a/demo-18/api/form/attachment/c97de56e-95db-417b-abe1-50f8ce1e0485/1581319607974.jpg"/>
    <d v="2020-02-10T07:26:49"/>
    <d v="2020-02-10T07:22:58"/>
    <s v="arnold"/>
    <d v="2020-02-10T07:56:06"/>
    <s v="c97de56e-95db-417b-abe1-50f8ce1e0485"/>
    <s v="https://www.commcarehq.org/a/demo-18/reports/form_data/c97de56e-95db-417b-abe1-50f8ce1e0485/"/>
  </r>
  <r>
    <x v="81"/>
    <n v="5.9"/>
    <d v="2020-03-07T00:00:00"/>
    <d v="2020-02-06T00:00:00"/>
    <s v="no"/>
    <s v="---"/>
    <s v="---"/>
    <s v="---"/>
    <x v="0"/>
    <s v="no"/>
    <s v="---"/>
    <s v="https://www.commcarehq.org/a/demo-18/api/form/attachment/9dfd3733-0e65-4bbe-8bf7-7782ae0774bf/1580972265524.jpg"/>
    <s v="https://www.commcarehq.org/a/demo-18/api/form/attachment/9dfd3733-0e65-4bbe-8bf7-7782ae0774bf/1580972280499.jpg"/>
    <s v="https://www.commcarehq.org/a/demo-18/api/form/attachment/9dfd3733-0e65-4bbe-8bf7-7782ae0774bf/1580972323838.jpg"/>
    <s v="https://www.commcarehq.org/a/demo-18/api/form/attachment/9dfd3733-0e65-4bbe-8bf7-7782ae0774bf/1580972333407.jpg"/>
    <s v="https://www.commcarehq.org/a/demo-18/api/form/attachment/9dfd3733-0e65-4bbe-8bf7-7782ae0774bf/1580972351140.jpg"/>
    <s v="https://www.commcarehq.org/a/demo-18/api/form/attachment/9dfd3733-0e65-4bbe-8bf7-7782ae0774bf/1580972361185.jpg"/>
    <d v="2020-02-06T06:59:22"/>
    <d v="2020-02-06T06:57:07"/>
    <s v="arnold"/>
    <d v="2020-02-06T06:59:45"/>
    <s v="9dfd3733-0e65-4bbe-8bf7-7782ae0774bf"/>
    <s v="https://www.commcarehq.org/a/demo-18/reports/form_data/9dfd3733-0e65-4bbe-8bf7-7782ae0774bf/"/>
  </r>
  <r>
    <x v="82"/>
    <n v="6.4"/>
    <d v="2020-03-07T00:00:00"/>
    <d v="2020-02-06T00:00:00"/>
    <s v="no"/>
    <s v="---"/>
    <s v="---"/>
    <s v="---"/>
    <x v="0"/>
    <s v="no"/>
    <s v="---"/>
    <s v="https://www.commcarehq.org/a/demo-18/api/form/attachment/5c212663-04d6-463d-a3ac-315ff2c51403/1580971253922.jpg"/>
    <s v="https://www.commcarehq.org/a/demo-18/api/form/attachment/5c212663-04d6-463d-a3ac-315ff2c51403/1580971268561.jpg"/>
    <s v="https://www.commcarehq.org/a/demo-18/api/form/attachment/5c212663-04d6-463d-a3ac-315ff2c51403/1580971320121.jpg"/>
    <s v="https://www.commcarehq.org/a/demo-18/api/form/attachment/5c212663-04d6-463d-a3ac-315ff2c51403/1580971329321.jpg"/>
    <s v="https://www.commcarehq.org/a/demo-18/api/form/attachment/5c212663-04d6-463d-a3ac-315ff2c51403/1580971343595.jpg"/>
    <s v="https://www.commcarehq.org/a/demo-18/api/form/attachment/5c212663-04d6-463d-a3ac-315ff2c51403/1580971352970.jpg"/>
    <d v="2020-02-06T06:42:34"/>
    <d v="2020-02-06T06:40:32"/>
    <s v="arnold"/>
    <d v="2020-02-06T06:43:37"/>
    <s v="5c212663-04d6-463d-a3ac-315ff2c51403"/>
    <s v="https://www.commcarehq.org/a/demo-18/reports/form_data/5c212663-04d6-463d-a3ac-315ff2c51403/"/>
  </r>
  <r>
    <x v="83"/>
    <n v="6.9"/>
    <d v="2020-03-08T00:00:00"/>
    <d v="2020-02-07T00:00:00"/>
    <s v="no"/>
    <s v="---"/>
    <s v="---"/>
    <s v="---"/>
    <x v="0"/>
    <s v="no"/>
    <s v="---"/>
    <s v="https://www.commcarehq.org/a/demo-18/api/form/attachment/cf8cce0f-ca6d-446b-b6e5-c9300fb57ae7/1581059163331.jpg"/>
    <s v="https://www.commcarehq.org/a/demo-18/api/form/attachment/cf8cce0f-ca6d-446b-b6e5-c9300fb57ae7/1581059180405.jpg"/>
    <s v="https://www.commcarehq.org/a/demo-18/api/form/attachment/cf8cce0f-ca6d-446b-b6e5-c9300fb57ae7/1581059223807.jpg"/>
    <s v="https://www.commcarehq.org/a/demo-18/api/form/attachment/cf8cce0f-ca6d-446b-b6e5-c9300fb57ae7/1581059233770.jpg"/>
    <s v="https://www.commcarehq.org/a/demo-18/api/form/attachment/cf8cce0f-ca6d-446b-b6e5-c9300fb57ae7/1581059253509.jpg"/>
    <s v="https://www.commcarehq.org/a/demo-18/api/form/attachment/cf8cce0f-ca6d-446b-b6e5-c9300fb57ae7/1581059262524.jpg"/>
    <d v="2020-02-07T07:07:44"/>
    <d v="2020-02-07T07:05:28"/>
    <s v="arnold"/>
    <d v="2020-02-07T07:08:11"/>
    <s v="cf8cce0f-ca6d-446b-b6e5-c9300fb57ae7"/>
    <s v="https://www.commcarehq.org/a/demo-18/reports/form_data/cf8cce0f-ca6d-446b-b6e5-c9300fb57ae7/"/>
  </r>
  <r>
    <x v="84"/>
    <n v="6.5"/>
    <d v="2020-03-11T00:00:00"/>
    <d v="2020-02-10T00:00:00"/>
    <s v="no"/>
    <s v="---"/>
    <s v="---"/>
    <s v="---"/>
    <x v="1"/>
    <s v="no"/>
    <s v="---"/>
    <s v="https://www.commcarehq.org/a/demo-18/api/form/attachment/6cff6f7e-0337-43f5-af4f-4223d6062a55/1581329151498.jpg"/>
    <s v="https://www.commcarehq.org/a/demo-18/api/form/attachment/6cff6f7e-0337-43f5-af4f-4223d6062a55/1581329174566.jpg"/>
    <s v="https://www.commcarehq.org/a/demo-18/api/form/attachment/6cff6f7e-0337-43f5-af4f-4223d6062a55/1581329203215.jpg"/>
    <s v="https://www.commcarehq.org/a/demo-18/api/form/attachment/6cff6f7e-0337-43f5-af4f-4223d6062a55/1581329211652.jpg"/>
    <s v="https://www.commcarehq.org/a/demo-18/api/form/attachment/6cff6f7e-0337-43f5-af4f-4223d6062a55/1581329227715.jpg"/>
    <s v="https://www.commcarehq.org/a/demo-18/api/form/attachment/6cff6f7e-0337-43f5-af4f-4223d6062a55/1581329236466.jpg"/>
    <d v="2020-02-10T10:07:18"/>
    <d v="2020-02-10T10:05:10"/>
    <s v="arnold"/>
    <d v="2020-02-10T10:07:43"/>
    <s v="6cff6f7e-0337-43f5-af4f-4223d6062a55"/>
    <s v="https://www.commcarehq.org/a/demo-18/reports/form_data/6cff6f7e-0337-43f5-af4f-4223d6062a55/"/>
  </r>
  <r>
    <x v="85"/>
    <n v="5"/>
    <d v="2020-02-19T00:00:00"/>
    <d v="2020-01-20T00:00:00"/>
    <s v="no"/>
    <s v="---"/>
    <s v="---"/>
    <s v="---"/>
    <x v="0"/>
    <s v="no"/>
    <s v="---"/>
    <s v="https://www.commcarehq.org/a/demo-18/api/form/attachment/4fbe2b35-d1de-4ba8-a095-220787815fa8/1579511834004.jpg"/>
    <s v="https://www.commcarehq.org/a/demo-18/api/form/attachment/4fbe2b35-d1de-4ba8-a095-220787815fa8/1579511847574.jpg"/>
    <s v="https://www.commcarehq.org/a/demo-18/api/form/attachment/4fbe2b35-d1de-4ba8-a095-220787815fa8/1579511873661.jpg"/>
    <s v="https://www.commcarehq.org/a/demo-18/api/form/attachment/4fbe2b35-d1de-4ba8-a095-220787815fa8/1579511883020.jpg"/>
    <s v="https://www.commcarehq.org/a/demo-18/api/form/attachment/4fbe2b35-d1de-4ba8-a095-220787815fa8/1579511900470.jpg"/>
    <s v="https://www.commcarehq.org/a/demo-18/api/form/attachment/4fbe2b35-d1de-4ba8-a095-220787815fa8/1579511915393.jpg"/>
    <d v="2020-01-20T09:18:37"/>
    <d v="2020-01-20T09:16:42"/>
    <s v="arnold"/>
    <d v="2020-01-20T11:47:17"/>
    <s v="4fbe2b35-d1de-4ba8-a095-220787815fa8"/>
    <s v="https://www.commcarehq.org/a/demo-18/reports/form_data/4fbe2b35-d1de-4ba8-a095-220787815fa8/"/>
  </r>
  <r>
    <x v="86"/>
    <n v="6.9"/>
    <d v="2020-02-16T00:00:00"/>
    <d v="2020-01-17T00:00:00"/>
    <s v="no"/>
    <s v="---"/>
    <s v="---"/>
    <s v="---"/>
    <x v="0"/>
    <s v="no"/>
    <s v="---"/>
    <s v="https://www.commcarehq.org/a/demo-18/api/form/attachment/5c28a041-aff6-43c6-8784-8135e67ba919/1579248339217.jpg"/>
    <s v="https://www.commcarehq.org/a/demo-18/api/form/attachment/5c28a041-aff6-43c6-8784-8135e67ba919/1579248354064.jpg"/>
    <s v="https://www.commcarehq.org/a/demo-18/api/form/attachment/5c28a041-aff6-43c6-8784-8135e67ba919/1579248478148.jpg"/>
    <s v="https://www.commcarehq.org/a/demo-18/api/form/attachment/5c28a041-aff6-43c6-8784-8135e67ba919/1579248487569.jpg"/>
    <s v="https://www.commcarehq.org/a/demo-18/api/form/attachment/5c28a041-aff6-43c6-8784-8135e67ba919/1579248507391.jpg"/>
    <s v="https://www.commcarehq.org/a/demo-18/api/form/attachment/5c28a041-aff6-43c6-8784-8135e67ba919/1579248516177.jpg"/>
    <d v="2020-01-17T08:08:39"/>
    <d v="2020-01-17T08:05:07"/>
    <s v="arnold"/>
    <d v="2020-01-17T08:08:55"/>
    <s v="5c28a041-aff6-43c6-8784-8135e67ba919"/>
    <s v="https://www.commcarehq.org/a/demo-18/reports/form_data/5c28a041-aff6-43c6-8784-8135e67ba919/"/>
  </r>
  <r>
    <x v="87"/>
    <n v="7"/>
    <d v="2020-02-23T00:00:00"/>
    <d v="2020-01-24T00:00:00"/>
    <s v="no"/>
    <s v="---"/>
    <s v="---"/>
    <s v="---"/>
    <x v="5"/>
    <s v="yes"/>
    <s v="a_new_under_five_card_was_issued"/>
    <s v="https://www.commcarehq.org/a/demo-18/api/form/attachment/dda53d6b-c43c-4309-a3d5-0b00be81fbe7/1579848727216.jpg"/>
    <s v="https://www.commcarehq.org/a/demo-18/api/form/attachment/dda53d6b-c43c-4309-a3d5-0b00be81fbe7/1579848741825.jpg"/>
    <s v="https://www.commcarehq.org/a/demo-18/api/form/attachment/dda53d6b-c43c-4309-a3d5-0b00be81fbe7/1579848823221.jpg"/>
    <s v="https://www.commcarehq.org/a/demo-18/api/form/attachment/dda53d6b-c43c-4309-a3d5-0b00be81fbe7/1579848833398.jpg"/>
    <s v="https://www.commcarehq.org/a/demo-18/api/form/attachment/dda53d6b-c43c-4309-a3d5-0b00be81fbe7/1579848853369.jpg"/>
    <s v="https://www.commcarehq.org/a/demo-18/api/form/attachment/dda53d6b-c43c-4309-a3d5-0b00be81fbe7/1579848865366.jpg"/>
    <d v="2020-01-24T06:54:26"/>
    <d v="2020-01-24T06:51:11"/>
    <s v="arnold"/>
    <d v="2020-01-24T06:54:46"/>
    <s v="dda53d6b-c43c-4309-a3d5-0b00be81fbe7"/>
    <s v="https://www.commcarehq.org/a/demo-18/reports/form_data/dda53d6b-c43c-4309-a3d5-0b00be81fbe7/"/>
  </r>
  <r>
    <x v="88"/>
    <n v="6.3"/>
    <d v="2020-02-22T00:00:00"/>
    <d v="2020-01-23T00:00:00"/>
    <s v="no"/>
    <s v="---"/>
    <s v="---"/>
    <s v="---"/>
    <x v="1"/>
    <s v="no"/>
    <s v="---"/>
    <s v="https://www.commcarehq.org/a/demo-18/api/form/attachment/60609dee-e024-4008-bc32-6b4f23b748a6/1579762184597.jpg"/>
    <s v="https://www.commcarehq.org/a/demo-18/api/form/attachment/60609dee-e024-4008-bc32-6b4f23b748a6/1579762201230.jpg"/>
    <s v="https://www.commcarehq.org/a/demo-18/api/form/attachment/60609dee-e024-4008-bc32-6b4f23b748a6/1579762249673.jpg"/>
    <s v="https://www.commcarehq.org/a/demo-18/api/form/attachment/60609dee-e024-4008-bc32-6b4f23b748a6/1579762258665.jpg"/>
    <s v="https://www.commcarehq.org/a/demo-18/api/form/attachment/60609dee-e024-4008-bc32-6b4f23b748a6/1579762275794.jpg"/>
    <s v="https://www.commcarehq.org/a/demo-18/api/form/attachment/60609dee-e024-4008-bc32-6b4f23b748a6/1579762288382.jpg"/>
    <d v="2020-01-23T06:51:30"/>
    <d v="2020-01-23T06:49:22"/>
    <s v="arnold"/>
    <d v="2020-01-23T08:34:42"/>
    <s v="60609dee-e024-4008-bc32-6b4f23b748a6"/>
    <s v="https://www.commcarehq.org/a/demo-18/reports/form_data/60609dee-e024-4008-bc32-6b4f23b748a6/"/>
  </r>
  <r>
    <x v="89"/>
    <n v="5.7"/>
    <d v="2020-02-22T00:00:00"/>
    <d v="2020-01-23T00:00:00"/>
    <s v="no"/>
    <s v="---"/>
    <s v="---"/>
    <s v="---"/>
    <x v="0"/>
    <s v="no"/>
    <s v="---"/>
    <s v="https://www.commcarehq.org/a/demo-18/api/form/attachment/37228b01-f1c4-407f-b9b2-a083dac4848d/1579763992051.jpg"/>
    <s v="https://www.commcarehq.org/a/demo-18/api/form/attachment/37228b01-f1c4-407f-b9b2-a083dac4848d/1579764009154.jpg"/>
    <s v="https://www.commcarehq.org/a/demo-18/api/form/attachment/37228b01-f1c4-407f-b9b2-a083dac4848d/1579764147121.jpg"/>
    <s v="https://www.commcarehq.org/a/demo-18/api/form/attachment/37228b01-f1c4-407f-b9b2-a083dac4848d/1579764156754.jpg"/>
    <s v="https://www.commcarehq.org/a/demo-18/api/form/attachment/37228b01-f1c4-407f-b9b2-a083dac4848d/1579764174003.jpg"/>
    <s v="https://www.commcarehq.org/a/demo-18/api/form/attachment/37228b01-f1c4-407f-b9b2-a083dac4848d/1579764183825.jpg"/>
    <d v="2020-01-23T07:23:05"/>
    <d v="2020-01-23T07:18:54"/>
    <s v="arnold"/>
    <d v="2020-01-23T08:36:45"/>
    <s v="37228b01-f1c4-407f-b9b2-a083dac4848d"/>
    <s v="https://www.commcarehq.org/a/demo-18/reports/form_data/37228b01-f1c4-407f-b9b2-a083dac4848d/"/>
  </r>
  <r>
    <x v="90"/>
    <n v="5.4"/>
    <d v="2020-02-22T00:00:00"/>
    <d v="2020-01-23T00:00:00"/>
    <s v="no"/>
    <s v="---"/>
    <s v="---"/>
    <s v="---"/>
    <x v="1"/>
    <s v="no"/>
    <s v="---"/>
    <s v="https://www.commcarehq.org/a/demo-18/api/form/attachment/d4f42a81-a38f-4055-ac95-195ed6323be2/1579763748162.jpg"/>
    <s v="https://www.commcarehq.org/a/demo-18/api/form/attachment/d4f42a81-a38f-4055-ac95-195ed6323be2/1579763769122.jpg"/>
    <s v="https://www.commcarehq.org/a/demo-18/api/form/attachment/d4f42a81-a38f-4055-ac95-195ed6323be2/1579763819413.jpg"/>
    <s v="https://www.commcarehq.org/a/demo-18/api/form/attachment/d4f42a81-a38f-4055-ac95-195ed6323be2/1579763828003.jpg"/>
    <s v="https://www.commcarehq.org/a/demo-18/api/form/attachment/d4f42a81-a38f-4055-ac95-195ed6323be2/1579763846750.jpg"/>
    <s v="https://www.commcarehq.org/a/demo-18/api/form/attachment/d4f42a81-a38f-4055-ac95-195ed6323be2/1579763856226.jpg"/>
    <d v="2020-01-23T07:17:38"/>
    <d v="2020-01-23T07:15:25"/>
    <s v="arnold"/>
    <d v="2020-01-23T08:36:23"/>
    <s v="d4f42a81-a38f-4055-ac95-195ed6323be2"/>
    <s v="https://www.commcarehq.org/a/demo-18/reports/form_data/d4f42a81-a38f-4055-ac95-195ed6323be2/"/>
  </r>
  <r>
    <x v="91"/>
    <n v="6"/>
    <d v="2020-02-12T00:00:00"/>
    <d v="2020-01-13T00:00:00"/>
    <s v="no"/>
    <s v="---"/>
    <s v="---"/>
    <s v="---"/>
    <x v="0"/>
    <s v="no"/>
    <s v="---"/>
    <s v="https://www.commcarehq.org/a/demo-18/api/form/attachment/b64ee9f2-a2a5-4e9d-abc7-0ed6ba844e11/1578904988019.jpg"/>
    <s v="https://www.commcarehq.org/a/demo-18/api/form/attachment/b64ee9f2-a2a5-4e9d-abc7-0ed6ba844e11/1578905011053.jpg"/>
    <s v="https://www.commcarehq.org/a/demo-18/api/form/attachment/b64ee9f2-a2a5-4e9d-abc7-0ed6ba844e11/1578905155101.jpg"/>
    <s v="https://www.commcarehq.org/a/demo-18/api/form/attachment/b64ee9f2-a2a5-4e9d-abc7-0ed6ba844e11/1578905166914.jpg"/>
    <s v="https://www.commcarehq.org/a/demo-18/api/form/attachment/b64ee9f2-a2a5-4e9d-abc7-0ed6ba844e11/1578905196030.jpg"/>
    <s v="https://www.commcarehq.org/a/demo-18/api/form/attachment/b64ee9f2-a2a5-4e9d-abc7-0ed6ba844e11/1578905216436.jpg"/>
    <d v="2020-01-13T08:46:58"/>
    <d v="2020-01-13T08:41:31"/>
    <s v="arnold"/>
    <d v="2020-01-13T08:47:14"/>
    <s v="b64ee9f2-a2a5-4e9d-abc7-0ed6ba844e11"/>
    <s v="https://www.commcarehq.org/a/demo-18/reports/form_data/b64ee9f2-a2a5-4e9d-abc7-0ed6ba844e11/"/>
  </r>
  <r>
    <x v="92"/>
    <n v="5.7"/>
    <d v="2020-02-16T00:00:00"/>
    <d v="2020-01-17T00:00:00"/>
    <s v="no"/>
    <s v="---"/>
    <s v="---"/>
    <s v="---"/>
    <x v="9"/>
    <s v="no"/>
    <s v="---"/>
    <s v="https://www.commcarehq.org/a/demo-18/api/form/attachment/a05993cc-7f01-4269-a14a-b2b177d3ae76/1579245759505.jpg"/>
    <s v="https://www.commcarehq.org/a/demo-18/api/form/attachment/a05993cc-7f01-4269-a14a-b2b177d3ae76/1579245777267.jpg"/>
    <s v="https://www.commcarehq.org/a/demo-18/api/form/attachment/a05993cc-7f01-4269-a14a-b2b177d3ae76/1579245817683.jpg"/>
    <s v="https://www.commcarehq.org/a/demo-18/api/form/attachment/a05993cc-7f01-4269-a14a-b2b177d3ae76/1579245827030.jpg"/>
    <s v="https://www.commcarehq.org/a/demo-18/api/form/attachment/a05993cc-7f01-4269-a14a-b2b177d3ae76/1579245846646.jpg"/>
    <s v="https://www.commcarehq.org/a/demo-18/api/form/attachment/a05993cc-7f01-4269-a14a-b2b177d3ae76/1579245856134.jpg"/>
    <d v="2020-01-17T07:24:18"/>
    <d v="2020-01-17T07:21:48"/>
    <s v="arnold"/>
    <d v="2020-01-17T07:24:39"/>
    <s v="a05993cc-7f01-4269-a14a-b2b177d3ae76"/>
    <s v="https://www.commcarehq.org/a/demo-18/reports/form_data/a05993cc-7f01-4269-a14a-b2b177d3ae76/"/>
  </r>
  <r>
    <x v="93"/>
    <n v="4.2"/>
    <d v="2020-02-07T00:00:00"/>
    <d v="2020-01-08T00:00:00"/>
    <s v="no"/>
    <s v="---"/>
    <s v="---"/>
    <s v="---"/>
    <x v="5"/>
    <s v="no"/>
    <s v="---"/>
    <s v="https://www.commcarehq.org/a/demo-18/api/form/attachment/7a6a2e9d-8385-419c-9f8f-1d4272869b60/1578468968259.jpg"/>
    <s v="https://www.commcarehq.org/a/demo-18/api/form/attachment/7a6a2e9d-8385-419c-9f8f-1d4272869b60/1578468991579.jpg"/>
    <s v="https://www.commcarehq.org/a/demo-18/api/form/attachment/7a6a2e9d-8385-419c-9f8f-1d4272869b60/1578469114434.jpg"/>
    <s v="https://www.commcarehq.org/a/demo-18/api/form/attachment/7a6a2e9d-8385-419c-9f8f-1d4272869b60/1578469126620.jpg"/>
    <s v="https://www.commcarehq.org/a/demo-18/api/form/attachment/7a6a2e9d-8385-419c-9f8f-1d4272869b60/1578469167846.jpg"/>
    <s v="https://www.commcarehq.org/a/demo-18/api/form/attachment/7a6a2e9d-8385-419c-9f8f-1d4272869b60/1578469181670.jpg"/>
    <d v="2020-01-08T07:39:45"/>
    <d v="2020-01-08T07:35:20"/>
    <s v="arnold"/>
    <d v="2020-01-08T07:40:22"/>
    <s v="7a6a2e9d-8385-419c-9f8f-1d4272869b60"/>
    <s v="https://www.commcarehq.org/a/demo-18/reports/form_data/7a6a2e9d-8385-419c-9f8f-1d4272869b60/"/>
  </r>
  <r>
    <x v="94"/>
    <n v="4.8"/>
    <d v="2020-02-14T00:00:00"/>
    <d v="2020-01-15T00:00:00"/>
    <s v="no"/>
    <s v="---"/>
    <s v="---"/>
    <s v="---"/>
    <x v="0"/>
    <s v="no"/>
    <s v="---"/>
    <s v="https://www.commcarehq.org/a/demo-18/api/form/attachment/07b55077-4ea3-4b3c-9340-faa29269b589/1579077123348.jpg"/>
    <s v="https://www.commcarehq.org/a/demo-18/api/form/attachment/07b55077-4ea3-4b3c-9340-faa29269b589/1579077139824.jpg"/>
    <s v="https://www.commcarehq.org/a/demo-18/api/form/attachment/07b55077-4ea3-4b3c-9340-faa29269b589/1579077190655.jpg"/>
    <s v="https://www.commcarehq.org/a/demo-18/api/form/attachment/07b55077-4ea3-4b3c-9340-faa29269b589/1579077200474.jpg"/>
    <s v="https://www.commcarehq.org/a/demo-18/api/form/attachment/07b55077-4ea3-4b3c-9340-faa29269b589/1579077236996.jpg"/>
    <s v="https://www.commcarehq.org/a/demo-18/api/form/attachment/07b55077-4ea3-4b3c-9340-faa29269b589/1579077248524.jpg"/>
    <d v="2020-01-15T08:34:13"/>
    <d v="2020-01-15T08:31:29"/>
    <s v="arnold"/>
    <d v="2020-01-15T08:34:30"/>
    <s v="07b55077-4ea3-4b3c-9340-faa29269b589"/>
    <s v="https://www.commcarehq.org/a/demo-18/reports/form_data/07b55077-4ea3-4b3c-9340-faa29269b589/"/>
  </r>
  <r>
    <x v="95"/>
    <n v="6.2"/>
    <d v="2020-02-23T00:00:00"/>
    <d v="2020-01-24T00:00:00"/>
    <s v="no"/>
    <s v="---"/>
    <s v="---"/>
    <s v="---"/>
    <x v="1"/>
    <s v="no"/>
    <s v="---"/>
    <s v="https://www.commcarehq.org/a/demo-18/api/form/attachment/aeff77a8-b85e-4173-9086-ba1c2938d929/1579849132055.jpg"/>
    <s v="https://www.commcarehq.org/a/demo-18/api/form/attachment/aeff77a8-b85e-4173-9086-ba1c2938d929/1579849152564.jpg"/>
    <s v="https://www.commcarehq.org/a/demo-18/api/form/attachment/aeff77a8-b85e-4173-9086-ba1c2938d929/1579849203409.jpg"/>
    <s v="https://www.commcarehq.org/a/demo-18/api/form/attachment/aeff77a8-b85e-4173-9086-ba1c2938d929/1579849212047.jpg"/>
    <s v="https://www.commcarehq.org/a/demo-18/api/form/attachment/aeff77a8-b85e-4173-9086-ba1c2938d929/1579849247909.jpg"/>
    <s v="https://www.commcarehq.org/a/demo-18/api/form/attachment/aeff77a8-b85e-4173-9086-ba1c2938d929/1579849261352.jpg"/>
    <d v="2020-01-24T07:01:03"/>
    <d v="2020-01-24T06:58:04"/>
    <s v="arnold"/>
    <d v="2020-01-24T07:01:23"/>
    <s v="aeff77a8-b85e-4173-9086-ba1c2938d929"/>
    <s v="https://www.commcarehq.org/a/demo-18/reports/form_data/aeff77a8-b85e-4173-9086-ba1c2938d929/"/>
  </r>
  <r>
    <x v="96"/>
    <n v="4.5999999999999996"/>
    <d v="2020-02-19T00:00:00"/>
    <d v="2020-01-20T00:00:00"/>
    <s v="no"/>
    <s v="---"/>
    <s v="---"/>
    <s v="---"/>
    <x v="0"/>
    <s v="no"/>
    <s v="---"/>
    <s v="https://www.commcarehq.org/a/demo-18/api/form/attachment/96506ea5-bee7-476b-8954-b88df2e6f61a/1579505462220.jpg"/>
    <s v="https://www.commcarehq.org/a/demo-18/api/form/attachment/96506ea5-bee7-476b-8954-b88df2e6f61a/1579505477816.jpg"/>
    <s v="https://www.commcarehq.org/a/demo-18/api/form/attachment/96506ea5-bee7-476b-8954-b88df2e6f61a/1579505516068.jpg"/>
    <s v="https://www.commcarehq.org/a/demo-18/api/form/attachment/96506ea5-bee7-476b-8954-b88df2e6f61a/1579505525663.jpg"/>
    <s v="https://www.commcarehq.org/a/demo-18/api/form/attachment/96506ea5-bee7-476b-8954-b88df2e6f61a/1579505539579.jpg"/>
    <s v="https://www.commcarehq.org/a/demo-18/api/form/attachment/96506ea5-bee7-476b-8954-b88df2e6f61a/1579505549888.jpg"/>
    <d v="2020-01-20T07:32:31"/>
    <d v="2020-01-20T07:30:36"/>
    <s v="arnold"/>
    <d v="2020-01-20T07:32:50"/>
    <s v="96506ea5-bee7-476b-8954-b88df2e6f61a"/>
    <s v="https://www.commcarehq.org/a/demo-18/reports/form_data/96506ea5-bee7-476b-8954-b88df2e6f61a/"/>
  </r>
  <r>
    <x v="97"/>
    <n v="5.4"/>
    <d v="2020-02-21T00:00:00"/>
    <d v="2020-01-22T00:00:00"/>
    <s v="no"/>
    <s v="---"/>
    <s v="---"/>
    <s v="---"/>
    <x v="0"/>
    <s v="no"/>
    <s v="---"/>
    <s v="https://www.commcarehq.org/a/demo-18/api/form/attachment/9487d3d8-2e66-4345-b478-0a45e59938f8/1579679609490.jpg"/>
    <s v="https://www.commcarehq.org/a/demo-18/api/form/attachment/9487d3d8-2e66-4345-b478-0a45e59938f8/1579679622868.jpg"/>
    <s v="https://www.commcarehq.org/a/demo-18/api/form/attachment/9487d3d8-2e66-4345-b478-0a45e59938f8/1579679663388.jpg"/>
    <s v="https://www.commcarehq.org/a/demo-18/api/form/attachment/9487d3d8-2e66-4345-b478-0a45e59938f8/1579679673128.jpg"/>
    <s v="https://www.commcarehq.org/a/demo-18/api/form/attachment/9487d3d8-2e66-4345-b478-0a45e59938f8/1579679686243.jpg"/>
    <s v="https://www.commcarehq.org/a/demo-18/api/form/attachment/9487d3d8-2e66-4345-b478-0a45e59938f8/1579679695741.jpg"/>
    <d v="2020-01-22T07:54:58"/>
    <d v="2020-01-22T07:53:07"/>
    <s v="arnold"/>
    <d v="2020-01-22T07:55:14"/>
    <s v="9487d3d8-2e66-4345-b478-0a45e59938f8"/>
    <s v="https://www.commcarehq.org/a/demo-18/reports/form_data/9487d3d8-2e66-4345-b478-0a45e59938f8/"/>
  </r>
  <r>
    <x v="98"/>
    <n v="6.4"/>
    <d v="2020-02-28T00:00:00"/>
    <d v="2020-01-29T00:00:00"/>
    <s v="no"/>
    <s v="---"/>
    <s v="---"/>
    <s v="---"/>
    <x v="1"/>
    <s v="no"/>
    <s v="---"/>
    <s v="https://www.commcarehq.org/a/demo-18/api/form/attachment/2254306f-170c-41b1-bc61-7dda377669e9/1580280339468.jpg"/>
    <s v="https://www.commcarehq.org/a/demo-18/api/form/attachment/2254306f-170c-41b1-bc61-7dda377669e9/1580280356536.jpg"/>
    <s v="https://www.commcarehq.org/a/demo-18/api/form/attachment/2254306f-170c-41b1-bc61-7dda377669e9/1580280428754.jpg"/>
    <s v="https://www.commcarehq.org/a/demo-18/api/form/attachment/2254306f-170c-41b1-bc61-7dda377669e9/1580280438218.jpg"/>
    <s v="https://www.commcarehq.org/a/demo-18/api/form/attachment/2254306f-170c-41b1-bc61-7dda377669e9/1580280457581.jpg"/>
    <s v="https://www.commcarehq.org/a/demo-18/api/form/attachment/2254306f-170c-41b1-bc61-7dda377669e9/1580280466742.jpg"/>
    <d v="2020-01-29T06:47:48"/>
    <d v="2020-01-29T06:44:53"/>
    <s v="arnold"/>
    <d v="2020-01-29T09:02:19"/>
    <s v="2254306f-170c-41b1-bc61-7dda377669e9"/>
    <s v="https://www.commcarehq.org/a/demo-18/reports/form_data/2254306f-170c-41b1-bc61-7dda377669e9/"/>
  </r>
  <r>
    <x v="99"/>
    <n v="5.7"/>
    <d v="2020-02-26T00:00:00"/>
    <d v="2020-01-27T00:00:00"/>
    <s v="no"/>
    <s v="---"/>
    <s v="---"/>
    <s v="---"/>
    <x v="0"/>
    <s v="no"/>
    <s v="---"/>
    <s v="https://www.commcarehq.org/a/demo-18/api/form/attachment/1c9d2916-3479-46da-8360-1c21bca7ac42/1580108916992.jpg"/>
    <s v="https://www.commcarehq.org/a/demo-18/api/form/attachment/1c9d2916-3479-46da-8360-1c21bca7ac42/1580108935817.jpg"/>
    <s v="https://www.commcarehq.org/a/demo-18/api/form/attachment/1c9d2916-3479-46da-8360-1c21bca7ac42/1580108977622.jpg"/>
    <s v="https://www.commcarehq.org/a/demo-18/api/form/attachment/1c9d2916-3479-46da-8360-1c21bca7ac42/1580108990308.jpg"/>
    <s v="https://www.commcarehq.org/a/demo-18/api/form/attachment/1c9d2916-3479-46da-8360-1c21bca7ac42/1580109020081.jpg"/>
    <s v="https://www.commcarehq.org/a/demo-18/api/form/attachment/1c9d2916-3479-46da-8360-1c21bca7ac42/1580109031329.jpg"/>
    <d v="2020-01-27T07:10:33"/>
    <d v="2020-01-27T07:07:55"/>
    <s v="arnold"/>
    <d v="2020-01-27T07:10:58"/>
    <s v="1c9d2916-3479-46da-8360-1c21bca7ac42"/>
    <s v="https://www.commcarehq.org/a/demo-18/reports/form_data/1c9d2916-3479-46da-8360-1c21bca7ac42/"/>
  </r>
  <r>
    <x v="100"/>
    <n v="5.7"/>
    <d v="2020-03-11T00:00:00"/>
    <d v="2020-02-10T00:00:00"/>
    <s v="no"/>
    <s v="---"/>
    <s v="---"/>
    <s v="---"/>
    <x v="0"/>
    <s v="no"/>
    <s v="---"/>
    <s v="https://www.commcarehq.org/a/demo-18/api/form/attachment/6a1b38a4-5bd3-4b74-a929-70c32a8372f6/1581320383050.jpg"/>
    <s v="https://www.commcarehq.org/a/demo-18/api/form/attachment/6a1b38a4-5bd3-4b74-a929-70c32a8372f6/1581320400582.jpg"/>
    <s v="https://www.commcarehq.org/a/demo-18/api/form/attachment/6a1b38a4-5bd3-4b74-a929-70c32a8372f6/1581320436936.jpg"/>
    <s v="https://www.commcarehq.org/a/demo-18/api/form/attachment/6a1b38a4-5bd3-4b74-a929-70c32a8372f6/1581320445807.jpg"/>
    <s v="https://www.commcarehq.org/a/demo-18/api/form/attachment/6a1b38a4-5bd3-4b74-a929-70c32a8372f6/1581320469127.jpg"/>
    <s v="https://www.commcarehq.org/a/demo-18/api/form/attachment/6a1b38a4-5bd3-4b74-a929-70c32a8372f6/1581320478545.jpg"/>
    <d v="2020-02-10T07:41:20"/>
    <d v="2020-02-10T07:38:43"/>
    <s v="arnold"/>
    <d v="2020-02-10T07:56:45"/>
    <s v="6a1b38a4-5bd3-4b74-a929-70c32a8372f6"/>
    <s v="https://www.commcarehq.org/a/demo-18/reports/form_data/6a1b38a4-5bd3-4b74-a929-70c32a8372f6/"/>
  </r>
  <r>
    <x v="101"/>
    <n v="6.8"/>
    <d v="2020-03-21T00:00:00"/>
    <d v="2020-02-20T00:00:00"/>
    <s v="no"/>
    <s v="---"/>
    <s v="---"/>
    <s v="---"/>
    <x v="1"/>
    <s v="no"/>
    <s v="---"/>
    <s v="https://www.commcarehq.org/a/demo-18/api/form/attachment/fbfe23ba-37c6-4067-b7e6-da0e1907be47/1582187038723.jpg"/>
    <s v="https://www.commcarehq.org/a/demo-18/api/form/attachment/fbfe23ba-37c6-4067-b7e6-da0e1907be47/1582187055079.jpg"/>
    <s v="https://www.commcarehq.org/a/demo-18/api/form/attachment/fbfe23ba-37c6-4067-b7e6-da0e1907be47/1582187119412.jpg"/>
    <s v="https://www.commcarehq.org/a/demo-18/api/form/attachment/fbfe23ba-37c6-4067-b7e6-da0e1907be47/1582187128442.jpg"/>
    <s v="https://www.commcarehq.org/a/demo-18/api/form/attachment/fbfe23ba-37c6-4067-b7e6-da0e1907be47/1582187147869.jpg"/>
    <s v="https://www.commcarehq.org/a/demo-18/api/form/attachment/fbfe23ba-37c6-4067-b7e6-da0e1907be47/1582187160212.jpg"/>
    <d v="2020-02-20T08:26:02"/>
    <d v="2020-02-20T08:21:43"/>
    <s v="arnold"/>
    <d v="2020-02-20T08:26:27"/>
    <s v="fbfe23ba-37c6-4067-b7e6-da0e1907be47"/>
    <s v="https://www.commcarehq.org/a/demo-18/reports/form_data/fbfe23ba-37c6-4067-b7e6-da0e1907be47/"/>
  </r>
  <r>
    <x v="102"/>
    <n v="6.9"/>
    <d v="2020-03-18T00:00:00"/>
    <d v="2020-02-17T00:00:00"/>
    <s v="no"/>
    <s v="---"/>
    <s v="---"/>
    <s v="---"/>
    <x v="2"/>
    <s v="no"/>
    <s v="---"/>
    <s v="https://www.commcarehq.org/a/demo-18/api/form/attachment/291f0a55-86c0-4591-83e8-7674fd8c83a2/1581923441549.jpg"/>
    <s v="https://www.commcarehq.org/a/demo-18/api/form/attachment/291f0a55-86c0-4591-83e8-7674fd8c83a2/1581923461552.jpg"/>
    <s v="https://www.commcarehq.org/a/demo-18/api/form/attachment/291f0a55-86c0-4591-83e8-7674fd8c83a2/1581923506007.jpg"/>
    <s v="https://www.commcarehq.org/a/demo-18/api/form/attachment/291f0a55-86c0-4591-83e8-7674fd8c83a2/1581923518945.jpg"/>
    <s v="https://www.commcarehq.org/a/demo-18/api/form/attachment/291f0a55-86c0-4591-83e8-7674fd8c83a2/1581923540053.jpg"/>
    <s v="https://www.commcarehq.org/a/demo-18/api/form/attachment/291f0a55-86c0-4591-83e8-7674fd8c83a2/1581923549068.jpg"/>
    <d v="2020-02-17T07:12:30"/>
    <d v="2020-02-17T07:10:03"/>
    <s v="arnold"/>
    <d v="2020-02-17T07:12:55"/>
    <s v="291f0a55-86c0-4591-83e8-7674fd8c83a2"/>
    <s v="https://www.commcarehq.org/a/demo-18/reports/form_data/291f0a55-86c0-4591-83e8-7674fd8c83a2/"/>
  </r>
  <r>
    <x v="103"/>
    <n v="5.4"/>
    <d v="2020-03-18T00:00:00"/>
    <d v="2020-02-17T00:00:00"/>
    <s v="no"/>
    <s v="---"/>
    <s v="---"/>
    <s v="---"/>
    <x v="0"/>
    <s v="no"/>
    <s v="---"/>
    <s v="https://www.commcarehq.org/a/demo-18/api/form/attachment/c6c4f1db-405e-403a-b09b-5add1d8f7494/1581923653024.jpg"/>
    <s v="https://www.commcarehq.org/a/demo-18/api/form/attachment/c6c4f1db-405e-403a-b09b-5add1d8f7494/1581923666311.jpg"/>
    <s v="https://www.commcarehq.org/a/demo-18/api/form/attachment/c6c4f1db-405e-403a-b09b-5add1d8f7494/1581923746784.jpg"/>
    <s v="https://www.commcarehq.org/a/demo-18/api/form/attachment/c6c4f1db-405e-403a-b09b-5add1d8f7494/1581923757334.jpg"/>
    <s v="https://www.commcarehq.org/a/demo-18/api/form/attachment/c6c4f1db-405e-403a-b09b-5add1d8f7494/1581923786652.jpg"/>
    <s v="https://www.commcarehq.org/a/demo-18/api/form/attachment/c6c4f1db-405e-403a-b09b-5add1d8f7494/1581923797557.jpg"/>
    <d v="2020-02-17T07:16:39"/>
    <d v="2020-02-17T07:13:38"/>
    <s v="arnold"/>
    <d v="2020-02-17T07:17:07"/>
    <s v="c6c4f1db-405e-403a-b09b-5add1d8f7494"/>
    <s v="https://www.commcarehq.org/a/demo-18/reports/form_data/c6c4f1db-405e-403a-b09b-5add1d8f7494/"/>
  </r>
  <r>
    <x v="104"/>
    <n v="6.9"/>
    <d v="2020-03-20T00:00:00"/>
    <d v="2020-02-19T00:00:00"/>
    <s v="no"/>
    <s v="---"/>
    <s v="---"/>
    <s v="---"/>
    <x v="0"/>
    <s v="no"/>
    <s v="---"/>
    <s v="https://www.commcarehq.org/a/demo-18/api/form/attachment/e198d237-ddc1-4c67-891c-fcd2c6e6950f/1582096292227.jpg"/>
    <s v="https://www.commcarehq.org/a/demo-18/api/form/attachment/e198d237-ddc1-4c67-891c-fcd2c6e6950f/1582096305770.jpg"/>
    <s v="https://www.commcarehq.org/a/demo-18/api/form/attachment/e198d237-ddc1-4c67-891c-fcd2c6e6950f/1582096358217.jpg"/>
    <s v="https://www.commcarehq.org/a/demo-18/api/form/attachment/e198d237-ddc1-4c67-891c-fcd2c6e6950f/1582096367834.jpg"/>
    <s v="https://www.commcarehq.org/a/demo-18/api/form/attachment/e198d237-ddc1-4c67-891c-fcd2c6e6950f/1582096379097.jpg"/>
    <s v="https://www.commcarehq.org/a/demo-18/api/form/attachment/e198d237-ddc1-4c67-891c-fcd2c6e6950f/1582096390790.jpg"/>
    <d v="2020-02-19T07:13:13"/>
    <d v="2020-02-19T07:11:11"/>
    <s v="arnold"/>
    <d v="2020-02-19T07:13:36"/>
    <s v="e198d237-ddc1-4c67-891c-fcd2c6e6950f"/>
    <s v="https://www.commcarehq.org/a/demo-18/reports/form_data/e198d237-ddc1-4c67-891c-fcd2c6e6950f/"/>
  </r>
  <r>
    <x v="105"/>
    <n v="5.6"/>
    <d v="2020-03-20T00:00:00"/>
    <d v="2020-02-19T00:00:00"/>
    <s v="no"/>
    <s v="---"/>
    <s v="---"/>
    <s v="---"/>
    <x v="0"/>
    <s v="no"/>
    <s v="---"/>
    <s v="https://www.commcarehq.org/a/demo-18/api/form/attachment/1bbe54a6-d19f-4374-9b87-683d4247d92f/1582097589618.jpg"/>
    <s v="https://www.commcarehq.org/a/demo-18/api/form/attachment/1bbe54a6-d19f-4374-9b87-683d4247d92f/1582097602388.jpg"/>
    <s v="https://www.commcarehq.org/a/demo-18/api/form/attachment/1bbe54a6-d19f-4374-9b87-683d4247d92f/1582097651110.jpg"/>
    <s v="https://www.commcarehq.org/a/demo-18/api/form/attachment/1bbe54a6-d19f-4374-9b87-683d4247d92f/1582097659951.jpg"/>
    <s v="https://www.commcarehq.org/a/demo-18/api/form/attachment/1bbe54a6-d19f-4374-9b87-683d4247d92f/1582097684362.jpg"/>
    <s v="https://www.commcarehq.org/a/demo-18/api/form/attachment/1bbe54a6-d19f-4374-9b87-683d4247d92f/1582097691827.jpg"/>
    <d v="2020-02-19T07:34:53"/>
    <d v="2020-02-19T07:32:44"/>
    <s v="arnold"/>
    <d v="2020-02-19T07:35:14"/>
    <s v="1bbe54a6-d19f-4374-9b87-683d4247d92f"/>
    <s v="https://www.commcarehq.org/a/demo-18/reports/form_data/1bbe54a6-d19f-4374-9b87-683d4247d92f/"/>
  </r>
  <r>
    <x v="106"/>
    <n v="4.5"/>
    <d v="2020-03-14T00:00:00"/>
    <d v="2020-02-13T00:00:00"/>
    <s v="no"/>
    <s v="---"/>
    <s v="---"/>
    <s v="---"/>
    <x v="0"/>
    <s v="no"/>
    <s v="---"/>
    <s v="https://www.commcarehq.org/a/demo-18/api/form/attachment/dafd7a04-06eb-4ed3-b436-7b74fca226e2/1581576850069.jpg"/>
    <s v="https://www.commcarehq.org/a/demo-18/api/form/attachment/dafd7a04-06eb-4ed3-b436-7b74fca226e2/1581576871514.jpg"/>
    <s v="https://www.commcarehq.org/a/demo-18/api/form/attachment/dafd7a04-06eb-4ed3-b436-7b74fca226e2/1581576939774.jpg"/>
    <s v="https://www.commcarehq.org/a/demo-18/api/form/attachment/dafd7a04-06eb-4ed3-b436-7b74fca226e2/1581576948440.jpg"/>
    <s v="https://www.commcarehq.org/a/demo-18/api/form/attachment/dafd7a04-06eb-4ed3-b436-7b74fca226e2/1581576964571.jpg"/>
    <s v="https://www.commcarehq.org/a/demo-18/api/form/attachment/dafd7a04-06eb-4ed3-b436-7b74fca226e2/1581576975746.jpg"/>
    <d v="2020-02-13T06:56:17"/>
    <d v="2020-02-13T06:52:36"/>
    <s v="arnold"/>
    <d v="2020-02-13T06:56:39"/>
    <s v="dafd7a04-06eb-4ed3-b436-7b74fca226e2"/>
    <s v="https://www.commcarehq.org/a/demo-18/reports/form_data/dafd7a04-06eb-4ed3-b436-7b74fca226e2/"/>
  </r>
  <r>
    <x v="107"/>
    <m/>
    <m/>
    <m/>
    <m/>
    <m/>
    <m/>
    <m/>
    <x v="10"/>
    <m/>
    <m/>
    <m/>
    <m/>
    <m/>
    <m/>
    <m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2">
  <r>
    <x v="0"/>
    <n v="7.8"/>
    <d v="2020-01-17T00:00:00"/>
    <d v="2019-12-18T00:00:00"/>
    <s v="no"/>
    <s v="---"/>
    <s v="---"/>
    <s v="---"/>
    <x v="0"/>
    <s v="no"/>
    <s v="---"/>
    <s v="https://www.commcarehq.org/a/demo-18/api/form/attachment/25703259-8adc-4411-b19f-dd16fca2c400/1576660086976.jpg"/>
    <s v="https://www.commcarehq.org/a/demo-18/api/form/attachment/25703259-8adc-4411-b19f-dd16fca2c400/1576660108683.jpg"/>
    <s v="https://www.commcarehq.org/a/demo-18/api/form/attachment/25703259-8adc-4411-b19f-dd16fca2c400/1576660171057.jpg"/>
    <s v="https://www.commcarehq.org/a/demo-18/api/form/attachment/25703259-8adc-4411-b19f-dd16fca2c400/1576660180019.jpg"/>
    <s v="https://www.commcarehq.org/a/demo-18/api/form/attachment/25703259-8adc-4411-b19f-dd16fca2c400/1576660198604.jpg"/>
    <s v="https://www.commcarehq.org/a/demo-18/api/form/attachment/25703259-8adc-4411-b19f-dd16fca2c400/1576660210196.jpg"/>
    <d v="2019-12-18T09:10:12"/>
    <d v="2019-12-18T09:06:44"/>
    <s v="arnold"/>
    <d v="2019-12-18T09:10:27"/>
    <s v="25703259-8adc-4411-b19f-dd16fca2c400"/>
    <s v="https://www.commcarehq.org/a/demo-18/reports/form_data/25703259-8adc-4411-b19f-dd16fca2c400/"/>
  </r>
  <r>
    <x v="1"/>
    <n v="6.2"/>
    <d v="2020-01-10T00:00:00"/>
    <d v="2019-12-11T00:00:00"/>
    <s v="no"/>
    <s v="---"/>
    <s v="---"/>
    <s v="---"/>
    <x v="1"/>
    <s v="no"/>
    <s v="---"/>
    <s v="https://www.commcarehq.org/a/demo-18/api/form/attachment/687e0e66-00d3-484e-9425-b379991ed4a7/1576057669823.jpg"/>
    <s v="https://www.commcarehq.org/a/demo-18/api/form/attachment/687e0e66-00d3-484e-9425-b379991ed4a7/1576057703056.jpg"/>
    <s v="https://www.commcarehq.org/a/demo-18/api/form/attachment/687e0e66-00d3-484e-9425-b379991ed4a7/1576058110362.jpg"/>
    <s v="https://www.commcarehq.org/a/demo-18/api/form/attachment/687e0e66-00d3-484e-9425-b379991ed4a7/1576058120119.jpg"/>
    <s v="https://www.commcarehq.org/a/demo-18/api/form/attachment/687e0e66-00d3-484e-9425-b379991ed4a7/1576058150033.jpg"/>
    <s v="https://www.commcarehq.org/a/demo-18/api/form/attachment/687e0e66-00d3-484e-9425-b379991ed4a7/1576058172745.jpg"/>
    <d v="2019-12-11T09:56:14"/>
    <d v="2019-12-11T09:47:05"/>
    <s v="arnold"/>
    <d v="2019-12-11T10:37:49"/>
    <s v="687e0e66-00d3-484e-9425-b379991ed4a7"/>
    <s v="https://www.commcarehq.org/a/demo-18/reports/form_data/687e0e66-00d3-484e-9425-b379991ed4a7/"/>
  </r>
  <r>
    <x v="2"/>
    <n v="7.4"/>
    <d v="2020-01-08T00:00:00"/>
    <d v="2019-12-09T00:00:00"/>
    <s v="no"/>
    <s v="---"/>
    <s v="---"/>
    <s v="---"/>
    <x v="2"/>
    <s v="no"/>
    <s v="---"/>
    <s v="https://www.commcarehq.org/a/demo-18/api/form/attachment/282b9ae6-92e1-49db-8c41-b57f6e55a949/1575882180407.jpg"/>
    <s v="https://www.commcarehq.org/a/demo-18/api/form/attachment/282b9ae6-92e1-49db-8c41-b57f6e55a949/1575882194330.jpg"/>
    <s v="https://www.commcarehq.org/a/demo-18/api/form/attachment/282b9ae6-92e1-49db-8c41-b57f6e55a949/1575882232737.jpg"/>
    <s v="https://www.commcarehq.org/a/demo-18/api/form/attachment/282b9ae6-92e1-49db-8c41-b57f6e55a949/1575882241701.jpg"/>
    <s v="https://www.commcarehq.org/a/demo-18/api/form/attachment/282b9ae6-92e1-49db-8c41-b57f6e55a949/1575882267047.jpg"/>
    <s v="https://www.commcarehq.org/a/demo-18/api/form/attachment/282b9ae6-92e1-49db-8c41-b57f6e55a949/1575882277260.jpg"/>
    <d v="2019-12-09T09:04:39"/>
    <d v="2019-12-09T08:55:01"/>
    <s v="arnold"/>
    <d v="2019-12-09T10:08:11"/>
    <s v="282b9ae6-92e1-49db-8c41-b57f6e55a949"/>
    <s v="https://www.commcarehq.org/a/demo-18/reports/form_data/282b9ae6-92e1-49db-8c41-b57f6e55a949/"/>
  </r>
  <r>
    <x v="3"/>
    <n v="7.4"/>
    <d v="2019-12-29T00:00:00"/>
    <d v="2019-11-29T00:00:00"/>
    <s v="no"/>
    <s v="---"/>
    <s v="---"/>
    <s v="---"/>
    <x v="1"/>
    <s v="no"/>
    <s v="---"/>
    <s v="https://www.commcarehq.org/a/demo-18/api/form/attachment/0bcb3341-693a-4751-9c95-4e486e7d903b/1575013948130.jpg"/>
    <s v="https://www.commcarehq.org/a/demo-18/api/form/attachment/0bcb3341-693a-4751-9c95-4e486e7d903b/1575013963433.jpg"/>
    <s v="https://www.commcarehq.org/a/demo-18/api/form/attachment/0bcb3341-693a-4751-9c95-4e486e7d903b/1575013998416.jpg"/>
    <s v="https://www.commcarehq.org/a/demo-18/api/form/attachment/0bcb3341-693a-4751-9c95-4e486e7d903b/1575014006400.jpg"/>
    <s v="https://www.commcarehq.org/a/demo-18/api/form/attachment/0bcb3341-693a-4751-9c95-4e486e7d903b/1575014026365.jpg"/>
    <s v="https://www.commcarehq.org/a/demo-18/api/form/attachment/0bcb3341-693a-4751-9c95-4e486e7d903b/1575014035790.jpg"/>
    <d v="2019-11-29T07:53:57"/>
    <d v="2019-11-29T07:51:34"/>
    <s v="arnold"/>
    <d v="2019-11-29T08:48:25"/>
    <s v="0bcb3341-693a-4751-9c95-4e486e7d903b"/>
    <s v="https://www.commcarehq.org/a/demo-18/reports/form_data/0bcb3341-693a-4751-9c95-4e486e7d903b/"/>
  </r>
  <r>
    <x v="4"/>
    <n v="6.8"/>
    <d v="2019-12-27T00:00:00"/>
    <d v="2019-11-27T00:00:00"/>
    <s v="no"/>
    <s v="---"/>
    <s v="---"/>
    <s v="---"/>
    <x v="3"/>
    <s v="no"/>
    <s v="---"/>
    <s v="https://www.commcarehq.org/a/demo-18/api/form/attachment/89727c73-2bec-4648-828a-31d2c9006f8b/1574843201020.jpg"/>
    <s v="https://www.commcarehq.org/a/demo-18/api/form/attachment/89727c73-2bec-4648-828a-31d2c9006f8b/1574843225092.jpg"/>
    <s v="https://www.commcarehq.org/a/demo-18/api/form/attachment/89727c73-2bec-4648-828a-31d2c9006f8b/1574843259987.jpg"/>
    <s v="https://www.commcarehq.org/a/demo-18/api/form/attachment/89727c73-2bec-4648-828a-31d2c9006f8b/1574843270945.jpg"/>
    <s v="https://www.commcarehq.org/a/demo-18/api/form/attachment/89727c73-2bec-4648-828a-31d2c9006f8b/1574843296307.jpg"/>
    <s v="https://www.commcarehq.org/a/demo-18/api/form/attachment/89727c73-2bec-4648-828a-31d2c9006f8b/1574843307003.jpg"/>
    <d v="2019-11-27T08:28:28"/>
    <d v="2019-11-27T08:24:49"/>
    <s v="arnold"/>
    <d v="2019-11-27T09:11:49"/>
    <s v="89727c73-2bec-4648-828a-31d2c9006f8b"/>
    <s v="https://www.commcarehq.org/a/demo-18/reports/form_data/89727c73-2bec-4648-828a-31d2c9006f8b/"/>
  </r>
  <r>
    <x v="5"/>
    <n v="9.1"/>
    <d v="2019-12-28T00:00:00"/>
    <d v="2019-11-28T00:00:00"/>
    <s v="no"/>
    <s v="---"/>
    <s v="---"/>
    <s v="---"/>
    <x v="3"/>
    <s v="no"/>
    <s v="---"/>
    <s v="https://www.commcarehq.org/a/demo-18/api/form/attachment/7017c256-07bb-49ed-a2f2-403ef9644f0c/1574925877333.jpg"/>
    <s v="https://www.commcarehq.org/a/demo-18/api/form/attachment/7017c256-07bb-49ed-a2f2-403ef9644f0c/1574925896797.jpg"/>
    <s v="https://www.commcarehq.org/a/demo-18/api/form/attachment/7017c256-07bb-49ed-a2f2-403ef9644f0c/1574926023505.jpg"/>
    <s v="https://www.commcarehq.org/a/demo-18/api/form/attachment/7017c256-07bb-49ed-a2f2-403ef9644f0c/1574926033715.jpg"/>
    <s v="https://www.commcarehq.org/a/demo-18/api/form/attachment/7017c256-07bb-49ed-a2f2-403ef9644f0c/1574926087890.jpg"/>
    <s v="https://www.commcarehq.org/a/demo-18/api/form/attachment/7017c256-07bb-49ed-a2f2-403ef9644f0c/1574926103120.jpg"/>
    <d v="2019-11-28T07:28:25"/>
    <d v="2019-11-28T07:23:24"/>
    <s v="arnold"/>
    <d v="2019-11-28T07:28:44"/>
    <s v="7017c256-07bb-49ed-a2f2-403ef9644f0c"/>
    <s v="https://www.commcarehq.org/a/demo-18/reports/form_data/7017c256-07bb-49ed-a2f2-403ef9644f0c/"/>
  </r>
  <r>
    <x v="6"/>
    <n v="7.2"/>
    <d v="2020-03-22T00:00:00"/>
    <d v="2020-02-21T00:00:00"/>
    <s v="no"/>
    <s v="---"/>
    <s v="---"/>
    <s v="---"/>
    <x v="2"/>
    <s v="no"/>
    <s v="---"/>
    <s v="https://www.commcarehq.org/a/demo-18/api/form/attachment/e4de1e5a-fd37-487b-8fd2-5b426d21c0d5/1582275580653.jpg"/>
    <s v="https://www.commcarehq.org/a/demo-18/api/form/attachment/e4de1e5a-fd37-487b-8fd2-5b426d21c0d5/1582275597227.jpg"/>
    <s v="https://www.commcarehq.org/a/demo-18/api/form/attachment/e4de1e5a-fd37-487b-8fd2-5b426d21c0d5/1582275634229.jpg"/>
    <s v="https://www.commcarehq.org/a/demo-18/api/form/attachment/e4de1e5a-fd37-487b-8fd2-5b426d21c0d5/1582275652423.jpg"/>
    <s v="https://www.commcarehq.org/a/demo-18/api/form/attachment/e4de1e5a-fd37-487b-8fd2-5b426d21c0d5/1582275675023.jpg"/>
    <s v="https://www.commcarehq.org/a/demo-18/api/form/attachment/e4de1e5a-fd37-487b-8fd2-5b426d21c0d5/1582275685046.jpg"/>
    <d v="2020-02-21T09:01:26"/>
    <d v="2020-02-21T08:59:10"/>
    <s v="arnold"/>
    <d v="2020-02-21T09:01:55"/>
    <s v="e4de1e5a-fd37-487b-8fd2-5b426d21c0d5"/>
    <s v="https://www.commcarehq.org/a/demo-18/reports/form_data/e4de1e5a-fd37-487b-8fd2-5b426d21c0d5/"/>
  </r>
  <r>
    <x v="7"/>
    <n v="5"/>
    <d v="2020-03-25T00:00:00"/>
    <d v="2020-02-24T00:00:00"/>
    <s v="no"/>
    <s v="---"/>
    <s v="---"/>
    <s v="---"/>
    <x v="4"/>
    <s v="no"/>
    <s v="---"/>
    <s v="https://www.commcarehq.org/a/demo-18/api/form/attachment/c3c60898-adfc-4138-9336-fbd49115d009/1582530069930.jpg"/>
    <s v="https://www.commcarehq.org/a/demo-18/api/form/attachment/c3c60898-adfc-4138-9336-fbd49115d009/1582530091506.jpg"/>
    <s v="https://www.commcarehq.org/a/demo-18/api/form/attachment/c3c60898-adfc-4138-9336-fbd49115d009/1582530128890.jpg"/>
    <s v="https://www.commcarehq.org/a/demo-18/api/form/attachment/c3c60898-adfc-4138-9336-fbd49115d009/1582530138807.jpg"/>
    <s v="https://www.commcarehq.org/a/demo-18/api/form/attachment/c3c60898-adfc-4138-9336-fbd49115d009/1582530166365.jpg"/>
    <s v="https://www.commcarehq.org/a/demo-18/api/form/attachment/c3c60898-adfc-4138-9336-fbd49115d009/1582530175536.jpg"/>
    <d v="2020-02-24T07:42:57"/>
    <d v="2020-02-24T07:38:27"/>
    <s v="arnold"/>
    <d v="2020-02-24T07:43:16"/>
    <s v="c3c60898-adfc-4138-9336-fbd49115d009"/>
    <s v="https://www.commcarehq.org/a/demo-18/reports/form_data/c3c60898-adfc-4138-9336-fbd49115d009/"/>
  </r>
  <r>
    <x v="8"/>
    <n v="6.4"/>
    <d v="2020-04-19T00:00:00"/>
    <d v="2020-03-20T00:00:00"/>
    <s v="no"/>
    <s v="---"/>
    <s v="---"/>
    <s v="---"/>
    <x v="2"/>
    <s v="no"/>
    <s v="---"/>
    <s v="https://www.commcarehq.org/a/demo-18/api/form/attachment/5b4193ef-ad5f-4cb5-a35d-2935aad89ad6/1584688153817.jpg"/>
    <s v="https://www.commcarehq.org/a/demo-18/api/form/attachment/5b4193ef-ad5f-4cb5-a35d-2935aad89ad6/1584688173327.jpg"/>
    <s v="https://www.commcarehq.org/a/demo-18/api/form/attachment/5b4193ef-ad5f-4cb5-a35d-2935aad89ad6/1584688301227.jpg"/>
    <s v="https://www.commcarehq.org/a/demo-18/api/form/attachment/5b4193ef-ad5f-4cb5-a35d-2935aad89ad6/1584688314045.jpg"/>
    <s v="https://www.commcarehq.org/a/demo-18/api/form/attachment/5b4193ef-ad5f-4cb5-a35d-2935aad89ad6/1584688329037.jpg"/>
    <s v="https://www.commcarehq.org/a/demo-18/api/form/attachment/5b4193ef-ad5f-4cb5-a35d-2935aad89ad6/1584688339044.jpg"/>
    <d v="2020-03-20T07:12:21"/>
    <d v="2020-03-20T07:08:10"/>
    <s v="arnold"/>
    <d v="2020-03-20T07:12:44"/>
    <s v="5b4193ef-ad5f-4cb5-a35d-2935aad89ad6"/>
    <s v="https://www.commcarehq.org/a/demo-18/reports/form_data/5b4193ef-ad5f-4cb5-a35d-2935aad89ad6/"/>
  </r>
  <r>
    <x v="9"/>
    <n v="6.5"/>
    <d v="2020-04-19T00:00:00"/>
    <d v="2020-03-20T00:00:00"/>
    <s v="no"/>
    <s v="---"/>
    <s v="---"/>
    <s v="---"/>
    <x v="5"/>
    <s v="no"/>
    <s v="---"/>
    <s v="https://www.commcarehq.org/a/demo-18/api/form/attachment/c251d942-cd2f-492c-8e68-5b776d5f5a34/1584689305389.jpg"/>
    <s v="https://www.commcarehq.org/a/demo-18/api/form/attachment/c251d942-cd2f-492c-8e68-5b776d5f5a34/1584689319479.jpg"/>
    <s v="https://www.commcarehq.org/a/demo-18/api/form/attachment/c251d942-cd2f-492c-8e68-5b776d5f5a34/1584689353836.jpg"/>
    <s v="https://www.commcarehq.org/a/demo-18/api/form/attachment/c251d942-cd2f-492c-8e68-5b776d5f5a34/1584689364317.jpg"/>
    <s v="https://www.commcarehq.org/a/demo-18/api/form/attachment/c251d942-cd2f-492c-8e68-5b776d5f5a34/1584689380836.jpg"/>
    <s v="https://www.commcarehq.org/a/demo-18/api/form/attachment/c251d942-cd2f-492c-8e68-5b776d5f5a34/1584689388972.jpg"/>
    <d v="2020-03-20T07:29:50"/>
    <d v="2020-03-20T07:27:52"/>
    <s v="arnold"/>
    <d v="2020-03-20T07:30:32"/>
    <s v="c251d942-cd2f-492c-8e68-5b776d5f5a34"/>
    <s v="https://www.commcarehq.org/a/demo-18/reports/form_data/c251d942-cd2f-492c-8e68-5b776d5f5a34/"/>
  </r>
  <r>
    <x v="10"/>
    <n v="5.9"/>
    <d v="2020-04-19T00:00:00"/>
    <d v="2020-03-20T00:00:00"/>
    <s v="no"/>
    <s v="---"/>
    <s v="---"/>
    <s v="---"/>
    <x v="5"/>
    <s v="no"/>
    <s v="---"/>
    <s v="https://www.commcarehq.org/a/demo-18/api/form/attachment/17403fd4-fc4c-4d94-a5f0-9de9bec33cdd/1584690355755.jpg"/>
    <s v="https://www.commcarehq.org/a/demo-18/api/form/attachment/17403fd4-fc4c-4d94-a5f0-9de9bec33cdd/1584690369418.jpg"/>
    <s v="https://www.commcarehq.org/a/demo-18/api/form/attachment/17403fd4-fc4c-4d94-a5f0-9de9bec33cdd/1584690419904.jpg"/>
    <s v="https://www.commcarehq.org/a/demo-18/api/form/attachment/17403fd4-fc4c-4d94-a5f0-9de9bec33cdd/1584690428234.jpg"/>
    <s v="https://www.commcarehq.org/a/demo-18/api/form/attachment/17403fd4-fc4c-4d94-a5f0-9de9bec33cdd/1584690439732.jpg"/>
    <s v="https://www.commcarehq.org/a/demo-18/api/form/attachment/17403fd4-fc4c-4d94-a5f0-9de9bec33cdd/1584690447280.jpg"/>
    <d v="2020-03-20T07:47:28"/>
    <d v="2020-03-20T07:45:20"/>
    <s v="arnold"/>
    <d v="2020-03-20T07:47:51"/>
    <s v="17403fd4-fc4c-4d94-a5f0-9de9bec33cdd"/>
    <s v="https://www.commcarehq.org/a/demo-18/reports/form_data/17403fd4-fc4c-4d94-a5f0-9de9bec33cdd/"/>
  </r>
  <r>
    <x v="11"/>
    <n v="6.2"/>
    <d v="2020-04-19T00:00:00"/>
    <d v="2020-03-20T00:00:00"/>
    <s v="no"/>
    <s v="---"/>
    <s v="---"/>
    <s v="---"/>
    <x v="3"/>
    <s v="no"/>
    <s v="---"/>
    <s v="https://www.commcarehq.org/a/demo-18/api/form/attachment/4c874fc2-7d81-4651-8ca0-8711e5a3d7fc/1584695447396.jpg"/>
    <s v="https://www.commcarehq.org/a/demo-18/api/form/attachment/4c874fc2-7d81-4651-8ca0-8711e5a3d7fc/1584695462420.jpg"/>
    <s v="https://www.commcarehq.org/a/demo-18/api/form/attachment/4c874fc2-7d81-4651-8ca0-8711e5a3d7fc/1584695500112.jpg"/>
    <s v="https://www.commcarehq.org/a/demo-18/api/form/attachment/4c874fc2-7d81-4651-8ca0-8711e5a3d7fc/1584695509795.jpg"/>
    <s v="https://www.commcarehq.org/a/demo-18/api/form/attachment/4c874fc2-7d81-4651-8ca0-8711e5a3d7fc/1584695523158.jpg"/>
    <s v="https://www.commcarehq.org/a/demo-18/api/form/attachment/4c874fc2-7d81-4651-8ca0-8711e5a3d7fc/1584695530856.jpg"/>
    <d v="2020-03-20T09:12:13"/>
    <d v="2020-03-20T09:09:24"/>
    <s v="arnold"/>
    <d v="2020-03-20T10:03:58"/>
    <s v="4c874fc2-7d81-4651-8ca0-8711e5a3d7fc"/>
    <s v="https://www.commcarehq.org/a/demo-18/reports/form_data/4c874fc2-7d81-4651-8ca0-8711e5a3d7fc/"/>
  </r>
  <r>
    <x v="12"/>
    <n v="7.4"/>
    <d v="2020-04-19T00:00:00"/>
    <d v="2020-03-20T00:00:00"/>
    <s v="no"/>
    <s v="---"/>
    <s v="---"/>
    <s v="---"/>
    <x v="2"/>
    <s v="no"/>
    <s v="---"/>
    <s v="https://www.commcarehq.org/a/demo-18/api/form/attachment/67a82269-3236-43fa-a762-0a18ac0006bc/1584695714677.jpg"/>
    <s v="https://www.commcarehq.org/a/demo-18/api/form/attachment/67a82269-3236-43fa-a762-0a18ac0006bc/1584695729105.jpg"/>
    <s v="https://www.commcarehq.org/a/demo-18/api/form/attachment/67a82269-3236-43fa-a762-0a18ac0006bc/1584695780960.jpg"/>
    <s v="https://www.commcarehq.org/a/demo-18/api/form/attachment/67a82269-3236-43fa-a762-0a18ac0006bc/1584695805145.jpg"/>
    <s v="https://www.commcarehq.org/a/demo-18/api/form/attachment/67a82269-3236-43fa-a762-0a18ac0006bc/1584695825805.jpg"/>
    <s v="https://www.commcarehq.org/a/demo-18/api/form/attachment/67a82269-3236-43fa-a762-0a18ac0006bc/1584695836454.jpg"/>
    <d v="2020-03-20T09:17:18"/>
    <d v="2020-03-20T09:14:33"/>
    <s v="arnold"/>
    <d v="2020-03-20T10:04:42"/>
    <s v="67a82269-3236-43fa-a762-0a18ac0006bc"/>
    <s v="https://www.commcarehq.org/a/demo-18/reports/form_data/67a82269-3236-43fa-a762-0a18ac0006bc/"/>
  </r>
  <r>
    <x v="13"/>
    <n v="6.5"/>
    <d v="2020-04-22T00:00:00"/>
    <d v="2020-03-23T00:00:00"/>
    <s v="no"/>
    <s v="---"/>
    <s v="---"/>
    <s v="---"/>
    <x v="2"/>
    <s v="no"/>
    <s v="---"/>
    <s v="https://www.commcarehq.org/a/demo-18/api/form/attachment/ee5c22a4-93ed-453d-bcda-87ed07cdc389/1584944610423.jpg"/>
    <s v="https://www.commcarehq.org/a/demo-18/api/form/attachment/ee5c22a4-93ed-453d-bcda-87ed07cdc389/1584944625302.jpg"/>
    <s v="https://www.commcarehq.org/a/demo-18/api/form/attachment/ee5c22a4-93ed-453d-bcda-87ed07cdc389/1584944667473.jpg"/>
    <s v="https://www.commcarehq.org/a/demo-18/api/form/attachment/ee5c22a4-93ed-453d-bcda-87ed07cdc389/1584944677174.jpg"/>
    <s v="https://www.commcarehq.org/a/demo-18/api/form/attachment/ee5c22a4-93ed-453d-bcda-87ed07cdc389/1584944692405.jpg"/>
    <s v="https://www.commcarehq.org/a/demo-18/api/form/attachment/ee5c22a4-93ed-453d-bcda-87ed07cdc389/1584944701443.jpg"/>
    <d v="2020-03-23T06:25:03"/>
    <d v="2020-03-23T06:22:52"/>
    <s v="arnold"/>
    <d v="2020-03-23T06:25:27"/>
    <s v="ee5c22a4-93ed-453d-bcda-87ed07cdc389"/>
    <s v="https://www.commcarehq.org/a/demo-18/reports/form_data/ee5c22a4-93ed-453d-bcda-87ed07cdc389/"/>
  </r>
  <r>
    <x v="14"/>
    <n v="6.1"/>
    <d v="2020-04-18T00:00:00"/>
    <d v="2020-03-19T00:00:00"/>
    <s v="no"/>
    <s v="---"/>
    <s v="---"/>
    <s v="---"/>
    <x v="3"/>
    <s v="no"/>
    <s v="---"/>
    <s v="https://www.commcarehq.org/a/demo-18/api/form/attachment/15e48f1c-daff-4985-bab4-b218717852a0/1584600258817.jpg"/>
    <s v="https://www.commcarehq.org/a/demo-18/api/form/attachment/15e48f1c-daff-4985-bab4-b218717852a0/1584600269879.jpg"/>
    <s v="https://www.commcarehq.org/a/demo-18/api/form/attachment/15e48f1c-daff-4985-bab4-b218717852a0/1584600314265.jpg"/>
    <s v="https://www.commcarehq.org/a/demo-18/api/form/attachment/15e48f1c-daff-4985-bab4-b218717852a0/1584600327013.jpg"/>
    <s v="https://www.commcarehq.org/a/demo-18/api/form/attachment/15e48f1c-daff-4985-bab4-b218717852a0/1584600342721.jpg"/>
    <s v="https://www.commcarehq.org/a/demo-18/api/form/attachment/15e48f1c-daff-4985-bab4-b218717852a0/1584600350761.jpg"/>
    <d v="2020-03-19T06:45:52"/>
    <d v="2020-03-19T06:43:40"/>
    <s v="arnold"/>
    <d v="2020-03-19T06:46:06"/>
    <s v="15e48f1c-daff-4985-bab4-b218717852a0"/>
    <s v="https://www.commcarehq.org/a/demo-18/reports/form_data/15e48f1c-daff-4985-bab4-b218717852a0/"/>
  </r>
  <r>
    <x v="15"/>
    <n v="7.5"/>
    <d v="2020-04-17T00:00:00"/>
    <d v="2020-03-18T00:00:00"/>
    <s v="no"/>
    <s v="---"/>
    <s v="---"/>
    <s v="---"/>
    <x v="6"/>
    <s v="no"/>
    <s v="---"/>
    <s v="https://www.commcarehq.org/a/demo-18/api/form/attachment/c07955b8-87e5-4d9b-a091-2c6cea3b2681/1584520360089.jpg"/>
    <s v="https://www.commcarehq.org/a/demo-18/api/form/attachment/c07955b8-87e5-4d9b-a091-2c6cea3b2681/1584520372152.jpg"/>
    <s v="https://www.commcarehq.org/a/demo-18/api/form/attachment/c07955b8-87e5-4d9b-a091-2c6cea3b2681/1584520469880.jpg"/>
    <s v="https://www.commcarehq.org/a/demo-18/api/form/attachment/c07955b8-87e5-4d9b-a091-2c6cea3b2681/1584520482612.jpg"/>
    <s v="https://www.commcarehq.org/a/demo-18/api/form/attachment/c07955b8-87e5-4d9b-a091-2c6cea3b2681/1584520501757.jpg"/>
    <s v="https://www.commcarehq.org/a/demo-18/api/form/attachment/c07955b8-87e5-4d9b-a091-2c6cea3b2681/1584520514388.jpg"/>
    <d v="2020-03-18T08:35:20"/>
    <d v="2020-03-18T08:31:49"/>
    <s v="arnold"/>
    <d v="2020-03-18T08:35:40"/>
    <s v="c07955b8-87e5-4d9b-a091-2c6cea3b2681"/>
    <s v="https://www.commcarehq.org/a/demo-18/reports/form_data/c07955b8-87e5-4d9b-a091-2c6cea3b2681/"/>
  </r>
  <r>
    <x v="16"/>
    <n v="6.4"/>
    <d v="2020-04-17T00:00:00"/>
    <d v="2020-03-18T00:00:00"/>
    <s v="no"/>
    <s v="---"/>
    <s v="---"/>
    <s v="---"/>
    <x v="5"/>
    <s v="no"/>
    <s v="---"/>
    <s v="https://www.commcarehq.org/a/demo-18/api/form/attachment/031b7901-1ea9-4b79-a57b-0364fbbaa7e2/1584518802034.jpg"/>
    <s v="https://www.commcarehq.org/a/demo-18/api/form/attachment/031b7901-1ea9-4b79-a57b-0364fbbaa7e2/1584518840881.jpg"/>
    <s v="https://www.commcarehq.org/a/demo-18/api/form/attachment/031b7901-1ea9-4b79-a57b-0364fbbaa7e2/1584518985185.jpg"/>
    <s v="https://www.commcarehq.org/a/demo-18/api/form/attachment/031b7901-1ea9-4b79-a57b-0364fbbaa7e2/1584518993384.jpg"/>
    <s v="https://www.commcarehq.org/a/demo-18/api/form/attachment/031b7901-1ea9-4b79-a57b-0364fbbaa7e2/1584519009603.jpg"/>
    <s v="https://www.commcarehq.org/a/demo-18/api/form/attachment/031b7901-1ea9-4b79-a57b-0364fbbaa7e2/1584519017962.jpg"/>
    <d v="2020-03-18T08:10:19"/>
    <d v="2020-03-18T08:04:42"/>
    <s v="arnold"/>
    <d v="2020-03-18T08:11:37"/>
    <s v="031b7901-1ea9-4b79-a57b-0364fbbaa7e2"/>
    <s v="https://www.commcarehq.org/a/demo-18/reports/form_data/031b7901-1ea9-4b79-a57b-0364fbbaa7e2/"/>
  </r>
  <r>
    <x v="17"/>
    <n v="7.1"/>
    <d v="2020-04-18T00:00:00"/>
    <d v="2020-03-19T00:00:00"/>
    <s v="no"/>
    <s v="---"/>
    <s v="---"/>
    <s v="---"/>
    <x v="7"/>
    <s v="no"/>
    <s v="---"/>
    <s v="https://www.commcarehq.org/a/demo-18/api/form/attachment/3a21d909-ecd2-4078-a169-56fdb88e7fca/1584603597867.jpg"/>
    <s v="https://www.commcarehq.org/a/demo-18/api/form/attachment/3a21d909-ecd2-4078-a169-56fdb88e7fca/1584603612707.jpg"/>
    <s v="https://www.commcarehq.org/a/demo-18/api/form/attachment/3a21d909-ecd2-4078-a169-56fdb88e7fca/1584603644046.jpg"/>
    <s v="https://www.commcarehq.org/a/demo-18/api/form/attachment/3a21d909-ecd2-4078-a169-56fdb88e7fca/1584603652700.jpg"/>
    <s v="https://www.commcarehq.org/a/demo-18/api/form/attachment/3a21d909-ecd2-4078-a169-56fdb88e7fca/1584603668264.jpg"/>
    <s v="https://www.commcarehq.org/a/demo-18/api/form/attachment/3a21d909-ecd2-4078-a169-56fdb88e7fca/1584603676104.jpg"/>
    <d v="2020-03-19T07:41:18"/>
    <d v="2020-03-19T07:39:18"/>
    <s v="arnold"/>
    <d v="2020-03-19T07:41:37"/>
    <s v="3a21d909-ecd2-4078-a169-56fdb88e7fca"/>
    <s v="https://www.commcarehq.org/a/demo-18/reports/form_data/3a21d909-ecd2-4078-a169-56fdb88e7fca/"/>
  </r>
  <r>
    <x v="18"/>
    <n v="6.2"/>
    <d v="2020-04-24T00:00:00"/>
    <d v="2020-03-25T00:00:00"/>
    <s v="no"/>
    <s v="---"/>
    <s v="---"/>
    <s v="---"/>
    <x v="8"/>
    <s v="no"/>
    <s v="---"/>
    <s v="https://www.commcarehq.org/a/demo-18/api/form/attachment/113d7f04-dfd9-4efa-9ce8-75c8706e722b/1585117335612.jpg"/>
    <s v="https://www.commcarehq.org/a/demo-18/api/form/attachment/113d7f04-dfd9-4efa-9ce8-75c8706e722b/1585117355079.jpg"/>
    <s v="https://www.commcarehq.org/a/demo-18/api/form/attachment/113d7f04-dfd9-4efa-9ce8-75c8706e722b/1585117388903.jpg"/>
    <s v="https://www.commcarehq.org/a/demo-18/api/form/attachment/113d7f04-dfd9-4efa-9ce8-75c8706e722b/1585117398554.jpg"/>
    <s v="https://www.commcarehq.org/a/demo-18/api/form/attachment/113d7f04-dfd9-4efa-9ce8-75c8706e722b/1585117422287.jpg"/>
    <s v="https://www.commcarehq.org/a/demo-18/api/form/attachment/113d7f04-dfd9-4efa-9ce8-75c8706e722b/1585117431054.jpg"/>
    <d v="2020-03-25T06:23:55"/>
    <d v="2020-03-25T06:15:49"/>
    <s v="arnold"/>
    <d v="2020-03-25T06:24:14"/>
    <s v="113d7f04-dfd9-4efa-9ce8-75c8706e722b"/>
    <s v="https://www.commcarehq.org/a/demo-18/reports/form_data/113d7f04-dfd9-4efa-9ce8-75c8706e722b/"/>
  </r>
  <r>
    <x v="19"/>
    <n v="7.9"/>
    <d v="2020-04-10T00:00:00"/>
    <d v="2020-03-11T00:00:00"/>
    <s v="no"/>
    <s v="---"/>
    <s v="---"/>
    <s v="---"/>
    <x v="3"/>
    <s v="no"/>
    <s v="---"/>
    <s v="https://www.commcarehq.org/a/demo-18/api/form/attachment/b1ab9db6-0799-4135-94ee-959f26275fe5/1583910221662.jpg"/>
    <s v="https://www.commcarehq.org/a/demo-18/api/form/attachment/b1ab9db6-0799-4135-94ee-959f26275fe5/1583910234543.jpg"/>
    <s v="https://www.commcarehq.org/a/demo-18/api/form/attachment/b1ab9db6-0799-4135-94ee-959f26275fe5/1583910331234.jpg"/>
    <s v="https://www.commcarehq.org/a/demo-18/api/form/attachment/b1ab9db6-0799-4135-94ee-959f26275fe5/1583910339022.jpg"/>
    <s v="https://www.commcarehq.org/a/demo-18/api/form/attachment/b1ab9db6-0799-4135-94ee-959f26275fe5/1583910361885.jpg"/>
    <s v="https://www.commcarehq.org/a/demo-18/api/form/attachment/b1ab9db6-0799-4135-94ee-959f26275fe5/1583910375226.jpg"/>
    <d v="2020-03-11T07:06:18"/>
    <d v="2020-03-11T07:03:06"/>
    <s v="arnold"/>
    <d v="2020-03-11T07:06:37"/>
    <s v="b1ab9db6-0799-4135-94ee-959f26275fe5"/>
    <s v="https://www.commcarehq.org/a/demo-18/reports/form_data/b1ab9db6-0799-4135-94ee-959f26275fe5/"/>
  </r>
  <r>
    <x v="20"/>
    <n v="5.7"/>
    <d v="2019-12-07T00:00:00"/>
    <d v="2019-11-07T00:00:00"/>
    <s v="no"/>
    <s v="---"/>
    <s v="---"/>
    <s v="---"/>
    <x v="9"/>
    <s v="no"/>
    <s v="---"/>
    <s v="https://www.commcarehq.org/a/demo-18/api/form/attachment/f6479933-7313-4cda-a748-4ed40c04782b/1573117093018.jpg"/>
    <s v="https://www.commcarehq.org/a/demo-18/api/form/attachment/f6479933-7313-4cda-a748-4ed40c04782b/1573117111894.jpg"/>
    <s v="https://www.commcarehq.org/a/demo-18/api/form/attachment/f6479933-7313-4cda-a748-4ed40c04782b/1573117264912.jpg"/>
    <s v="https://www.commcarehq.org/a/demo-18/api/form/attachment/f6479933-7313-4cda-a748-4ed40c04782b/1573117288667.jpg"/>
    <s v="https://www.commcarehq.org/a/demo-18/api/form/attachment/f6479933-7313-4cda-a748-4ed40c04782b/1573117335738.jpg"/>
    <s v="https://www.commcarehq.org/a/demo-18/api/form/attachment/f6479933-7313-4cda-a748-4ed40c04782b/1573117350489.jpg"/>
    <d v="2019-11-07T09:02:33"/>
    <d v="2019-11-07T08:57:08"/>
    <s v="arnold"/>
    <d v="2019-11-07T10:11:28"/>
    <s v="f6479933-7313-4cda-a748-4ed40c04782b"/>
    <s v="https://www.commcarehq.org/a/demo-18/reports/form_data/f6479933-7313-4cda-a748-4ed40c04782b/"/>
  </r>
  <r>
    <x v="21"/>
    <n v="6.7"/>
    <d v="2019-12-07T00:00:00"/>
    <d v="2019-11-07T00:00:00"/>
    <s v="no"/>
    <s v="---"/>
    <s v="---"/>
    <s v="---"/>
    <x v="1"/>
    <s v="no"/>
    <s v="---"/>
    <s v="https://www.commcarehq.org/a/demo-18/api/form/attachment/2e9be744-6172-4054-ae26-9284e565d2f4/1573118239761.jpg"/>
    <s v="https://www.commcarehq.org/a/demo-18/api/form/attachment/2e9be744-6172-4054-ae26-9284e565d2f4/1573118255292.jpg"/>
    <s v="https://www.commcarehq.org/a/demo-18/api/form/attachment/2e9be744-6172-4054-ae26-9284e565d2f4/1573118290080.jpg"/>
    <s v="https://www.commcarehq.org/a/demo-18/api/form/attachment/2e9be744-6172-4054-ae26-9284e565d2f4/1573118305519.jpg"/>
    <s v="https://www.commcarehq.org/a/demo-18/api/form/attachment/2e9be744-6172-4054-ae26-9284e565d2f4/1573118349135.jpg"/>
    <s v="https://www.commcarehq.org/a/demo-18/api/form/attachment/2e9be744-6172-4054-ae26-9284e565d2f4/1573118372976.jpg"/>
    <d v="2019-11-07T09:19:35"/>
    <d v="2019-11-07T09:16:36"/>
    <s v="arnold"/>
    <d v="2019-11-07T10:11:56"/>
    <s v="2e9be744-6172-4054-ae26-9284e565d2f4"/>
    <s v="https://www.commcarehq.org/a/demo-18/reports/form_data/2e9be744-6172-4054-ae26-9284e565d2f4/"/>
  </r>
  <r>
    <x v="22"/>
    <n v="6.4"/>
    <d v="2019-12-06T00:00:00"/>
    <d v="2019-11-06T00:00:00"/>
    <s v="no"/>
    <s v="---"/>
    <s v="---"/>
    <s v="---"/>
    <x v="10"/>
    <s v="no"/>
    <s v="---"/>
    <s v="https://www.commcarehq.org/a/demo-18/api/form/attachment/912a60f9-863a-47e5-aaf6-ae176845a4bd/1573031007260.jpg"/>
    <s v="https://www.commcarehq.org/a/demo-18/api/form/attachment/912a60f9-863a-47e5-aaf6-ae176845a4bd/1573031033309.jpg"/>
    <s v="https://www.commcarehq.org/a/demo-18/api/form/attachment/912a60f9-863a-47e5-aaf6-ae176845a4bd/1573031161405.jpg"/>
    <s v="https://www.commcarehq.org/a/demo-18/api/form/attachment/912a60f9-863a-47e5-aaf6-ae176845a4bd/1573031172862.jpg"/>
    <s v="https://www.commcarehq.org/a/demo-18/api/form/attachment/912a60f9-863a-47e5-aaf6-ae176845a4bd/1573031206803.jpg"/>
    <s v="https://www.commcarehq.org/a/demo-18/api/form/attachment/912a60f9-863a-47e5-aaf6-ae176845a4bd/1573031218735.jpg"/>
    <d v="2019-11-06T09:07:00"/>
    <d v="2019-11-06T09:01:55"/>
    <s v="papias"/>
    <d v="2019-11-06T09:13:13"/>
    <s v="912a60f9-863a-47e5-aaf6-ae176845a4bd"/>
    <s v="https://www.commcarehq.org/a/demo-18/reports/form_data/912a60f9-863a-47e5-aaf6-ae176845a4bd/"/>
  </r>
  <r>
    <x v="23"/>
    <n v="5.2"/>
    <d v="2020-01-03T00:00:00"/>
    <d v="2019-12-04T00:00:00"/>
    <s v="no"/>
    <s v="---"/>
    <s v="---"/>
    <s v="---"/>
    <x v="0"/>
    <s v="no"/>
    <s v="---"/>
    <s v="https://www.commcarehq.org/a/demo-18/api/form/attachment/01a1bcab-79d0-4076-8843-b56288a36627/1575445153779.jpg"/>
    <s v="https://www.commcarehq.org/a/demo-18/api/form/attachment/01a1bcab-79d0-4076-8843-b56288a36627/1575445174238.jpg"/>
    <s v="https://www.commcarehq.org/a/demo-18/api/form/attachment/01a1bcab-79d0-4076-8843-b56288a36627/1575445232965.jpg"/>
    <s v="https://www.commcarehq.org/a/demo-18/api/form/attachment/01a1bcab-79d0-4076-8843-b56288a36627/1575445241735.jpg"/>
    <s v="https://www.commcarehq.org/a/demo-18/api/form/attachment/01a1bcab-79d0-4076-8843-b56288a36627/1575445262263.jpg"/>
    <s v="https://www.commcarehq.org/a/demo-18/api/form/attachment/01a1bcab-79d0-4076-8843-b56288a36627/1575445270403.jpg"/>
    <d v="2019-12-04T07:41:12"/>
    <d v="2019-12-04T07:38:21"/>
    <s v="arnold"/>
    <d v="2019-12-04T07:41:28"/>
    <s v="01a1bcab-79d0-4076-8843-b56288a36627"/>
    <s v="https://www.commcarehq.org/a/demo-18/reports/form_data/01a1bcab-79d0-4076-8843-b56288a36627/"/>
  </r>
  <r>
    <x v="24"/>
    <n v="7.2"/>
    <d v="2020-01-03T00:00:00"/>
    <d v="2019-12-04T00:00:00"/>
    <s v="no"/>
    <s v="---"/>
    <s v="---"/>
    <s v="---"/>
    <x v="1"/>
    <s v="no"/>
    <s v="---"/>
    <s v="https://www.commcarehq.org/a/demo-18/api/form/attachment/e331081b-00cc-4478-bc2f-59e3e20bd64f/1575446909080.jpg"/>
    <s v="https://www.commcarehq.org/a/demo-18/api/form/attachment/e331081b-00cc-4478-bc2f-59e3e20bd64f/1575446930733.jpg"/>
    <s v="https://www.commcarehq.org/a/demo-18/api/form/attachment/e331081b-00cc-4478-bc2f-59e3e20bd64f/1575446962881.jpg"/>
    <s v="https://www.commcarehq.org/a/demo-18/api/form/attachment/e331081b-00cc-4478-bc2f-59e3e20bd64f/1575446987356.jpg"/>
    <s v="https://www.commcarehq.org/a/demo-18/api/form/attachment/e331081b-00cc-4478-bc2f-59e3e20bd64f/1575447030560.jpg"/>
    <s v="https://www.commcarehq.org/a/demo-18/api/form/attachment/e331081b-00cc-4478-bc2f-59e3e20bd64f/1575447039585.jpg"/>
    <d v="2019-12-04T08:10:41"/>
    <d v="2019-12-04T08:07:35"/>
    <s v="arnold"/>
    <d v="2019-12-04T08:11:01"/>
    <s v="e331081b-00cc-4478-bc2f-59e3e20bd64f"/>
    <s v="https://www.commcarehq.org/a/demo-18/reports/form_data/e331081b-00cc-4478-bc2f-59e3e20bd64f/"/>
  </r>
  <r>
    <x v="25"/>
    <n v="7"/>
    <d v="2020-01-05T00:00:00"/>
    <d v="2019-12-06T00:00:00"/>
    <s v="no"/>
    <s v="---"/>
    <s v="---"/>
    <s v="---"/>
    <x v="2"/>
    <s v="no"/>
    <s v="---"/>
    <s v="https://www.commcarehq.org/a/demo-18/api/form/attachment/acf7e301-eae9-4bf4-8231-c1c98dab994e/1575623222732.jpg"/>
    <s v="https://www.commcarehq.org/a/demo-18/api/form/attachment/acf7e301-eae9-4bf4-8231-c1c98dab994e/1575623233942.jpg"/>
    <s v="https://www.commcarehq.org/a/demo-18/api/form/attachment/acf7e301-eae9-4bf4-8231-c1c98dab994e/1575623272345.jpg"/>
    <s v="https://www.commcarehq.org/a/demo-18/api/form/attachment/acf7e301-eae9-4bf4-8231-c1c98dab994e/1575623282031.jpg"/>
    <s v="https://www.commcarehq.org/a/demo-18/api/form/attachment/acf7e301-eae9-4bf4-8231-c1c98dab994e/1575623299629.jpg"/>
    <s v="https://www.commcarehq.org/a/demo-18/api/form/attachment/acf7e301-eae9-4bf4-8231-c1c98dab994e/1575623318093.jpg"/>
    <d v="2019-12-06T09:08:40"/>
    <d v="2019-12-06T09:06:00"/>
    <s v="arnold"/>
    <d v="2019-12-06T09:08:57"/>
    <s v="acf7e301-eae9-4bf4-8231-c1c98dab994e"/>
    <s v="https://www.commcarehq.org/a/demo-18/reports/form_data/acf7e301-eae9-4bf4-8231-c1c98dab994e/"/>
  </r>
  <r>
    <x v="26"/>
    <n v="8.4"/>
    <d v="2020-01-08T00:00:00"/>
    <d v="2019-12-09T00:00:00"/>
    <s v="no"/>
    <s v="---"/>
    <s v="---"/>
    <s v="---"/>
    <x v="0"/>
    <s v="no"/>
    <s v="---"/>
    <s v="https://www.commcarehq.org/a/demo-18/api/form/attachment/cfff31f2-efad-49b1-9b1a-ab3deae36be6/1575877110685.jpg"/>
    <s v="https://www.commcarehq.org/a/demo-18/api/form/attachment/cfff31f2-efad-49b1-9b1a-ab3deae36be6/1575877123974.jpg"/>
    <s v="https://www.commcarehq.org/a/demo-18/api/form/attachment/cfff31f2-efad-49b1-9b1a-ab3deae36be6/1575877154753.jpg"/>
    <s v="https://www.commcarehq.org/a/demo-18/api/form/attachment/cfff31f2-efad-49b1-9b1a-ab3deae36be6/1575877165775.jpg"/>
    <s v="https://www.commcarehq.org/a/demo-18/api/form/attachment/cfff31f2-efad-49b1-9b1a-ab3deae36be6/1575877183345.jpg"/>
    <s v="https://www.commcarehq.org/a/demo-18/api/form/attachment/cfff31f2-efad-49b1-9b1a-ab3deae36be6/1575877192640.jpg"/>
    <d v="2019-12-09T07:39:54"/>
    <d v="2019-12-09T07:37:48"/>
    <s v="arnold"/>
    <d v="2019-12-09T10:04:14"/>
    <s v="cfff31f2-efad-49b1-9b1a-ab3deae36be6"/>
    <s v="https://www.commcarehq.org/a/demo-18/reports/form_data/cfff31f2-efad-49b1-9b1a-ab3deae36be6/"/>
  </r>
  <r>
    <x v="27"/>
    <n v="5.2"/>
    <d v="2019-12-27T00:00:00"/>
    <d v="2019-11-27T00:00:00"/>
    <s v="no"/>
    <s v="---"/>
    <s v="---"/>
    <s v="---"/>
    <x v="2"/>
    <s v="no"/>
    <s v="---"/>
    <s v="https://www.commcarehq.org/a/demo-18/api/form/attachment/0e29bc05-ea2a-4373-a81a-3702396bb054/1574842653511.jpg"/>
    <s v="https://www.commcarehq.org/a/demo-18/api/form/attachment/0e29bc05-ea2a-4373-a81a-3702396bb054/1574842671314.jpg"/>
    <s v="https://www.commcarehq.org/a/demo-18/api/form/attachment/0e29bc05-ea2a-4373-a81a-3702396bb054/1574842702451.jpg"/>
    <s v="https://www.commcarehq.org/a/demo-18/api/form/attachment/0e29bc05-ea2a-4373-a81a-3702396bb054/1574842712573.jpg"/>
    <s v="https://www.commcarehq.org/a/demo-18/api/form/attachment/0e29bc05-ea2a-4373-a81a-3702396bb054/1574842725158.jpg"/>
    <s v="https://www.commcarehq.org/a/demo-18/api/form/attachment/0e29bc05-ea2a-4373-a81a-3702396bb054/1574842733188.jpg"/>
    <d v="2019-11-27T08:18:54"/>
    <d v="2019-11-27T08:16:47"/>
    <s v="arnold"/>
    <d v="2019-11-27T09:11:32"/>
    <s v="0e29bc05-ea2a-4373-a81a-3702396bb054"/>
    <s v="https://www.commcarehq.org/a/demo-18/reports/form_data/0e29bc05-ea2a-4373-a81a-3702396bb054/"/>
  </r>
  <r>
    <x v="28"/>
    <n v="7.9"/>
    <d v="2019-12-25T00:00:00"/>
    <d v="2019-11-25T00:00:00"/>
    <s v="no"/>
    <s v="---"/>
    <s v="---"/>
    <s v="---"/>
    <x v="1"/>
    <s v="no"/>
    <s v="---"/>
    <s v="https://www.commcarehq.org/a/demo-18/api/form/attachment/9f92e828-f2e3-4de9-9d7d-8fae8c9c687b/1574672031111.jpg"/>
    <s v="https://www.commcarehq.org/a/demo-18/api/form/attachment/9f92e828-f2e3-4de9-9d7d-8fae8c9c687b/1574672087537.jpg"/>
    <s v="https://www.commcarehq.org/a/demo-18/api/form/attachment/9f92e828-f2e3-4de9-9d7d-8fae8c9c687b/1574672189697.jpg"/>
    <s v="https://www.commcarehq.org/a/demo-18/api/form/attachment/9f92e828-f2e3-4de9-9d7d-8fae8c9c687b/1574672199127.jpg"/>
    <s v="https://www.commcarehq.org/a/demo-18/api/form/attachment/9f92e828-f2e3-4de9-9d7d-8fae8c9c687b/1574672253158.jpg"/>
    <s v="https://www.commcarehq.org/a/demo-18/api/form/attachment/9f92e828-f2e3-4de9-9d7d-8fae8c9c687b/1574672261626.jpg"/>
    <d v="2019-11-25T08:57:43"/>
    <d v="2019-11-25T08:53:13"/>
    <s v="arnold"/>
    <d v="2019-11-25T08:57:58"/>
    <s v="9f92e828-f2e3-4de9-9d7d-8fae8c9c687b"/>
    <s v="https://www.commcarehq.org/a/demo-18/reports/form_data/9f92e828-f2e3-4de9-9d7d-8fae8c9c687b/"/>
  </r>
  <r>
    <x v="29"/>
    <n v="5.7"/>
    <d v="2020-01-10T00:00:00"/>
    <d v="2019-12-11T00:00:00"/>
    <s v="no"/>
    <s v="---"/>
    <s v="---"/>
    <s v="---"/>
    <x v="0"/>
    <s v="no"/>
    <s v="---"/>
    <s v="https://www.commcarehq.org/a/demo-18/api/form/attachment/1ec4260d-17a0-4084-80eb-800f912dc0ca/1576058894449.jpg"/>
    <s v="https://www.commcarehq.org/a/demo-18/api/form/attachment/1ec4260d-17a0-4084-80eb-800f912dc0ca/1576058910692.jpg"/>
    <s v="https://www.commcarehq.org/a/demo-18/api/form/attachment/1ec4260d-17a0-4084-80eb-800f912dc0ca/1576058937710.jpg"/>
    <s v="https://www.commcarehq.org/a/demo-18/api/form/attachment/1ec4260d-17a0-4084-80eb-800f912dc0ca/1576058947146.jpg"/>
    <s v="https://www.commcarehq.org/a/demo-18/api/form/attachment/1ec4260d-17a0-4084-80eb-800f912dc0ca/1576058968731.jpg"/>
    <s v="https://www.commcarehq.org/a/demo-18/api/form/attachment/1ec4260d-17a0-4084-80eb-800f912dc0ca/1576058978071.jpg"/>
    <d v="2019-12-11T10:09:40"/>
    <d v="2019-12-11T10:07:25"/>
    <s v="arnold"/>
    <d v="2019-12-11T10:38:36"/>
    <s v="1ec4260d-17a0-4084-80eb-800f912dc0ca"/>
    <s v="https://www.commcarehq.org/a/demo-18/reports/form_data/1ec4260d-17a0-4084-80eb-800f912dc0ca/"/>
  </r>
  <r>
    <x v="30"/>
    <n v="8.4"/>
    <d v="2020-01-25T00:00:00"/>
    <d v="2019-12-26T00:00:00"/>
    <s v="no"/>
    <s v="---"/>
    <s v="---"/>
    <s v="---"/>
    <x v="3"/>
    <s v="no"/>
    <s v="---"/>
    <s v="https://www.commcarehq.org/a/demo-18/api/form/attachment/abf22fea-5663-44a2-ad35-b31522ef07a4/1577349404887.jpg"/>
    <s v="https://www.commcarehq.org/a/demo-18/api/form/attachment/abf22fea-5663-44a2-ad35-b31522ef07a4/1577349425745.jpg"/>
    <s v="https://www.commcarehq.org/a/demo-18/api/form/attachment/abf22fea-5663-44a2-ad35-b31522ef07a4/1577349473226.jpg"/>
    <s v="https://www.commcarehq.org/a/demo-18/api/form/attachment/abf22fea-5663-44a2-ad35-b31522ef07a4/1577349483967.jpg"/>
    <s v="https://www.commcarehq.org/a/demo-18/api/form/attachment/abf22fea-5663-44a2-ad35-b31522ef07a4/1577349517591.jpg"/>
    <s v="https://www.commcarehq.org/a/demo-18/api/form/attachment/abf22fea-5663-44a2-ad35-b31522ef07a4/1577349527841.jpg"/>
    <d v="2019-12-26T08:38:52"/>
    <d v="2019-12-26T08:36:09"/>
    <s v="arnold"/>
    <d v="2019-12-27T15:34:05"/>
    <s v="abf22fea-5663-44a2-ad35-b31522ef07a4"/>
    <s v="https://www.commcarehq.org/a/demo-18/reports/form_data/abf22fea-5663-44a2-ad35-b31522ef07a4/"/>
  </r>
  <r>
    <x v="31"/>
    <n v="5.8"/>
    <d v="2020-04-10T00:00:00"/>
    <d v="2020-03-11T00:00:00"/>
    <s v="no"/>
    <s v="---"/>
    <s v="---"/>
    <s v="---"/>
    <x v="8"/>
    <s v="no"/>
    <s v="---"/>
    <s v="https://www.commcarehq.org/a/demo-18/api/form/attachment/8f31aabc-4b91-4fc3-8206-d430e487de2d/1583911126710.jpg"/>
    <s v="https://www.commcarehq.org/a/demo-18/api/form/attachment/8f31aabc-4b91-4fc3-8206-d430e487de2d/1583911141626.jpg"/>
    <s v="https://www.commcarehq.org/a/demo-18/api/form/attachment/8f31aabc-4b91-4fc3-8206-d430e487de2d/1583911199245.jpg"/>
    <s v="https://www.commcarehq.org/a/demo-18/api/form/attachment/8f31aabc-4b91-4fc3-8206-d430e487de2d/1583911208132.jpg"/>
    <s v="https://www.commcarehq.org/a/demo-18/api/form/attachment/8f31aabc-4b91-4fc3-8206-d430e487de2d/1583911225597.jpg"/>
    <s v="https://www.commcarehq.org/a/demo-18/api/form/attachment/8f31aabc-4b91-4fc3-8206-d430e487de2d/1583911234446.jpg"/>
    <d v="2020-03-11T07:20:36"/>
    <d v="2020-03-11T07:18:21"/>
    <s v="arnold"/>
    <d v="2020-03-11T07:21:06"/>
    <s v="8f31aabc-4b91-4fc3-8206-d430e487de2d"/>
    <s v="https://www.commcarehq.org/a/demo-18/reports/form_data/8f31aabc-4b91-4fc3-8206-d430e487de2d/"/>
  </r>
  <r>
    <x v="32"/>
    <n v="6.7"/>
    <d v="2020-03-29T00:00:00"/>
    <d v="2020-02-28T00:00:00"/>
    <s v="no"/>
    <s v="---"/>
    <s v="---"/>
    <s v="---"/>
    <x v="3"/>
    <s v="no"/>
    <s v="---"/>
    <s v="https://www.commcarehq.org/a/demo-18/api/form/attachment/918f9aea-7b86-49f8-abc6-ae7ac273c1b5/1582871420634.jpg"/>
    <s v="https://www.commcarehq.org/a/demo-18/api/form/attachment/918f9aea-7b86-49f8-abc6-ae7ac273c1b5/1582871433787.jpg"/>
    <s v="https://www.commcarehq.org/a/demo-18/api/form/attachment/918f9aea-7b86-49f8-abc6-ae7ac273c1b5/1582871472856.jpg"/>
    <s v="https://www.commcarehq.org/a/demo-18/api/form/attachment/918f9aea-7b86-49f8-abc6-ae7ac273c1b5/1582871483803.jpg"/>
    <s v="https://www.commcarehq.org/a/demo-18/api/form/attachment/918f9aea-7b86-49f8-abc6-ae7ac273c1b5/1582871513884.jpg"/>
    <s v="https://www.commcarehq.org/a/demo-18/api/form/attachment/918f9aea-7b86-49f8-abc6-ae7ac273c1b5/1582871525742.jpg"/>
    <d v="2020-02-28T06:32:07"/>
    <d v="2020-02-28T06:29:19"/>
    <s v="arnold"/>
    <d v="2020-02-28T06:32:32"/>
    <s v="918f9aea-7b86-49f8-abc6-ae7ac273c1b5"/>
    <s v="https://www.commcarehq.org/a/demo-18/reports/form_data/918f9aea-7b86-49f8-abc6-ae7ac273c1b5/"/>
  </r>
  <r>
    <x v="33"/>
    <n v="6.2"/>
    <d v="2020-04-18T00:00:00"/>
    <d v="2020-03-19T00:00:00"/>
    <s v="no"/>
    <s v="---"/>
    <s v="---"/>
    <s v="---"/>
    <x v="2"/>
    <s v="no"/>
    <s v="---"/>
    <s v="https://www.commcarehq.org/a/demo-18/api/form/attachment/34a584be-a985-4189-aece-779aa5fe8755/1584599638155.jpg"/>
    <s v="https://www.commcarehq.org/a/demo-18/api/form/attachment/34a584be-a985-4189-aece-779aa5fe8755/1584599656165.jpg"/>
    <s v="https://www.commcarehq.org/a/demo-18/api/form/attachment/34a584be-a985-4189-aece-779aa5fe8755/1584599715766.jpg"/>
    <s v="https://www.commcarehq.org/a/demo-18/api/form/attachment/34a584be-a985-4189-aece-779aa5fe8755/1584599725156.jpg"/>
    <s v="https://www.commcarehq.org/a/demo-18/api/form/attachment/34a584be-a985-4189-aece-779aa5fe8755/1584599738583.jpg"/>
    <s v="https://www.commcarehq.org/a/demo-18/api/form/attachment/34a584be-a985-4189-aece-779aa5fe8755/1584599747095.jpg"/>
    <d v="2020-03-19T06:35:48"/>
    <d v="2020-03-19T06:32:41"/>
    <s v="arnold"/>
    <d v="2020-03-19T06:36:11"/>
    <s v="34a584be-a985-4189-aece-779aa5fe8755"/>
    <s v="https://www.commcarehq.org/a/demo-18/reports/form_data/34a584be-a985-4189-aece-779aa5fe8755/"/>
  </r>
  <r>
    <x v="34"/>
    <n v="7.4"/>
    <d v="2020-04-18T00:00:00"/>
    <d v="2020-03-19T00:00:00"/>
    <s v="no"/>
    <s v="---"/>
    <s v="---"/>
    <s v="---"/>
    <x v="5"/>
    <s v="no"/>
    <s v="---"/>
    <s v="https://www.commcarehq.org/a/demo-18/api/form/attachment/4ce31dcc-d46c-46c6-933d-98544c82580c/1584603182962.jpg"/>
    <s v="https://www.commcarehq.org/a/demo-18/api/form/attachment/4ce31dcc-d46c-46c6-933d-98544c82580c/1584603199539.jpg"/>
    <s v="https://www.commcarehq.org/a/demo-18/api/form/attachment/4ce31dcc-d46c-46c6-933d-98544c82580c/1584603301575.jpg"/>
    <s v="https://www.commcarehq.org/a/demo-18/api/form/attachment/4ce31dcc-d46c-46c6-933d-98544c82580c/1584603310480.jpg"/>
    <s v="https://www.commcarehq.org/a/demo-18/api/form/attachment/4ce31dcc-d46c-46c6-933d-98544c82580c/1584603321136.jpg"/>
    <s v="https://www.commcarehq.org/a/demo-18/api/form/attachment/4ce31dcc-d46c-46c6-933d-98544c82580c/1584603330237.jpg"/>
    <d v="2020-03-19T07:35:31"/>
    <d v="2020-03-19T07:32:09"/>
    <s v="arnold"/>
    <d v="2020-03-19T07:35:51"/>
    <s v="4ce31dcc-d46c-46c6-933d-98544c82580c"/>
    <s v="https://www.commcarehq.org/a/demo-18/reports/form_data/4ce31dcc-d46c-46c6-933d-98544c82580c/"/>
  </r>
  <r>
    <x v="35"/>
    <n v="8"/>
    <d v="2020-04-17T00:00:00"/>
    <d v="2020-03-18T00:00:00"/>
    <s v="no"/>
    <s v="---"/>
    <s v="---"/>
    <s v="---"/>
    <x v="8"/>
    <s v="no"/>
    <s v="---"/>
    <s v="https://www.commcarehq.org/a/demo-18/api/form/attachment/e7e79a9c-0675-4438-b76b-2463823fb830/1584513035843.jpg"/>
    <s v="https://www.commcarehq.org/a/demo-18/api/form/attachment/e7e79a9c-0675-4438-b76b-2463823fb830/1584513051486.jpg"/>
    <s v="https://www.commcarehq.org/a/demo-18/api/form/attachment/e7e79a9c-0675-4438-b76b-2463823fb830/1584513131107.jpg"/>
    <s v="https://www.commcarehq.org/a/demo-18/api/form/attachment/e7e79a9c-0675-4438-b76b-2463823fb830/1584513140777.jpg"/>
    <s v="https://www.commcarehq.org/a/demo-18/api/form/attachment/e7e79a9c-0675-4438-b76b-2463823fb830/1584513156967.jpg"/>
    <s v="https://www.commcarehq.org/a/demo-18/api/form/attachment/e7e79a9c-0675-4438-b76b-2463823fb830/1584513166293.jpg"/>
    <d v="2020-03-18T06:32:47"/>
    <d v="2020-03-18T06:29:57"/>
    <s v="arnold"/>
    <d v="2020-03-18T07:38:04"/>
    <s v="e7e79a9c-0675-4438-b76b-2463823fb830"/>
    <s v="https://www.commcarehq.org/a/demo-18/reports/form_data/e7e79a9c-0675-4438-b76b-2463823fb830/"/>
  </r>
  <r>
    <x v="36"/>
    <n v="6.2"/>
    <d v="2020-04-18T00:00:00"/>
    <d v="2020-03-19T00:00:00"/>
    <s v="no"/>
    <s v="---"/>
    <s v="---"/>
    <s v="---"/>
    <x v="11"/>
    <s v="no"/>
    <s v="---"/>
    <s v="https://www.commcarehq.org/a/demo-18/api/form/attachment/0f0a84e1-9f50-4ef6-8665-2c4677f86fc7/1584607430374.jpg"/>
    <s v="https://www.commcarehq.org/a/demo-18/api/form/attachment/0f0a84e1-9f50-4ef6-8665-2c4677f86fc7/1584607444624.jpg"/>
    <s v="https://www.commcarehq.org/a/demo-18/api/form/attachment/0f0a84e1-9f50-4ef6-8665-2c4677f86fc7/1584607480832.jpg"/>
    <s v="https://www.commcarehq.org/a/demo-18/api/form/attachment/0f0a84e1-9f50-4ef6-8665-2c4677f86fc7/1584607489292.jpg"/>
    <s v="https://www.commcarehq.org/a/demo-18/api/form/attachment/0f0a84e1-9f50-4ef6-8665-2c4677f86fc7/1584607504111.jpg"/>
    <s v="https://www.commcarehq.org/a/demo-18/api/form/attachment/0f0a84e1-9f50-4ef6-8665-2c4677f86fc7/1584607514235.jpg"/>
    <d v="2020-03-19T08:45:16"/>
    <d v="2020-03-19T08:42:52"/>
    <s v="arnold"/>
    <d v="2020-03-19T08:45:39"/>
    <s v="0f0a84e1-9f50-4ef6-8665-2c4677f86fc7"/>
    <s v="https://www.commcarehq.org/a/demo-18/reports/form_data/0f0a84e1-9f50-4ef6-8665-2c4677f86fc7/"/>
  </r>
  <r>
    <x v="37"/>
    <n v="6.4"/>
    <d v="2020-04-25T00:00:00"/>
    <d v="2020-03-26T00:00:00"/>
    <s v="no"/>
    <s v="---"/>
    <s v="---"/>
    <s v="---"/>
    <x v="2"/>
    <s v="no"/>
    <s v="---"/>
    <s v="https://www.commcarehq.org/a/demo-18/api/form/attachment/9bd879ce-aadd-456d-9c1c-4ba6e6b86ec0/1585205264109.jpg"/>
    <s v="https://www.commcarehq.org/a/demo-18/api/form/attachment/9bd879ce-aadd-456d-9c1c-4ba6e6b86ec0/1585205281181.jpg"/>
    <s v="https://www.commcarehq.org/a/demo-18/api/form/attachment/9bd879ce-aadd-456d-9c1c-4ba6e6b86ec0/1585205347649.jpg"/>
    <s v="https://www.commcarehq.org/a/demo-18/api/form/attachment/9bd879ce-aadd-456d-9c1c-4ba6e6b86ec0/1585205356123.jpg"/>
    <s v="https://www.commcarehq.org/a/demo-18/api/form/attachment/9bd879ce-aadd-456d-9c1c-4ba6e6b86ec0/1585205383900.jpg"/>
    <s v="https://www.commcarehq.org/a/demo-18/api/form/attachment/9bd879ce-aadd-456d-9c1c-4ba6e6b86ec0/1585205403195.jpg"/>
    <d v="2020-03-26T06:50:05"/>
    <d v="2020-03-26T06:47:00"/>
    <s v="arnold"/>
    <d v="2020-03-26T06:50:36"/>
    <s v="9bd879ce-aadd-456d-9c1c-4ba6e6b86ec0"/>
    <s v="https://www.commcarehq.org/a/demo-18/reports/form_data/9bd879ce-aadd-456d-9c1c-4ba6e6b86ec0/"/>
  </r>
  <r>
    <x v="38"/>
    <n v="6.7"/>
    <d v="2020-04-22T00:00:00"/>
    <d v="2020-03-23T00:00:00"/>
    <s v="no"/>
    <s v="---"/>
    <s v="---"/>
    <s v="---"/>
    <x v="2"/>
    <s v="no"/>
    <s v="---"/>
    <s v="https://www.commcarehq.org/a/demo-18/api/form/attachment/2c278530-f6f4-498b-a0e1-0ddd0929d5e4/1584952554126.jpg"/>
    <s v="https://www.commcarehq.org/a/demo-18/api/form/attachment/2c278530-f6f4-498b-a0e1-0ddd0929d5e4/1584952571968.jpg"/>
    <s v="https://www.commcarehq.org/a/demo-18/api/form/attachment/2c278530-f6f4-498b-a0e1-0ddd0929d5e4/1584952605374.jpg"/>
    <s v="https://www.commcarehq.org/a/demo-18/api/form/attachment/2c278530-f6f4-498b-a0e1-0ddd0929d5e4/1584952614394.jpg"/>
    <s v="https://www.commcarehq.org/a/demo-18/api/form/attachment/2c278530-f6f4-498b-a0e1-0ddd0929d5e4/1584952632016.jpg"/>
    <s v="https://www.commcarehq.org/a/demo-18/api/form/attachment/2c278530-f6f4-498b-a0e1-0ddd0929d5e4/1584952641489.jpg"/>
    <d v="2020-03-23T08:37:23"/>
    <d v="2020-03-23T08:35:15"/>
    <s v="arnold"/>
    <d v="2020-03-23T08:37:45"/>
    <s v="2c278530-f6f4-498b-a0e1-0ddd0929d5e4"/>
    <s v="https://www.commcarehq.org/a/demo-18/reports/form_data/2c278530-f6f4-498b-a0e1-0ddd0929d5e4/"/>
  </r>
  <r>
    <x v="39"/>
    <n v="6.8"/>
    <d v="2020-04-22T00:00:00"/>
    <d v="2020-03-23T00:00:00"/>
    <s v="no"/>
    <s v="---"/>
    <s v="---"/>
    <s v="---"/>
    <x v="2"/>
    <s v="no"/>
    <s v="---"/>
    <s v="https://www.commcarehq.org/a/demo-18/api/form/attachment/123b7b01-a514-4346-b63e-1d05ed70eb8f/1584948815318.jpg"/>
    <s v="https://www.commcarehq.org/a/demo-18/api/form/attachment/123b7b01-a514-4346-b63e-1d05ed70eb8f/1584948831828.jpg"/>
    <s v="https://www.commcarehq.org/a/demo-18/api/form/attachment/123b7b01-a514-4346-b63e-1d05ed70eb8f/1584948866884.jpg"/>
    <s v="https://www.commcarehq.org/a/demo-18/api/form/attachment/123b7b01-a514-4346-b63e-1d05ed70eb8f/1584948875649.jpg"/>
    <s v="https://www.commcarehq.org/a/demo-18/api/form/attachment/123b7b01-a514-4346-b63e-1d05ed70eb8f/1584948897364.jpg"/>
    <s v="https://www.commcarehq.org/a/demo-18/api/form/attachment/123b7b01-a514-4346-b63e-1d05ed70eb8f/1584948909849.jpg"/>
    <d v="2020-03-23T07:35:11"/>
    <d v="2020-03-23T07:32:58"/>
    <s v="arnold"/>
    <d v="2020-03-23T07:35:40"/>
    <s v="123b7b01-a514-4346-b63e-1d05ed70eb8f"/>
    <s v="https://www.commcarehq.org/a/demo-18/reports/form_data/123b7b01-a514-4346-b63e-1d05ed70eb8f/"/>
  </r>
  <r>
    <x v="40"/>
    <n v="5.7"/>
    <d v="2020-04-22T00:00:00"/>
    <d v="2020-03-23T00:00:00"/>
    <s v="no"/>
    <s v="---"/>
    <s v="---"/>
    <s v="---"/>
    <x v="2"/>
    <s v="no"/>
    <s v="---"/>
    <s v="https://www.commcarehq.org/a/demo-18/api/form/attachment/8905c821-c4e2-4cf8-a0ce-ac4d9ae46632/1584951049596.jpg"/>
    <s v="https://www.commcarehq.org/a/demo-18/api/form/attachment/8905c821-c4e2-4cf8-a0ce-ac4d9ae46632/1584951062192.jpg"/>
    <s v="https://www.commcarehq.org/a/demo-18/api/form/attachment/8905c821-c4e2-4cf8-a0ce-ac4d9ae46632/1584951097322.jpg"/>
    <s v="https://www.commcarehq.org/a/demo-18/api/form/attachment/8905c821-c4e2-4cf8-a0ce-ac4d9ae46632/1584951106099.jpg"/>
    <s v="https://www.commcarehq.org/a/demo-18/api/form/attachment/8905c821-c4e2-4cf8-a0ce-ac4d9ae46632/1584951125526.jpg"/>
    <s v="https://www.commcarehq.org/a/demo-18/api/form/attachment/8905c821-c4e2-4cf8-a0ce-ac4d9ae46632/1584951134458.jpg"/>
    <d v="2020-03-23T08:12:16"/>
    <d v="2020-03-23T08:10:23"/>
    <s v="arnold"/>
    <d v="2020-03-23T08:12:44"/>
    <s v="8905c821-c4e2-4cf8-a0ce-ac4d9ae46632"/>
    <s v="https://www.commcarehq.org/a/demo-18/reports/form_data/8905c821-c4e2-4cf8-a0ce-ac4d9ae46632/"/>
  </r>
  <r>
    <x v="41"/>
    <n v="7.4"/>
    <d v="2020-04-22T00:00:00"/>
    <d v="2020-03-23T00:00:00"/>
    <s v="no"/>
    <s v="---"/>
    <s v="---"/>
    <s v="---"/>
    <x v="8"/>
    <s v="no"/>
    <s v="---"/>
    <s v="https://www.commcarehq.org/a/demo-18/api/form/attachment/1aa3eeb4-1350-43c2-8027-8d411684996d/1584951673780.jpg"/>
    <s v="https://www.commcarehq.org/a/demo-18/api/form/attachment/1aa3eeb4-1350-43c2-8027-8d411684996d/1584951688175.jpg"/>
    <s v="https://www.commcarehq.org/a/demo-18/api/form/attachment/1aa3eeb4-1350-43c2-8027-8d411684996d/1584951743185.jpg"/>
    <s v="https://www.commcarehq.org/a/demo-18/api/form/attachment/1aa3eeb4-1350-43c2-8027-8d411684996d/1584951754478.jpg"/>
    <s v="https://www.commcarehq.org/a/demo-18/api/form/attachment/1aa3eeb4-1350-43c2-8027-8d411684996d/1584951768460.jpg"/>
    <s v="https://www.commcarehq.org/a/demo-18/api/form/attachment/1aa3eeb4-1350-43c2-8027-8d411684996d/1584951777067.jpg"/>
    <d v="2020-03-23T08:22:58"/>
    <d v="2020-03-23T08:20:38"/>
    <s v="arnold"/>
    <d v="2020-03-23T08:23:42"/>
    <s v="1aa3eeb4-1350-43c2-8027-8d411684996d"/>
    <s v="https://www.commcarehq.org/a/demo-18/reports/form_data/1aa3eeb4-1350-43c2-8027-8d411684996d/"/>
  </r>
  <r>
    <x v="42"/>
    <n v="7.1"/>
    <d v="2020-04-22T00:00:00"/>
    <d v="2020-03-23T00:00:00"/>
    <s v="no"/>
    <s v="---"/>
    <s v="---"/>
    <s v="---"/>
    <x v="2"/>
    <s v="no"/>
    <s v="---"/>
    <s v="https://www.commcarehq.org/a/demo-18/api/form/attachment/cdb17104-b565-45c6-9b1b-662cadbeec39/1584951969118.jpg"/>
    <s v="https://www.commcarehq.org/a/demo-18/api/form/attachment/cdb17104-b565-45c6-9b1b-662cadbeec39/1584951988488.jpg"/>
    <s v="https://www.commcarehq.org/a/demo-18/api/form/attachment/cdb17104-b565-45c6-9b1b-662cadbeec39/1584952021214.jpg"/>
    <s v="https://www.commcarehq.org/a/demo-18/api/form/attachment/cdb17104-b565-45c6-9b1b-662cadbeec39/1584952029040.jpg"/>
    <s v="https://www.commcarehq.org/a/demo-18/api/form/attachment/cdb17104-b565-45c6-9b1b-662cadbeec39/1584952041159.jpg"/>
    <s v="https://www.commcarehq.org/a/demo-18/api/form/attachment/cdb17104-b565-45c6-9b1b-662cadbeec39/1584952048799.jpg"/>
    <d v="2020-03-23T08:27:30"/>
    <d v="2020-03-23T08:25:31"/>
    <s v="arnold"/>
    <d v="2020-03-23T08:27:55"/>
    <s v="cdb17104-b565-45c6-9b1b-662cadbeec39"/>
    <s v="https://www.commcarehq.org/a/demo-18/reports/form_data/cdb17104-b565-45c6-9b1b-662cadbeec39/"/>
  </r>
  <r>
    <x v="43"/>
    <n v="6.9"/>
    <d v="2020-04-22T00:00:00"/>
    <d v="2020-03-23T00:00:00"/>
    <s v="no"/>
    <s v="---"/>
    <s v="---"/>
    <s v="---"/>
    <x v="8"/>
    <s v="no"/>
    <s v="---"/>
    <s v="https://www.commcarehq.org/a/demo-18/api/form/attachment/f049a3e3-524a-4dea-b733-9a8e2757fae0/1584953527124.jpg"/>
    <s v="https://www.commcarehq.org/a/demo-18/api/form/attachment/f049a3e3-524a-4dea-b733-9a8e2757fae0/1584953543385.jpg"/>
    <s v="https://www.commcarehq.org/a/demo-18/api/form/attachment/f049a3e3-524a-4dea-b733-9a8e2757fae0/1584953585993.jpg"/>
    <s v="https://www.commcarehq.org/a/demo-18/api/form/attachment/f049a3e3-524a-4dea-b733-9a8e2757fae0/1584953594087.jpg"/>
    <s v="https://www.commcarehq.org/a/demo-18/api/form/attachment/f049a3e3-524a-4dea-b733-9a8e2757fae0/1584953608729.jpg"/>
    <s v="https://www.commcarehq.org/a/demo-18/api/form/attachment/f049a3e3-524a-4dea-b733-9a8e2757fae0/1584953619137.jpg"/>
    <d v="2020-03-23T08:53:41"/>
    <d v="2020-03-23T08:51:32"/>
    <s v="arnold"/>
    <d v="2020-03-23T08:54:12"/>
    <s v="f049a3e3-524a-4dea-b733-9a8e2757fae0"/>
    <s v="https://www.commcarehq.org/a/demo-18/reports/form_data/f049a3e3-524a-4dea-b733-9a8e2757fae0/"/>
  </r>
  <r>
    <x v="44"/>
    <n v="5.8"/>
    <d v="2020-04-22T00:00:00"/>
    <d v="2020-03-23T00:00:00"/>
    <s v="no"/>
    <s v="---"/>
    <s v="---"/>
    <s v="---"/>
    <x v="12"/>
    <s v="no"/>
    <s v="---"/>
    <s v="https://www.commcarehq.org/a/demo-18/api/form/attachment/c3293ba0-5731-421c-81e6-a8c36a4a77a4/1584955562405.jpg"/>
    <s v="https://www.commcarehq.org/a/demo-18/api/form/attachment/c3293ba0-5731-421c-81e6-a8c36a4a77a4/1584955576389.jpg"/>
    <s v="https://www.commcarehq.org/a/demo-18/api/form/attachment/c3293ba0-5731-421c-81e6-a8c36a4a77a4/1584955613276.jpg"/>
    <s v="https://www.commcarehq.org/a/demo-18/api/form/attachment/c3293ba0-5731-421c-81e6-a8c36a4a77a4/1584955622497.jpg"/>
    <s v="https://www.commcarehq.org/a/demo-18/api/form/attachment/c3293ba0-5731-421c-81e6-a8c36a4a77a4/1584955640021.jpg"/>
    <s v="https://www.commcarehq.org/a/demo-18/api/form/attachment/c3293ba0-5731-421c-81e6-a8c36a4a77a4/1584955648777.jpg"/>
    <d v="2020-03-23T09:27:42"/>
    <d v="2020-03-23T09:25:22"/>
    <s v="arnold"/>
    <d v="2020-03-23T09:28:13"/>
    <s v="c3293ba0-5731-421c-81e6-a8c36a4a77a4"/>
    <s v="https://www.commcarehq.org/a/demo-18/reports/form_data/c3293ba0-5731-421c-81e6-a8c36a4a77a4/"/>
  </r>
  <r>
    <x v="45"/>
    <n v="7"/>
    <d v="2020-04-19T00:00:00"/>
    <d v="2020-03-20T00:00:00"/>
    <s v="no"/>
    <s v="---"/>
    <s v="---"/>
    <s v="---"/>
    <x v="8"/>
    <s v="no"/>
    <s v="---"/>
    <s v="https://www.commcarehq.org/a/demo-18/api/form/attachment/898b2e17-2f4a-4cf2-b0cf-34b427ec60d2/1584684178908.jpg"/>
    <s v="https://www.commcarehq.org/a/demo-18/api/form/attachment/898b2e17-2f4a-4cf2-b0cf-34b427ec60d2/1584684201382.jpg"/>
    <s v="https://www.commcarehq.org/a/demo-18/api/form/attachment/898b2e17-2f4a-4cf2-b0cf-34b427ec60d2/1584684289401.jpg"/>
    <s v="https://www.commcarehq.org/a/demo-18/api/form/attachment/898b2e17-2f4a-4cf2-b0cf-34b427ec60d2/1584684298799.jpg"/>
    <s v="https://www.commcarehq.org/a/demo-18/api/form/attachment/898b2e17-2f4a-4cf2-b0cf-34b427ec60d2/1584684318031.jpg"/>
    <s v="https://www.commcarehq.org/a/demo-18/api/form/attachment/898b2e17-2f4a-4cf2-b0cf-34b427ec60d2/1584684330679.jpg"/>
    <d v="2020-03-20T06:05:37"/>
    <d v="2020-03-20T06:01:56"/>
    <s v="arnold"/>
    <d v="2020-03-20T06:05:54"/>
    <s v="898b2e17-2f4a-4cf2-b0cf-34b427ec60d2"/>
    <s v="https://www.commcarehq.org/a/demo-18/reports/form_data/898b2e17-2f4a-4cf2-b0cf-34b427ec60d2/"/>
  </r>
  <r>
    <x v="46"/>
    <n v="7.3"/>
    <d v="2020-04-19T00:00:00"/>
    <d v="2020-03-20T00:00:00"/>
    <s v="no"/>
    <s v="---"/>
    <s v="---"/>
    <s v="---"/>
    <x v="5"/>
    <s v="no"/>
    <s v="---"/>
    <s v="https://www.commcarehq.org/a/demo-18/api/form/attachment/ab640af2-5b64-4bc2-8e4c-dabe4e1fe7a7/1584693647328.jpg"/>
    <s v="https://www.commcarehq.org/a/demo-18/api/form/attachment/ab640af2-5b64-4bc2-8e4c-dabe4e1fe7a7/1584693660011.jpg"/>
    <s v="https://www.commcarehq.org/a/demo-18/api/form/attachment/ab640af2-5b64-4bc2-8e4c-dabe4e1fe7a7/1584693705937.jpg"/>
    <s v="https://www.commcarehq.org/a/demo-18/api/form/attachment/ab640af2-5b64-4bc2-8e4c-dabe4e1fe7a7/1584693713445.jpg"/>
    <s v="https://www.commcarehq.org/a/demo-18/api/form/attachment/ab640af2-5b64-4bc2-8e4c-dabe4e1fe7a7/1584693732254.jpg"/>
    <s v="https://www.commcarehq.org/a/demo-18/api/form/attachment/ab640af2-5b64-4bc2-8e4c-dabe4e1fe7a7/1584693739601.jpg"/>
    <d v="2020-03-20T08:42:21"/>
    <d v="2020-03-20T08:40:23"/>
    <s v="arnold"/>
    <d v="2020-03-20T09:56:49"/>
    <s v="ab640af2-5b64-4bc2-8e4c-dabe4e1fe7a7"/>
    <s v="https://www.commcarehq.org/a/demo-18/reports/form_data/ab640af2-5b64-4bc2-8e4c-dabe4e1fe7a7/"/>
  </r>
  <r>
    <x v="47"/>
    <n v="8.4"/>
    <d v="2020-04-19T00:00:00"/>
    <d v="2020-03-20T00:00:00"/>
    <s v="no"/>
    <s v="---"/>
    <s v="---"/>
    <s v="---"/>
    <x v="8"/>
    <s v="no"/>
    <s v="---"/>
    <s v="https://www.commcarehq.org/a/demo-18/api/form/attachment/ac91d439-7ac3-4c3a-88d5-60da1c64e17a/1584687902795.jpg"/>
    <s v="https://www.commcarehq.org/a/demo-18/api/form/attachment/ac91d439-7ac3-4c3a-88d5-60da1c64e17a/1584687920385.jpg"/>
    <s v="https://www.commcarehq.org/a/demo-18/api/form/attachment/ac91d439-7ac3-4c3a-88d5-60da1c64e17a/1584687952165.jpg"/>
    <s v="https://www.commcarehq.org/a/demo-18/api/form/attachment/ac91d439-7ac3-4c3a-88d5-60da1c64e17a/1584687963607.jpg"/>
    <s v="https://www.commcarehq.org/a/demo-18/api/form/attachment/ac91d439-7ac3-4c3a-88d5-60da1c64e17a/1584687985949.jpg"/>
    <s v="https://www.commcarehq.org/a/demo-18/api/form/attachment/ac91d439-7ac3-4c3a-88d5-60da1c64e17a/1584687993649.jpg"/>
    <d v="2020-03-20T07:06:35"/>
    <d v="2020-03-20T07:04:20"/>
    <s v="arnold"/>
    <d v="2020-03-20T07:06:50"/>
    <s v="ac91d439-7ac3-4c3a-88d5-60da1c64e17a"/>
    <s v="https://www.commcarehq.org/a/demo-18/reports/form_data/ac91d439-7ac3-4c3a-88d5-60da1c64e17a/"/>
  </r>
  <r>
    <x v="48"/>
    <n v="5.8"/>
    <d v="2020-04-19T00:00:00"/>
    <d v="2020-03-20T00:00:00"/>
    <s v="no"/>
    <s v="---"/>
    <s v="---"/>
    <s v="---"/>
    <x v="3"/>
    <s v="no"/>
    <s v="---"/>
    <s v="https://www.commcarehq.org/a/demo-18/api/form/attachment/0578627a-d894-433a-835a-460a4a13702d/1584686661092.jpg"/>
    <s v="https://www.commcarehq.org/a/demo-18/api/form/attachment/0578627a-d894-433a-835a-460a4a13702d/1584686674153.jpg"/>
    <s v="https://www.commcarehq.org/a/demo-18/api/form/attachment/0578627a-d894-433a-835a-460a4a13702d/1584686841922.jpg"/>
    <s v="https://www.commcarehq.org/a/demo-18/api/form/attachment/0578627a-d894-433a-835a-460a4a13702d/1584686850547.jpg"/>
    <s v="https://www.commcarehq.org/a/demo-18/api/form/attachment/0578627a-d894-433a-835a-460a4a13702d/1584686866416.jpg"/>
    <s v="https://www.commcarehq.org/a/demo-18/api/form/attachment/0578627a-d894-433a-835a-460a4a13702d/1584686875446.jpg"/>
    <d v="2020-03-20T06:47:57"/>
    <d v="2020-03-20T06:43:23"/>
    <s v="arnold"/>
    <d v="2020-03-20T06:48:16"/>
    <s v="0578627a-d894-433a-835a-460a4a13702d"/>
    <s v="https://www.commcarehq.org/a/demo-18/reports/form_data/0578627a-d894-433a-835a-460a4a13702d/"/>
  </r>
  <r>
    <x v="49"/>
    <n v="6.8"/>
    <d v="2020-04-29T00:00:00"/>
    <d v="2020-03-30T00:00:00"/>
    <s v="no"/>
    <s v="---"/>
    <s v="---"/>
    <s v="---"/>
    <x v="5"/>
    <s v="no"/>
    <s v="---"/>
    <s v="https://www.commcarehq.org/a/demo-18/api/form/attachment/18919d42-1a95-41e0-bb18-6f64f900e3e5/1585550708445.jpg"/>
    <s v="https://www.commcarehq.org/a/demo-18/api/form/attachment/18919d42-1a95-41e0-bb18-6f64f900e3e5/1585550722308.jpg"/>
    <s v="https://www.commcarehq.org/a/demo-18/api/form/attachment/18919d42-1a95-41e0-bb18-6f64f900e3e5/1585550780947.jpg"/>
    <s v="https://www.commcarehq.org/a/demo-18/api/form/attachment/18919d42-1a95-41e0-bb18-6f64f900e3e5/1585550794251.jpg"/>
    <s v="https://www.commcarehq.org/a/demo-18/api/form/attachment/18919d42-1a95-41e0-bb18-6f64f900e3e5/1585550818673.jpg"/>
    <s v="https://www.commcarehq.org/a/demo-18/api/form/attachment/18919d42-1a95-41e0-bb18-6f64f900e3e5/1585550827495.jpg"/>
    <d v="2020-03-30T06:47:09"/>
    <d v="2020-03-30T06:43:24"/>
    <s v="arnold"/>
    <d v="2020-03-30T06:47:30"/>
    <s v="18919d42-1a95-41e0-bb18-6f64f900e3e5"/>
    <s v="https://www.commcarehq.org/a/demo-18/reports/form_data/18919d42-1a95-41e0-bb18-6f64f900e3e5/"/>
  </r>
  <r>
    <x v="50"/>
    <n v="6.4"/>
    <d v="2020-01-25T00:00:00"/>
    <d v="2019-12-26T00:00:00"/>
    <s v="no"/>
    <s v="---"/>
    <s v="---"/>
    <s v="---"/>
    <x v="2"/>
    <s v="no"/>
    <s v="---"/>
    <s v="https://www.commcarehq.org/a/demo-18/api/form/attachment/aa7fec9a-dfec-4117-9da0-25f9cf731ab3/1577340905211.jpg"/>
    <s v="https://www.commcarehq.org/a/demo-18/api/form/attachment/aa7fec9a-dfec-4117-9da0-25f9cf731ab3/1577340925452.jpg"/>
    <s v="https://www.commcarehq.org/a/demo-18/api/form/attachment/aa7fec9a-dfec-4117-9da0-25f9cf731ab3/1577340964875.jpg"/>
    <s v="https://www.commcarehq.org/a/demo-18/api/form/attachment/aa7fec9a-dfec-4117-9da0-25f9cf731ab3/1577340982773.jpg"/>
    <s v="https://www.commcarehq.org/a/demo-18/api/form/attachment/aa7fec9a-dfec-4117-9da0-25f9cf731ab3/1577340999891.jpg"/>
    <s v="https://www.commcarehq.org/a/demo-18/api/form/attachment/aa7fec9a-dfec-4117-9da0-25f9cf731ab3/1577341010307.jpg"/>
    <d v="2019-12-26T06:16:52"/>
    <d v="2019-12-26T06:13:57"/>
    <s v="arnold"/>
    <d v="2019-12-26T06:50:27"/>
    <s v="aa7fec9a-dfec-4117-9da0-25f9cf731ab3"/>
    <s v="https://www.commcarehq.org/a/demo-18/reports/form_data/aa7fec9a-dfec-4117-9da0-25f9cf731ab3/"/>
  </r>
  <r>
    <x v="51"/>
    <n v="6.5"/>
    <d v="2020-01-22T00:00:00"/>
    <d v="2019-12-23T00:00:00"/>
    <s v="no"/>
    <s v="---"/>
    <s v="---"/>
    <s v="---"/>
    <x v="2"/>
    <s v="no"/>
    <s v="---"/>
    <s v="https://www.commcarehq.org/a/demo-18/api/form/attachment/9c6e6798-27e9-4493-98cd-c4a78c2b678f/1577083901793.jpg"/>
    <s v="https://www.commcarehq.org/a/demo-18/api/form/attachment/9c6e6798-27e9-4493-98cd-c4a78c2b678f/1577083916181.jpg"/>
    <s v="https://www.commcarehq.org/a/demo-18/api/form/attachment/9c6e6798-27e9-4493-98cd-c4a78c2b678f/1577083988456.jpg"/>
    <s v="https://www.commcarehq.org/a/demo-18/api/form/attachment/9c6e6798-27e9-4493-98cd-c4a78c2b678f/1577083999425.jpg"/>
    <s v="https://www.commcarehq.org/a/demo-18/api/form/attachment/9c6e6798-27e9-4493-98cd-c4a78c2b678f/1577084015956.jpg"/>
    <s v="https://www.commcarehq.org/a/demo-18/api/form/attachment/9c6e6798-27e9-4493-98cd-c4a78c2b678f/1577084025106.jpg"/>
    <d v="2019-12-23T06:53:48"/>
    <d v="2019-12-23T06:50:35"/>
    <s v="arnold"/>
    <d v="2019-12-23T06:54:05"/>
    <s v="9c6e6798-27e9-4493-98cd-c4a78c2b678f"/>
    <s v="https://www.commcarehq.org/a/demo-18/reports/form_data/9c6e6798-27e9-4493-98cd-c4a78c2b678f/"/>
  </r>
  <r>
    <x v="52"/>
    <n v="6.5"/>
    <d v="2020-01-10T00:00:00"/>
    <d v="2019-12-11T00:00:00"/>
    <s v="no"/>
    <s v="---"/>
    <s v="---"/>
    <s v="---"/>
    <x v="1"/>
    <s v="no"/>
    <s v="---"/>
    <s v="https://www.commcarehq.org/a/demo-18/api/form/attachment/4bf484f7-c4be-4723-9852-b17934449176/1576053184900.jpg"/>
    <s v="https://www.commcarehq.org/a/demo-18/api/form/attachment/4bf484f7-c4be-4723-9852-b17934449176/1576053204545.jpg"/>
    <s v="https://www.commcarehq.org/a/demo-18/api/form/attachment/4bf484f7-c4be-4723-9852-b17934449176/1576053289677.jpg"/>
    <s v="https://www.commcarehq.org/a/demo-18/api/form/attachment/4bf484f7-c4be-4723-9852-b17934449176/1576053301207.jpg"/>
    <s v="https://www.commcarehq.org/a/demo-18/api/form/attachment/4bf484f7-c4be-4723-9852-b17934449176/1576053329708.jpg"/>
    <s v="https://www.commcarehq.org/a/demo-18/api/form/attachment/4bf484f7-c4be-4723-9852-b17934449176/1576053344545.jpg"/>
    <d v="2019-12-11T08:35:49"/>
    <d v="2019-12-11T08:31:41"/>
    <s v="arnold"/>
    <d v="2019-12-11T10:34:51"/>
    <s v="4bf484f7-c4be-4723-9852-b17934449176"/>
    <s v="https://www.commcarehq.org/a/demo-18/reports/form_data/4bf484f7-c4be-4723-9852-b17934449176/"/>
  </r>
  <r>
    <x v="53"/>
    <n v="8"/>
    <d v="2020-01-10T00:00:00"/>
    <d v="2019-12-11T00:00:00"/>
    <s v="no"/>
    <s v="---"/>
    <s v="---"/>
    <s v="---"/>
    <x v="1"/>
    <s v="no"/>
    <s v="---"/>
    <s v="https://www.commcarehq.org/a/demo-18/api/form/attachment/7aded657-842f-4cf6-940d-b74a2b77c3fa/1576051208845.jpg"/>
    <s v="https://www.commcarehq.org/a/demo-18/api/form/attachment/7aded657-842f-4cf6-940d-b74a2b77c3fa/1576051227459.jpg"/>
    <s v="https://www.commcarehq.org/a/demo-18/api/form/attachment/7aded657-842f-4cf6-940d-b74a2b77c3fa/1576051267146.jpg"/>
    <s v="https://www.commcarehq.org/a/demo-18/api/form/attachment/7aded657-842f-4cf6-940d-b74a2b77c3fa/1576051277775.jpg"/>
    <s v="https://www.commcarehq.org/a/demo-18/api/form/attachment/7aded657-842f-4cf6-940d-b74a2b77c3fa/1576051294412.jpg"/>
    <s v="https://www.commcarehq.org/a/demo-18/api/form/attachment/7aded657-842f-4cf6-940d-b74a2b77c3fa/1576051306338.jpg"/>
    <d v="2019-12-11T08:01:47"/>
    <d v="2019-12-11T07:59:22"/>
    <s v="arnold"/>
    <d v="2019-12-11T10:32:37"/>
    <s v="7aded657-842f-4cf6-940d-b74a2b77c3fa"/>
    <s v="https://www.commcarehq.org/a/demo-18/reports/form_data/7aded657-842f-4cf6-940d-b74a2b77c3fa/"/>
  </r>
  <r>
    <x v="54"/>
    <n v="6.4"/>
    <d v="2019-12-28T00:00:00"/>
    <d v="2019-11-28T00:00:00"/>
    <s v="no"/>
    <s v="---"/>
    <s v="---"/>
    <s v="---"/>
    <x v="1"/>
    <s v="no"/>
    <s v="---"/>
    <s v="https://www.commcarehq.org/a/demo-18/api/form/attachment/a136be98-8698-42d6-92d7-8fbb780add08/1574934090844.jpg"/>
    <s v="https://www.commcarehq.org/a/demo-18/api/form/attachment/a136be98-8698-42d6-92d7-8fbb780add08/1574934106517.jpg"/>
    <s v="https://www.commcarehq.org/a/demo-18/api/form/attachment/a136be98-8698-42d6-92d7-8fbb780add08/1574934158807.jpg"/>
    <s v="https://www.commcarehq.org/a/demo-18/api/form/attachment/a136be98-8698-42d6-92d7-8fbb780add08/1574934167771.jpg"/>
    <s v="https://www.commcarehq.org/a/demo-18/api/form/attachment/a136be98-8698-42d6-92d7-8fbb780add08/1574934187722.jpg"/>
    <s v="https://www.commcarehq.org/a/demo-18/api/form/attachment/a136be98-8698-42d6-92d7-8fbb780add08/1574934195501.jpg"/>
    <d v="2019-11-28T09:43:18"/>
    <d v="2019-11-28T09:40:44"/>
    <s v="arnold"/>
    <d v="2019-11-28T09:43:34"/>
    <s v="a136be98-8698-42d6-92d7-8fbb780add08"/>
    <s v="https://www.commcarehq.org/a/demo-18/reports/form_data/a136be98-8698-42d6-92d7-8fbb780add08/"/>
  </r>
  <r>
    <x v="55"/>
    <n v="7.1"/>
    <d v="2019-12-28T00:00:00"/>
    <d v="2019-11-28T00:00:00"/>
    <s v="no"/>
    <s v="---"/>
    <s v="---"/>
    <s v="---"/>
    <x v="1"/>
    <s v="no"/>
    <s v="---"/>
    <s v="https://www.commcarehq.org/a/demo-18/api/form/attachment/482866d5-7074-4701-b3fe-d58b1225cbd4/1574929230542.jpg"/>
    <s v="https://www.commcarehq.org/a/demo-18/api/form/attachment/482866d5-7074-4701-b3fe-d58b1225cbd4/1574929249588.jpg"/>
    <s v="https://www.commcarehq.org/a/demo-18/api/form/attachment/482866d5-7074-4701-b3fe-d58b1225cbd4/1574929377724.jpg"/>
    <s v="https://www.commcarehq.org/a/demo-18/api/form/attachment/482866d5-7074-4701-b3fe-d58b1225cbd4/1574929386051.jpg"/>
    <s v="https://www.commcarehq.org/a/demo-18/api/form/attachment/482866d5-7074-4701-b3fe-d58b1225cbd4/1574929404484.jpg"/>
    <s v="https://www.commcarehq.org/a/demo-18/api/form/attachment/482866d5-7074-4701-b3fe-d58b1225cbd4/1574929417418.jpg"/>
    <d v="2019-11-28T08:23:39"/>
    <d v="2019-11-28T08:19:48"/>
    <s v="arnold"/>
    <d v="2019-11-28T08:23:57"/>
    <s v="482866d5-7074-4701-b3fe-d58b1225cbd4"/>
    <s v="https://www.commcarehq.org/a/demo-18/reports/form_data/482866d5-7074-4701-b3fe-d58b1225cbd4/"/>
  </r>
  <r>
    <x v="56"/>
    <n v="8.6"/>
    <d v="2019-12-28T00:00:00"/>
    <d v="2019-11-28T00:00:00"/>
    <s v="no"/>
    <s v="---"/>
    <s v="---"/>
    <s v="---"/>
    <x v="13"/>
    <s v="no"/>
    <s v="---"/>
    <s v="https://www.commcarehq.org/a/demo-18/api/form/attachment/c0cc9cf7-24b2-4b64-9cd4-6a640d3e9869/1574935183697.jpg"/>
    <s v="https://www.commcarehq.org/a/demo-18/api/form/attachment/c0cc9cf7-24b2-4b64-9cd4-6a640d3e9869/1574935208802.jpg"/>
    <s v="https://www.commcarehq.org/a/demo-18/api/form/attachment/c0cc9cf7-24b2-4b64-9cd4-6a640d3e9869/1574935254415.jpg"/>
    <s v="https://www.commcarehq.org/a/demo-18/api/form/attachment/c0cc9cf7-24b2-4b64-9cd4-6a640d3e9869/1574935262735.jpg"/>
    <s v="https://www.commcarehq.org/a/demo-18/api/form/attachment/c0cc9cf7-24b2-4b64-9cd4-6a640d3e9869/1574935287333.jpg"/>
    <s v="https://www.commcarehq.org/a/demo-18/api/form/attachment/c0cc9cf7-24b2-4b64-9cd4-6a640d3e9869/1574935296744.jpg"/>
    <d v="2019-11-28T10:01:38"/>
    <d v="2019-11-28T09:59:02"/>
    <s v="arnold"/>
    <d v="2019-11-28T10:01:52"/>
    <s v="c0cc9cf7-24b2-4b64-9cd4-6a640d3e9869"/>
    <s v="https://www.commcarehq.org/a/demo-18/reports/form_data/c0cc9cf7-24b2-4b64-9cd4-6a640d3e9869/"/>
  </r>
  <r>
    <x v="57"/>
    <n v="6.5"/>
    <d v="2020-03-20T00:00:00"/>
    <d v="2020-02-19T00:00:00"/>
    <s v="no"/>
    <s v="---"/>
    <s v="---"/>
    <s v="---"/>
    <x v="3"/>
    <s v="no"/>
    <s v="---"/>
    <s v="https://www.commcarehq.org/a/demo-18/api/form/attachment/94eb3575-d0b2-46c0-87f6-75ceb086a9b2/1582095685952.jpg"/>
    <s v="https://www.commcarehq.org/a/demo-18/api/form/attachment/94eb3575-d0b2-46c0-87f6-75ceb086a9b2/1582095699158.jpg"/>
    <s v="https://www.commcarehq.org/a/demo-18/api/form/attachment/94eb3575-d0b2-46c0-87f6-75ceb086a9b2/1582095727217.jpg"/>
    <s v="https://www.commcarehq.org/a/demo-18/api/form/attachment/94eb3575-d0b2-46c0-87f6-75ceb086a9b2/1582095736003.jpg"/>
    <s v="https://www.commcarehq.org/a/demo-18/api/form/attachment/94eb3575-d0b2-46c0-87f6-75ceb086a9b2/1582095761401.jpg"/>
    <s v="https://www.commcarehq.org/a/demo-18/api/form/attachment/94eb3575-d0b2-46c0-87f6-75ceb086a9b2/1582095770178.jpg"/>
    <d v="2020-02-19T07:02:51"/>
    <d v="2020-02-19T07:00:51"/>
    <s v="arnold"/>
    <d v="2020-02-19T07:03:10"/>
    <s v="94eb3575-d0b2-46c0-87f6-75ceb086a9b2"/>
    <s v="https://www.commcarehq.org/a/demo-18/reports/form_data/94eb3575-d0b2-46c0-87f6-75ceb086a9b2/"/>
  </r>
  <r>
    <x v="58"/>
    <n v="7.7"/>
    <d v="2020-03-22T00:00:00"/>
    <d v="2020-02-21T00:00:00"/>
    <s v="no"/>
    <s v="---"/>
    <s v="---"/>
    <s v="---"/>
    <x v="2"/>
    <s v="no"/>
    <s v="---"/>
    <s v="https://www.commcarehq.org/a/demo-18/api/form/attachment/b771defe-b240-4889-81b6-4672c5214ce7/1582276301347.jpg"/>
    <s v="https://www.commcarehq.org/a/demo-18/api/form/attachment/b771defe-b240-4889-81b6-4672c5214ce7/1582276315151.jpg"/>
    <s v="https://www.commcarehq.org/a/demo-18/api/form/attachment/b771defe-b240-4889-81b6-4672c5214ce7/1582276368610.jpg"/>
    <s v="https://www.commcarehq.org/a/demo-18/api/form/attachment/b771defe-b240-4889-81b6-4672c5214ce7/1582276378590.jpg"/>
    <s v="https://www.commcarehq.org/a/demo-18/api/form/attachment/b771defe-b240-4889-81b6-4672c5214ce7/1582276391600.jpg"/>
    <s v="https://www.commcarehq.org/a/demo-18/api/form/attachment/b771defe-b240-4889-81b6-4672c5214ce7/1582276401676.jpg"/>
    <d v="2020-02-21T09:13:23"/>
    <d v="2020-02-21T09:10:40"/>
    <s v="arnold"/>
    <d v="2020-02-21T09:13:47"/>
    <s v="b771defe-b240-4889-81b6-4672c5214ce7"/>
    <s v="https://www.commcarehq.org/a/demo-18/reports/form_data/b771defe-b240-4889-81b6-4672c5214ce7/"/>
  </r>
  <r>
    <x v="59"/>
    <n v="6"/>
    <d v="2020-04-22T00:00:00"/>
    <d v="2020-03-23T00:00:00"/>
    <s v="no"/>
    <s v="---"/>
    <s v="---"/>
    <s v="---"/>
    <x v="5"/>
    <s v="no"/>
    <s v="---"/>
    <s v="https://www.commcarehq.org/a/demo-18/api/form/attachment/ee99375f-8318-4e78-aa90-23157de0b767/1584956258850.jpg"/>
    <s v="https://www.commcarehq.org/a/demo-18/api/form/attachment/ee99375f-8318-4e78-aa90-23157de0b767/1584956276332.jpg"/>
    <s v="https://www.commcarehq.org/a/demo-18/api/form/attachment/ee99375f-8318-4e78-aa90-23157de0b767/1584956318181.jpg"/>
    <s v="https://www.commcarehq.org/a/demo-18/api/form/attachment/ee99375f-8318-4e78-aa90-23157de0b767/1584956326559.jpg"/>
    <s v="https://www.commcarehq.org/a/demo-18/api/form/attachment/ee99375f-8318-4e78-aa90-23157de0b767/1584956337266.jpg"/>
    <s v="https://www.commcarehq.org/a/demo-18/api/form/attachment/ee99375f-8318-4e78-aa90-23157de0b767/1584956347855.jpg"/>
    <d v="2020-03-23T09:39:14"/>
    <d v="2020-03-23T09:37:04"/>
    <s v="arnold"/>
    <d v="2020-03-23T09:39:45"/>
    <s v="ee99375f-8318-4e78-aa90-23157de0b767"/>
    <s v="https://www.commcarehq.org/a/demo-18/reports/form_data/ee99375f-8318-4e78-aa90-23157de0b767/"/>
  </r>
  <r>
    <x v="60"/>
    <n v="5.0999999999999996"/>
    <d v="2020-04-22T00:00:00"/>
    <d v="2020-03-23T00:00:00"/>
    <s v="no"/>
    <s v="---"/>
    <s v="---"/>
    <s v="---"/>
    <x v="8"/>
    <s v="no"/>
    <s v="---"/>
    <s v="https://www.commcarehq.org/a/demo-18/api/form/attachment/48393226-4161-450d-a5a7-4808cc2a22f1/1584953210647.jpg"/>
    <s v="https://www.commcarehq.org/a/demo-18/api/form/attachment/48393226-4161-450d-a5a7-4808cc2a22f1/1584953224671.jpg"/>
    <s v="https://www.commcarehq.org/a/demo-18/api/form/attachment/48393226-4161-450d-a5a7-4808cc2a22f1/1584953254563.jpg"/>
    <s v="https://www.commcarehq.org/a/demo-18/api/form/attachment/48393226-4161-450d-a5a7-4808cc2a22f1/1584953279620.jpg"/>
    <s v="https://www.commcarehq.org/a/demo-18/api/form/attachment/48393226-4161-450d-a5a7-4808cc2a22f1/1584953294725.jpg"/>
    <s v="https://www.commcarehq.org/a/demo-18/api/form/attachment/48393226-4161-450d-a5a7-4808cc2a22f1/1584953310576.jpg"/>
    <d v="2020-03-23T08:48:32"/>
    <d v="2020-03-23T08:46:02"/>
    <s v="arnold"/>
    <d v="2020-03-23T08:48:52"/>
    <s v="48393226-4161-450d-a5a7-4808cc2a22f1"/>
    <s v="https://www.commcarehq.org/a/demo-18/reports/form_data/48393226-4161-450d-a5a7-4808cc2a22f1/"/>
  </r>
  <r>
    <x v="61"/>
    <n v="6.6"/>
    <d v="2020-04-25T00:00:00"/>
    <d v="2020-03-26T00:00:00"/>
    <s v="no"/>
    <s v="---"/>
    <s v="---"/>
    <s v="---"/>
    <x v="5"/>
    <s v="no"/>
    <s v="---"/>
    <s v="https://www.commcarehq.org/a/demo-18/api/form/attachment/c47e2566-4853-4a47-b51d-22d12e747410/1585205727039.jpg"/>
    <s v="https://www.commcarehq.org/a/demo-18/api/form/attachment/c47e2566-4853-4a47-b51d-22d12e747410/1585205741191.jpg"/>
    <s v="https://www.commcarehq.org/a/demo-18/api/form/attachment/c47e2566-4853-4a47-b51d-22d12e747410/1585205787278.jpg"/>
    <s v="https://www.commcarehq.org/a/demo-18/api/form/attachment/c47e2566-4853-4a47-b51d-22d12e747410/1585205796596.jpg"/>
    <s v="https://www.commcarehq.org/a/demo-18/api/form/attachment/c47e2566-4853-4a47-b51d-22d12e747410/1585205831653.jpg"/>
    <s v="https://www.commcarehq.org/a/demo-18/api/form/attachment/c47e2566-4853-4a47-b51d-22d12e747410/1585205841507.jpg"/>
    <d v="2020-03-26T06:57:23"/>
    <d v="2020-03-26T06:54:55"/>
    <s v="arnold"/>
    <d v="2020-03-26T06:57:46"/>
    <s v="c47e2566-4853-4a47-b51d-22d12e747410"/>
    <s v="https://www.commcarehq.org/a/demo-18/reports/form_data/c47e2566-4853-4a47-b51d-22d12e747410/"/>
  </r>
  <r>
    <x v="62"/>
    <n v="6.5"/>
    <d v="2020-04-22T00:00:00"/>
    <d v="2020-03-23T00:00:00"/>
    <s v="no"/>
    <s v="---"/>
    <s v="---"/>
    <s v="---"/>
    <x v="7"/>
    <s v="no"/>
    <s v="---"/>
    <s v="https://www.commcarehq.org/a/demo-18/api/form/attachment/4567f3b5-46bc-4a4b-89dd-cbc1aa0badb7/1584948039000.jpg"/>
    <s v="https://www.commcarehq.org/a/demo-18/api/form/attachment/4567f3b5-46bc-4a4b-89dd-cbc1aa0badb7/1584948055161.jpg"/>
    <s v="https://www.commcarehq.org/a/demo-18/api/form/attachment/4567f3b5-46bc-4a4b-89dd-cbc1aa0badb7/1584948119740.jpg"/>
    <s v="https://www.commcarehq.org/a/demo-18/api/form/attachment/4567f3b5-46bc-4a4b-89dd-cbc1aa0badb7/1584948129054.jpg"/>
    <s v="https://www.commcarehq.org/a/demo-18/api/form/attachment/4567f3b5-46bc-4a4b-89dd-cbc1aa0badb7/1584948144609.jpg"/>
    <s v="https://www.commcarehq.org/a/demo-18/api/form/attachment/4567f3b5-46bc-4a4b-89dd-cbc1aa0badb7/1584948156429.jpg"/>
    <d v="2020-03-23T07:22:38"/>
    <d v="2020-03-23T07:19:56"/>
    <s v="arnold"/>
    <d v="2020-03-23T07:23:08"/>
    <s v="4567f3b5-46bc-4a4b-89dd-cbc1aa0badb7"/>
    <s v="https://www.commcarehq.org/a/demo-18/reports/form_data/4567f3b5-46bc-4a4b-89dd-cbc1aa0badb7/"/>
  </r>
  <r>
    <x v="63"/>
    <n v="6.5"/>
    <d v="2020-04-22T00:00:00"/>
    <d v="2020-03-23T00:00:00"/>
    <s v="no"/>
    <s v="---"/>
    <s v="---"/>
    <s v="---"/>
    <x v="2"/>
    <s v="no"/>
    <s v="---"/>
    <s v="https://www.commcarehq.org/a/demo-18/api/form/attachment/3d93f3b7-22d3-461b-b65a-e816d3f54cd0/1584944262824.jpg"/>
    <s v="https://www.commcarehq.org/a/demo-18/api/form/attachment/3d93f3b7-22d3-461b-b65a-e816d3f54cd0/1584944276552.jpg"/>
    <s v="https://www.commcarehq.org/a/demo-18/api/form/attachment/3d93f3b7-22d3-461b-b65a-e816d3f54cd0/1584944352163.jpg"/>
    <s v="https://www.commcarehq.org/a/demo-18/api/form/attachment/3d93f3b7-22d3-461b-b65a-e816d3f54cd0/1584944361103.jpg"/>
    <s v="https://www.commcarehq.org/a/demo-18/api/form/attachment/3d93f3b7-22d3-461b-b65a-e816d3f54cd0/1584944389161.jpg"/>
    <s v="https://www.commcarehq.org/a/demo-18/api/form/attachment/3d93f3b7-22d3-461b-b65a-e816d3f54cd0/1584944406574.jpg"/>
    <d v="2020-03-23T06:20:08"/>
    <d v="2020-03-23T06:16:54"/>
    <s v="arnold"/>
    <d v="2020-03-23T06:20:27"/>
    <s v="3d93f3b7-22d3-461b-b65a-e816d3f54cd0"/>
    <s v="https://www.commcarehq.org/a/demo-18/reports/form_data/3d93f3b7-22d3-461b-b65a-e816d3f54cd0/"/>
  </r>
  <r>
    <x v="64"/>
    <n v="6.6"/>
    <d v="2020-04-19T00:00:00"/>
    <d v="2020-03-20T00:00:00"/>
    <s v="no"/>
    <s v="---"/>
    <s v="---"/>
    <s v="---"/>
    <x v="5"/>
    <s v="no"/>
    <s v="---"/>
    <s v="https://www.commcarehq.org/a/demo-18/api/form/attachment/90cf2f97-1711-4875-9db0-e7925d3d0cea/1584695119413.jpg"/>
    <s v="https://www.commcarehq.org/a/demo-18/api/form/attachment/90cf2f97-1711-4875-9db0-e7925d3d0cea/1584695133947.jpg"/>
    <s v="https://www.commcarehq.org/a/demo-18/api/form/attachment/90cf2f97-1711-4875-9db0-e7925d3d0cea/1584695162586.jpg"/>
    <s v="https://www.commcarehq.org/a/demo-18/api/form/attachment/90cf2f97-1711-4875-9db0-e7925d3d0cea/1584695171019.jpg"/>
    <s v="https://www.commcarehq.org/a/demo-18/api/form/attachment/90cf2f97-1711-4875-9db0-e7925d3d0cea/1584695186786.jpg"/>
    <s v="https://www.commcarehq.org/a/demo-18/api/form/attachment/90cf2f97-1711-4875-9db0-e7925d3d0cea/1584695194382.jpg"/>
    <d v="2020-03-20T09:06:36"/>
    <d v="2020-03-20T09:04:45"/>
    <s v="arnold"/>
    <d v="2020-03-20T10:03:29"/>
    <s v="90cf2f97-1711-4875-9db0-e7925d3d0cea"/>
    <s v="https://www.commcarehq.org/a/demo-18/reports/form_data/90cf2f97-1711-4875-9db0-e7925d3d0cea/"/>
  </r>
  <r>
    <x v="65"/>
    <n v="5.6"/>
    <d v="2020-04-19T00:00:00"/>
    <d v="2020-03-20T00:00:00"/>
    <s v="no"/>
    <s v="---"/>
    <s v="---"/>
    <s v="---"/>
    <x v="5"/>
    <s v="no"/>
    <s v="---"/>
    <s v="https://www.commcarehq.org/a/demo-18/api/form/attachment/ba267639-9a8f-4fb7-866e-294d071754b2/1584696405642.jpg"/>
    <s v="https://www.commcarehq.org/a/demo-18/api/form/attachment/ba267639-9a8f-4fb7-866e-294d071754b2/1584696421734.jpg"/>
    <s v="https://www.commcarehq.org/a/demo-18/api/form/attachment/ba267639-9a8f-4fb7-866e-294d071754b2/1584696467387.jpg"/>
    <s v="https://www.commcarehq.org/a/demo-18/api/form/attachment/ba267639-9a8f-4fb7-866e-294d071754b2/1584696475265.jpg"/>
    <s v="https://www.commcarehq.org/a/demo-18/api/form/attachment/ba267639-9a8f-4fb7-866e-294d071754b2/1584696487802.jpg"/>
    <s v="https://www.commcarehq.org/a/demo-18/api/form/attachment/ba267639-9a8f-4fb7-866e-294d071754b2/1584696497921.jpg"/>
    <d v="2020-03-20T09:28:19"/>
    <d v="2020-03-20T09:26:10"/>
    <s v="arnold"/>
    <d v="2020-03-20T10:05:46"/>
    <s v="ba267639-9a8f-4fb7-866e-294d071754b2"/>
    <s v="https://www.commcarehq.org/a/demo-18/reports/form_data/ba267639-9a8f-4fb7-866e-294d071754b2/"/>
  </r>
  <r>
    <x v="66"/>
    <n v="6"/>
    <d v="2020-04-15T00:00:00"/>
    <d v="2020-03-16T00:00:00"/>
    <s v="no"/>
    <s v="---"/>
    <s v="---"/>
    <s v="---"/>
    <x v="3"/>
    <s v="no"/>
    <s v="---"/>
    <s v="https://www.commcarehq.org/a/demo-18/api/form/attachment/671ceac0-ca1d-4f12-af22-75b3c5977734/1584343534492.jpg"/>
    <s v="https://www.commcarehq.org/a/demo-18/api/form/attachment/671ceac0-ca1d-4f12-af22-75b3c5977734/1584343548853.jpg"/>
    <s v="https://www.commcarehq.org/a/demo-18/api/form/attachment/671ceac0-ca1d-4f12-af22-75b3c5977734/1584343699482.jpg"/>
    <s v="https://www.commcarehq.org/a/demo-18/api/form/attachment/671ceac0-ca1d-4f12-af22-75b3c5977734/1584343707778.jpg"/>
    <s v="https://www.commcarehq.org/a/demo-18/api/form/attachment/671ceac0-ca1d-4f12-af22-75b3c5977734/1584343732000.jpg"/>
    <s v="https://www.commcarehq.org/a/demo-18/api/form/attachment/671ceac0-ca1d-4f12-af22-75b3c5977734/1584343740604.jpg"/>
    <d v="2020-03-16T07:29:04"/>
    <d v="2020-03-16T07:24:42"/>
    <s v="arnold"/>
    <d v="2020-03-16T07:38:25"/>
    <s v="671ceac0-ca1d-4f12-af22-75b3c5977734"/>
    <s v="https://www.commcarehq.org/a/demo-18/reports/form_data/671ceac0-ca1d-4f12-af22-75b3c5977734/"/>
  </r>
  <r>
    <x v="67"/>
    <n v="8.6"/>
    <d v="2020-04-15T00:00:00"/>
    <d v="2020-03-16T00:00:00"/>
    <s v="no"/>
    <s v="---"/>
    <s v="---"/>
    <s v="---"/>
    <x v="5"/>
    <s v="no"/>
    <s v="---"/>
    <s v="https://www.commcarehq.org/a/demo-18/api/form/attachment/c5f783fb-a393-4a90-bb43-9e17245f3525/1584341754458.jpg"/>
    <s v="https://www.commcarehq.org/a/demo-18/api/form/attachment/c5f783fb-a393-4a90-bb43-9e17245f3525/1584341770796.jpg"/>
    <s v="https://www.commcarehq.org/a/demo-18/api/form/attachment/c5f783fb-a393-4a90-bb43-9e17245f3525/1584341821998.jpg"/>
    <s v="https://www.commcarehq.org/a/demo-18/api/form/attachment/c5f783fb-a393-4a90-bb43-9e17245f3525/1584341831329.jpg"/>
    <s v="https://www.commcarehq.org/a/demo-18/api/form/attachment/c5f783fb-a393-4a90-bb43-9e17245f3525/1584341851471.jpg"/>
    <s v="https://www.commcarehq.org/a/demo-18/api/form/attachment/c5f783fb-a393-4a90-bb43-9e17245f3525/1584341859222.jpg"/>
    <d v="2020-03-16T06:57:40"/>
    <d v="2020-03-16T06:55:20"/>
    <s v="arnold"/>
    <d v="2020-03-16T06:57:58"/>
    <s v="c5f783fb-a393-4a90-bb43-9e17245f3525"/>
    <s v="https://www.commcarehq.org/a/demo-18/reports/form_data/c5f783fb-a393-4a90-bb43-9e17245f3525/"/>
  </r>
  <r>
    <x v="68"/>
    <n v="7.9"/>
    <d v="2020-04-15T00:00:00"/>
    <d v="2020-03-16T00:00:00"/>
    <s v="no"/>
    <s v="---"/>
    <s v="---"/>
    <s v="---"/>
    <x v="2"/>
    <s v="no"/>
    <s v="---"/>
    <s v="https://www.commcarehq.org/a/demo-18/api/form/attachment/6b7407f2-7000-468d-b080-74e8cc382548/1584345819562.jpg"/>
    <s v="https://www.commcarehq.org/a/demo-18/api/form/attachment/6b7407f2-7000-468d-b080-74e8cc382548/1584345834959.jpg"/>
    <s v="https://www.commcarehq.org/a/demo-18/api/form/attachment/6b7407f2-7000-468d-b080-74e8cc382548/1584345886528.jpg"/>
    <s v="https://www.commcarehq.org/a/demo-18/api/form/attachment/6b7407f2-7000-468d-b080-74e8cc382548/1584345896481.jpg"/>
    <s v="https://www.commcarehq.org/a/demo-18/api/form/attachment/6b7407f2-7000-468d-b080-74e8cc382548/1584345909015.jpg"/>
    <s v="https://www.commcarehq.org/a/demo-18/api/form/attachment/6b7407f2-7000-468d-b080-74e8cc382548/1584345917317.jpg"/>
    <d v="2020-03-16T08:05:18"/>
    <d v="2020-03-16T08:02:59"/>
    <s v="arnold"/>
    <d v="2020-03-16T08:05:40"/>
    <s v="6b7407f2-7000-468d-b080-74e8cc382548"/>
    <s v="https://www.commcarehq.org/a/demo-18/reports/form_data/6b7407f2-7000-468d-b080-74e8cc382548/"/>
  </r>
  <r>
    <x v="69"/>
    <n v="7.2"/>
    <d v="2020-04-15T00:00:00"/>
    <d v="2020-03-16T00:00:00"/>
    <s v="no"/>
    <s v="---"/>
    <s v="---"/>
    <s v="---"/>
    <x v="14"/>
    <s v="no"/>
    <s v="---"/>
    <s v="https://www.commcarehq.org/a/demo-18/api/form/attachment/7670055d-4880-49e0-a71a-291fc6044b17/1584345253838.jpg"/>
    <s v="https://www.commcarehq.org/a/demo-18/api/form/attachment/7670055d-4880-49e0-a71a-291fc6044b17/1584345270447.jpg"/>
    <s v="https://www.commcarehq.org/a/demo-18/api/form/attachment/7670055d-4880-49e0-a71a-291fc6044b17/1584345303696.jpg"/>
    <s v="https://www.commcarehq.org/a/demo-18/api/form/attachment/7670055d-4880-49e0-a71a-291fc6044b17/1584345313148.jpg"/>
    <s v="https://www.commcarehq.org/a/demo-18/api/form/attachment/7670055d-4880-49e0-a71a-291fc6044b17/1584345323544.jpg"/>
    <s v="https://www.commcarehq.org/a/demo-18/api/form/attachment/7670055d-4880-49e0-a71a-291fc6044b17/1584345334186.jpg"/>
    <d v="2020-03-16T07:55:35"/>
    <d v="2020-03-16T07:53:36"/>
    <s v="arnold"/>
    <d v="2020-03-16T07:55:56"/>
    <s v="7670055d-4880-49e0-a71a-291fc6044b17"/>
    <s v="https://www.commcarehq.org/a/demo-18/reports/form_data/7670055d-4880-49e0-a71a-291fc6044b17/"/>
  </r>
  <r>
    <x v="70"/>
    <n v="8.1"/>
    <d v="2020-04-17T00:00:00"/>
    <d v="2020-03-18T00:00:00"/>
    <s v="no"/>
    <s v="---"/>
    <s v="---"/>
    <s v="---"/>
    <x v="8"/>
    <s v="no"/>
    <s v="---"/>
    <s v="https://www.commcarehq.org/a/demo-18/api/form/attachment/35bb03cc-ddba-478b-a93d-e7293c3e09ca/1584513366458.jpg"/>
    <s v="https://www.commcarehq.org/a/demo-18/api/form/attachment/35bb03cc-ddba-478b-a93d-e7293c3e09ca/1584513379854.jpg"/>
    <s v="https://www.commcarehq.org/a/demo-18/api/form/attachment/35bb03cc-ddba-478b-a93d-e7293c3e09ca/1584513444027.jpg"/>
    <s v="https://www.commcarehq.org/a/demo-18/api/form/attachment/35bb03cc-ddba-478b-a93d-e7293c3e09ca/1584513454435.jpg"/>
    <s v="https://www.commcarehq.org/a/demo-18/api/form/attachment/35bb03cc-ddba-478b-a93d-e7293c3e09ca/1584513469546.jpg"/>
    <s v="https://www.commcarehq.org/a/demo-18/api/form/attachment/35bb03cc-ddba-478b-a93d-e7293c3e09ca/1584513478260.jpg"/>
    <d v="2020-03-18T06:37:59"/>
    <d v="2020-03-18T06:35:30"/>
    <s v="arnold"/>
    <d v="2020-03-18T07:38:30"/>
    <s v="35bb03cc-ddba-478b-a93d-e7293c3e09ca"/>
    <s v="https://www.commcarehq.org/a/demo-18/reports/form_data/35bb03cc-ddba-478b-a93d-e7293c3e09ca/"/>
  </r>
  <r>
    <x v="71"/>
    <n v="7.8"/>
    <d v="2020-04-18T00:00:00"/>
    <d v="2020-03-19T00:00:00"/>
    <s v="no"/>
    <s v="---"/>
    <s v="---"/>
    <s v="---"/>
    <x v="4"/>
    <s v="no"/>
    <s v="---"/>
    <s v="https://www.commcarehq.org/a/demo-18/api/form/attachment/6e0fc8fa-5976-4791-9214-7f68f6ae9d73/1584602249458.jpg"/>
    <s v="https://www.commcarehq.org/a/demo-18/api/form/attachment/6e0fc8fa-5976-4791-9214-7f68f6ae9d73/1584602260719.jpg"/>
    <s v="https://www.commcarehq.org/a/demo-18/api/form/attachment/6e0fc8fa-5976-4791-9214-7f68f6ae9d73/1584602355599.jpg"/>
    <s v="https://www.commcarehq.org/a/demo-18/api/form/attachment/6e0fc8fa-5976-4791-9214-7f68f6ae9d73/1584602364872.jpg"/>
    <s v="https://www.commcarehq.org/a/demo-18/api/form/attachment/6e0fc8fa-5976-4791-9214-7f68f6ae9d73/1584602382174.jpg"/>
    <s v="https://www.commcarehq.org/a/demo-18/api/form/attachment/6e0fc8fa-5976-4791-9214-7f68f6ae9d73/1584602391643.jpg"/>
    <d v="2020-03-19T07:19:53"/>
    <d v="2020-03-19T07:16:53"/>
    <s v="arnold"/>
    <d v="2020-03-19T07:20:15"/>
    <s v="6e0fc8fa-5976-4791-9214-7f68f6ae9d73"/>
    <s v="https://www.commcarehq.org/a/demo-18/reports/form_data/6e0fc8fa-5976-4791-9214-7f68f6ae9d73/"/>
  </r>
  <r>
    <x v="72"/>
    <n v="6.4"/>
    <d v="2019-12-11T00:00:00"/>
    <d v="2019-11-11T00:00:00"/>
    <s v="no"/>
    <s v="---"/>
    <s v="---"/>
    <s v="---"/>
    <x v="1"/>
    <s v="no"/>
    <s v="---"/>
    <s v="https://www.commcarehq.org/a/demo-18/api/form/attachment/7038919b-da2b-4e84-bdcb-13c1629e2411/1573463669465.jpg"/>
    <s v="https://www.commcarehq.org/a/demo-18/api/form/attachment/7038919b-da2b-4e84-bdcb-13c1629e2411/1573463688779.jpg"/>
    <s v="https://www.commcarehq.org/a/demo-18/api/form/attachment/7038919b-da2b-4e84-bdcb-13c1629e2411/1573463793886.jpg"/>
    <s v="https://www.commcarehq.org/a/demo-18/api/form/attachment/7038919b-da2b-4e84-bdcb-13c1629e2411/1573463809427.jpg"/>
    <s v="https://www.commcarehq.org/a/demo-18/api/form/attachment/7038919b-da2b-4e84-bdcb-13c1629e2411/1573463841840.jpg"/>
    <s v="https://www.commcarehq.org/a/demo-18/api/form/attachment/7038919b-da2b-4e84-bdcb-13c1629e2411/1573463853084.jpg"/>
    <d v="2019-11-11T09:17:35"/>
    <d v="2019-11-11T09:13:30"/>
    <s v="arnold"/>
    <d v="2019-11-11T10:08:29"/>
    <s v="7038919b-da2b-4e84-bdcb-13c1629e2411"/>
    <s v="https://www.commcarehq.org/a/demo-18/reports/form_data/7038919b-da2b-4e84-bdcb-13c1629e2411/"/>
  </r>
  <r>
    <x v="73"/>
    <n v="7.3"/>
    <d v="2020-01-05T00:00:00"/>
    <d v="2019-12-06T00:00:00"/>
    <s v="no"/>
    <s v="---"/>
    <s v="---"/>
    <s v="---"/>
    <x v="1"/>
    <s v="no"/>
    <s v="---"/>
    <s v="https://www.commcarehq.org/a/demo-18/api/form/attachment/a7084daf-4825-47d2-8b5a-97eec73a7f53/1575622161962.jpg"/>
    <s v="https://www.commcarehq.org/a/demo-18/api/form/attachment/a7084daf-4825-47d2-8b5a-97eec73a7f53/1575622182049.jpg"/>
    <s v="https://www.commcarehq.org/a/demo-18/api/form/attachment/a7084daf-4825-47d2-8b5a-97eec73a7f53/1575622242237.jpg"/>
    <s v="https://www.commcarehq.org/a/demo-18/api/form/attachment/a7084daf-4825-47d2-8b5a-97eec73a7f53/1575622251499.jpg"/>
    <s v="https://www.commcarehq.org/a/demo-18/api/form/attachment/a7084daf-4825-47d2-8b5a-97eec73a7f53/1575622277340.jpg"/>
    <s v="https://www.commcarehq.org/a/demo-18/api/form/attachment/a7084daf-4825-47d2-8b5a-97eec73a7f53/1575622287438.jpg"/>
    <d v="2019-12-06T08:51:29"/>
    <d v="2019-12-06T08:48:47"/>
    <s v="arnold"/>
    <d v="2019-12-06T08:51:42"/>
    <s v="a7084daf-4825-47d2-8b5a-97eec73a7f53"/>
    <s v="https://www.commcarehq.org/a/demo-18/reports/form_data/a7084daf-4825-47d2-8b5a-97eec73a7f53/"/>
  </r>
  <r>
    <x v="74"/>
    <n v="6.5"/>
    <d v="2020-01-08T00:00:00"/>
    <d v="2019-12-09T00:00:00"/>
    <s v="no"/>
    <s v="---"/>
    <s v="---"/>
    <s v="---"/>
    <x v="2"/>
    <s v="no"/>
    <s v="---"/>
    <s v="https://www.commcarehq.org/a/demo-18/api/form/attachment/38d48536-490d-4f1f-aeb1-0a4937ca1179/1575884810096.jpg"/>
    <s v="https://www.commcarehq.org/a/demo-18/api/form/attachment/38d48536-490d-4f1f-aeb1-0a4937ca1179/1575884838570.jpg"/>
    <s v="https://www.commcarehq.org/a/demo-18/api/form/attachment/38d48536-490d-4f1f-aeb1-0a4937ca1179/1575884933420.jpg"/>
    <s v="https://www.commcarehq.org/a/demo-18/api/form/attachment/38d48536-490d-4f1f-aeb1-0a4937ca1179/1575884942016.jpg"/>
    <s v="https://www.commcarehq.org/a/demo-18/api/form/attachment/38d48536-490d-4f1f-aeb1-0a4937ca1179/1575884991470.jpg"/>
    <s v="https://www.commcarehq.org/a/demo-18/api/form/attachment/38d48536-490d-4f1f-aeb1-0a4937ca1179/1575885001539.jpg"/>
    <d v="2019-12-09T09:50:03"/>
    <d v="2019-12-09T09:46:03"/>
    <s v="arnold"/>
    <d v="2019-12-09T10:10:02"/>
    <s v="38d48536-490d-4f1f-aeb1-0a4937ca1179"/>
    <s v="https://www.commcarehq.org/a/demo-18/reports/form_data/38d48536-490d-4f1f-aeb1-0a4937ca1179/"/>
  </r>
  <r>
    <x v="75"/>
    <n v="6.3"/>
    <d v="2020-01-08T00:00:00"/>
    <d v="2019-12-09T00:00:00"/>
    <s v="no"/>
    <s v="---"/>
    <s v="---"/>
    <s v="---"/>
    <x v="0"/>
    <s v="no"/>
    <s v="---"/>
    <s v="https://www.commcarehq.org/a/demo-18/api/form/attachment/6119158f-c94c-452f-9036-866c4657cf95/1575885319841.jpg"/>
    <s v="https://www.commcarehq.org/a/demo-18/api/form/attachment/6119158f-c94c-452f-9036-866c4657cf95/1575885335717.jpg"/>
    <s v="https://www.commcarehq.org/a/demo-18/api/form/attachment/6119158f-c94c-452f-9036-866c4657cf95/1575885388116.jpg"/>
    <s v="https://www.commcarehq.org/a/demo-18/api/form/attachment/6119158f-c94c-452f-9036-866c4657cf95/1575885395624.jpg"/>
    <s v="https://www.commcarehq.org/a/demo-18/api/form/attachment/6119158f-c94c-452f-9036-866c4657cf95/1575885411299.jpg"/>
    <s v="https://www.commcarehq.org/a/demo-18/api/form/attachment/6119158f-c94c-452f-9036-866c4657cf95/1575885420520.jpg"/>
    <d v="2019-12-09T09:57:02"/>
    <d v="2019-12-09T09:54:36"/>
    <s v="arnold"/>
    <d v="2019-12-09T10:10:21"/>
    <s v="6119158f-c94c-452f-9036-866c4657cf95"/>
    <s v="https://www.commcarehq.org/a/demo-18/reports/form_data/6119158f-c94c-452f-9036-866c4657cf95/"/>
  </r>
  <r>
    <x v="76"/>
    <n v="6.2"/>
    <d v="2020-01-18T00:00:00"/>
    <d v="2019-12-19T00:00:00"/>
    <s v="no"/>
    <s v="---"/>
    <s v="---"/>
    <s v="---"/>
    <x v="1"/>
    <s v="no"/>
    <s v="---"/>
    <s v="https://www.commcarehq.org/a/demo-18/api/form/attachment/65cc04db-36d9-4b50-b531-2a335993f4ca/1576736389817.jpg"/>
    <s v="https://www.commcarehq.org/a/demo-18/api/form/attachment/65cc04db-36d9-4b50-b531-2a335993f4ca/1576736409221.jpg"/>
    <s v="https://www.commcarehq.org/a/demo-18/api/form/attachment/65cc04db-36d9-4b50-b531-2a335993f4ca/1576736472875.jpg"/>
    <s v="https://www.commcarehq.org/a/demo-18/api/form/attachment/65cc04db-36d9-4b50-b531-2a335993f4ca/1576736483719.jpg"/>
    <s v="https://www.commcarehq.org/a/demo-18/api/form/attachment/65cc04db-36d9-4b50-b531-2a335993f4ca/1576736507358.jpg"/>
    <s v="https://www.commcarehq.org/a/demo-18/api/form/attachment/65cc04db-36d9-4b50-b531-2a335993f4ca/1576736516448.jpg"/>
    <d v="2019-12-19T06:21:58"/>
    <d v="2019-12-19T06:18:38"/>
    <s v="arnold"/>
    <d v="2019-12-19T06:22:13"/>
    <s v="65cc04db-36d9-4b50-b531-2a335993f4ca"/>
    <s v="https://www.commcarehq.org/a/demo-18/reports/form_data/65cc04db-36d9-4b50-b531-2a335993f4ca/"/>
  </r>
  <r>
    <x v="77"/>
    <n v="7.7"/>
    <d v="2020-01-18T00:00:00"/>
    <d v="2019-12-19T00:00:00"/>
    <s v="no"/>
    <s v="---"/>
    <s v="---"/>
    <s v="---"/>
    <x v="2"/>
    <s v="no"/>
    <s v="---"/>
    <s v="https://www.commcarehq.org/a/demo-18/api/form/attachment/f2c39349-ea76-4853-a986-9b940193f85f/1576739043863.jpg"/>
    <s v="https://www.commcarehq.org/a/demo-18/api/form/attachment/f2c39349-ea76-4853-a986-9b940193f85f/1576739061864.jpg"/>
    <s v="https://www.commcarehq.org/a/demo-18/api/form/attachment/f2c39349-ea76-4853-a986-9b940193f85f/1576739114597.jpg"/>
    <s v="https://www.commcarehq.org/a/demo-18/api/form/attachment/f2c39349-ea76-4853-a986-9b940193f85f/1576739124707.jpg"/>
    <s v="https://www.commcarehq.org/a/demo-18/api/form/attachment/f2c39349-ea76-4853-a986-9b940193f85f/1576739154744.jpg"/>
    <s v="https://www.commcarehq.org/a/demo-18/api/form/attachment/f2c39349-ea76-4853-a986-9b940193f85f/1576739164091.jpg"/>
    <d v="2019-12-19T07:06:06"/>
    <d v="2019-12-19T07:03:28"/>
    <s v="arnold"/>
    <d v="2019-12-19T08:37:03"/>
    <s v="f2c39349-ea76-4853-a986-9b940193f85f"/>
    <s v="https://www.commcarehq.org/a/demo-18/reports/form_data/f2c39349-ea76-4853-a986-9b940193f85f/"/>
  </r>
  <r>
    <x v="78"/>
    <n v="6"/>
    <d v="2020-01-18T00:00:00"/>
    <d v="2019-12-19T00:00:00"/>
    <s v="no"/>
    <s v="---"/>
    <s v="---"/>
    <s v="---"/>
    <x v="15"/>
    <s v="no"/>
    <s v="---"/>
    <s v="https://www.commcarehq.org/a/demo-18/api/form/attachment/5849fe07-2768-4315-90ce-11a8e85249d2/1576738554048.jpg"/>
    <s v="https://www.commcarehq.org/a/demo-18/api/form/attachment/5849fe07-2768-4315-90ce-11a8e85249d2/1576738595085.jpg"/>
    <s v="https://www.commcarehq.org/a/demo-18/api/form/attachment/5849fe07-2768-4315-90ce-11a8e85249d2/1576738663066.jpg"/>
    <s v="https://www.commcarehq.org/a/demo-18/api/form/attachment/5849fe07-2768-4315-90ce-11a8e85249d2/1576738673070.jpg"/>
    <s v="https://www.commcarehq.org/a/demo-18/api/form/attachment/5849fe07-2768-4315-90ce-11a8e85249d2/1576738694696.jpg"/>
    <s v="https://www.commcarehq.org/a/demo-18/api/form/attachment/5849fe07-2768-4315-90ce-11a8e85249d2/1576738706378.jpg"/>
    <d v="2019-12-19T06:58:28"/>
    <d v="2019-12-19T06:54:56"/>
    <s v="arnold"/>
    <d v="2019-12-19T08:36:50"/>
    <s v="5849fe07-2768-4315-90ce-11a8e85249d2"/>
    <s v="https://www.commcarehq.org/a/demo-18/reports/form_data/5849fe07-2768-4315-90ce-11a8e85249d2/"/>
  </r>
  <r>
    <x v="79"/>
    <n v="5.9"/>
    <d v="2019-12-25T00:00:00"/>
    <d v="2019-11-25T00:00:00"/>
    <s v="no"/>
    <s v="---"/>
    <s v="---"/>
    <s v="---"/>
    <x v="2"/>
    <s v="no"/>
    <s v="---"/>
    <s v="https://www.commcarehq.org/a/demo-18/api/form/attachment/94a9427f-ddd3-4548-8548-d847a38163eb/1574670075727.jpg"/>
    <s v="https://www.commcarehq.org/a/demo-18/api/form/attachment/94a9427f-ddd3-4548-8548-d847a38163eb/1574670092530.jpg"/>
    <s v="https://www.commcarehq.org/a/demo-18/api/form/attachment/94a9427f-ddd3-4548-8548-d847a38163eb/1574670137249.jpg"/>
    <s v="https://www.commcarehq.org/a/demo-18/api/form/attachment/94a9427f-ddd3-4548-8548-d847a38163eb/1574670146136.jpg"/>
    <s v="https://www.commcarehq.org/a/demo-18/api/form/attachment/94a9427f-ddd3-4548-8548-d847a38163eb/1574670165700.jpg"/>
    <s v="https://www.commcarehq.org/a/demo-18/api/form/attachment/94a9427f-ddd3-4548-8548-d847a38163eb/1574670175940.jpg"/>
    <d v="2019-11-25T08:22:58"/>
    <d v="2019-11-25T08:20:39"/>
    <s v="arnold"/>
    <d v="2019-11-25T08:23:20"/>
    <s v="94a9427f-ddd3-4548-8548-d847a38163eb"/>
    <s v="https://www.commcarehq.org/a/demo-18/reports/form_data/94a9427f-ddd3-4548-8548-d847a38163eb/"/>
  </r>
  <r>
    <x v="80"/>
    <n v="6.7"/>
    <d v="2019-12-25T00:00:00"/>
    <d v="2019-11-25T00:00:00"/>
    <s v="no"/>
    <s v="---"/>
    <s v="---"/>
    <s v="---"/>
    <x v="13"/>
    <s v="no"/>
    <s v="---"/>
    <s v="https://www.commcarehq.org/a/demo-18/api/form/attachment/e7eb5b63-3089-45da-b3fc-b3b57c119c9b/1574673332577.jpg"/>
    <s v="https://www.commcarehq.org/a/demo-18/api/form/attachment/e7eb5b63-3089-45da-b3fc-b3b57c119c9b/1574673350845.jpg"/>
    <s v="https://www.commcarehq.org/a/demo-18/api/form/attachment/e7eb5b63-3089-45da-b3fc-b3b57c119c9b/1574673388606.jpg"/>
    <s v="https://www.commcarehq.org/a/demo-18/api/form/attachment/e7eb5b63-3089-45da-b3fc-b3b57c119c9b/1574673397637.jpg"/>
    <s v="https://www.commcarehq.org/a/demo-18/api/form/attachment/e7eb5b63-3089-45da-b3fc-b3b57c119c9b/1574673418023.jpg"/>
    <s v="https://www.commcarehq.org/a/demo-18/api/form/attachment/e7eb5b63-3089-45da-b3fc-b3b57c119c9b/1574673427347.jpg"/>
    <d v="2019-11-25T09:17:09"/>
    <d v="2019-11-25T09:14:59"/>
    <s v="arnold"/>
    <d v="2019-11-25T09:37:29"/>
    <s v="e7eb5b63-3089-45da-b3fc-b3b57c119c9b"/>
    <s v="https://www.commcarehq.org/a/demo-18/reports/form_data/e7eb5b63-3089-45da-b3fc-b3b57c119c9b/"/>
  </r>
  <r>
    <x v="81"/>
    <n v="6.3"/>
    <d v="2020-04-10T00:00:00"/>
    <d v="2020-03-11T00:00:00"/>
    <s v="no"/>
    <s v="---"/>
    <s v="---"/>
    <s v="---"/>
    <x v="5"/>
    <s v="no"/>
    <s v="---"/>
    <s v="https://www.commcarehq.org/a/demo-18/api/form/attachment/4994a9c8-3f2b-47ce-8a07-7ff8425ba476/1583917356478.jpg"/>
    <s v="https://www.commcarehq.org/a/demo-18/api/form/attachment/4994a9c8-3f2b-47ce-8a07-7ff8425ba476/1583917374809.jpg"/>
    <s v="https://www.commcarehq.org/a/demo-18/api/form/attachment/4994a9c8-3f2b-47ce-8a07-7ff8425ba476/1583917426317.jpg"/>
    <s v="https://www.commcarehq.org/a/demo-18/api/form/attachment/4994a9c8-3f2b-47ce-8a07-7ff8425ba476/1583917436205.jpg"/>
    <s v="https://www.commcarehq.org/a/demo-18/api/form/attachment/4994a9c8-3f2b-47ce-8a07-7ff8425ba476/1583917453644.jpg"/>
    <s v="https://www.commcarehq.org/a/demo-18/api/form/attachment/4994a9c8-3f2b-47ce-8a07-7ff8425ba476/1583917462310.jpg"/>
    <d v="2020-03-11T09:04:25"/>
    <d v="2020-03-11T09:01:48"/>
    <s v="arnold"/>
    <d v="2020-03-11T09:04:48"/>
    <s v="4994a9c8-3f2b-47ce-8a07-7ff8425ba476"/>
    <s v="https://www.commcarehq.org/a/demo-18/reports/form_data/4994a9c8-3f2b-47ce-8a07-7ff8425ba476/"/>
  </r>
  <r>
    <x v="82"/>
    <n v="8.3000000000000007"/>
    <d v="2020-04-26T00:00:00"/>
    <d v="2020-03-27T00:00:00"/>
    <s v="no"/>
    <s v="---"/>
    <s v="---"/>
    <s v="---"/>
    <x v="8"/>
    <s v="no"/>
    <s v="---"/>
    <s v="https://www.commcarehq.org/a/demo-18/api/form/attachment/aa498f90-7777-4a47-ae20-e2b964471970/1585293635804.jpg"/>
    <s v="https://www.commcarehq.org/a/demo-18/api/form/attachment/aa498f90-7777-4a47-ae20-e2b964471970/1585293650424.jpg"/>
    <s v="https://www.commcarehq.org/a/demo-18/api/form/attachment/aa498f90-7777-4a47-ae20-e2b964471970/1585293682020.jpg"/>
    <s v="https://www.commcarehq.org/a/demo-18/api/form/attachment/aa498f90-7777-4a47-ae20-e2b964471970/1585293690275.jpg"/>
    <s v="https://www.commcarehq.org/a/demo-18/api/form/attachment/aa498f90-7777-4a47-ae20-e2b964471970/1585293734780.jpg"/>
    <s v="https://www.commcarehq.org/a/demo-18/api/form/attachment/aa498f90-7777-4a47-ae20-e2b964471970/1585293743325.jpg"/>
    <d v="2020-03-27T07:22:24"/>
    <d v="2020-03-27T07:19:49"/>
    <s v="arnold"/>
    <d v="2020-03-27T07:22:45"/>
    <s v="aa498f90-7777-4a47-ae20-e2b964471970"/>
    <s v="https://www.commcarehq.org/a/demo-18/reports/form_data/aa498f90-7777-4a47-ae20-e2b964471970/"/>
  </r>
  <r>
    <x v="83"/>
    <n v="7.2"/>
    <d v="2020-04-26T00:00:00"/>
    <d v="2020-03-27T00:00:00"/>
    <s v="no"/>
    <s v="---"/>
    <s v="---"/>
    <s v="---"/>
    <x v="8"/>
    <s v="no"/>
    <s v="---"/>
    <s v="https://www.commcarehq.org/a/demo-18/api/form/attachment/4ac9ca69-9b33-4cb6-9259-76c42df7229f/1585292311036.jpg"/>
    <s v="https://www.commcarehq.org/a/demo-18/api/form/attachment/4ac9ca69-9b33-4cb6-9259-76c42df7229f/1585292332554.jpg"/>
    <s v="https://www.commcarehq.org/a/demo-18/api/form/attachment/4ac9ca69-9b33-4cb6-9259-76c42df7229f/1585292431348.jpg"/>
    <s v="https://www.commcarehq.org/a/demo-18/api/form/attachment/4ac9ca69-9b33-4cb6-9259-76c42df7229f/1585292441049.jpg"/>
    <s v="https://www.commcarehq.org/a/demo-18/api/form/attachment/4ac9ca69-9b33-4cb6-9259-76c42df7229f/1585292454426.jpg"/>
    <s v="https://www.commcarehq.org/a/demo-18/api/form/attachment/4ac9ca69-9b33-4cb6-9259-76c42df7229f/1585292462858.jpg"/>
    <d v="2020-03-27T07:01:05"/>
    <d v="2020-03-27T06:58:00"/>
    <s v="arnold"/>
    <d v="2020-03-27T07:01:24"/>
    <s v="4ac9ca69-9b33-4cb6-9259-76c42df7229f"/>
    <s v="https://www.commcarehq.org/a/demo-18/reports/form_data/4ac9ca69-9b33-4cb6-9259-76c42df7229f/"/>
  </r>
  <r>
    <x v="84"/>
    <n v="7.5"/>
    <d v="2020-04-29T00:00:00"/>
    <d v="2020-03-30T00:00:00"/>
    <s v="no"/>
    <s v="---"/>
    <s v="---"/>
    <s v="---"/>
    <x v="8"/>
    <s v="no"/>
    <s v="---"/>
    <s v="https://www.commcarehq.org/a/demo-18/api/form/attachment/32927eff-dcac-4522-b10a-2e339e56d2dd/1585554785281.jpg"/>
    <s v="https://www.commcarehq.org/a/demo-18/api/form/attachment/32927eff-dcac-4522-b10a-2e339e56d2dd/1585554798244.jpg"/>
    <s v="https://www.commcarehq.org/a/demo-18/api/form/attachment/32927eff-dcac-4522-b10a-2e339e56d2dd/1585554958746.jpg"/>
    <s v="https://www.commcarehq.org/a/demo-18/api/form/attachment/32927eff-dcac-4522-b10a-2e339e56d2dd/1585554968625.jpg"/>
    <s v="https://www.commcarehq.org/a/demo-18/api/form/attachment/32927eff-dcac-4522-b10a-2e339e56d2dd/1585554982313.jpg"/>
    <s v="https://www.commcarehq.org/a/demo-18/api/form/attachment/32927eff-dcac-4522-b10a-2e339e56d2dd/1585555002555.jpg"/>
    <d v="2020-03-30T07:56:44"/>
    <d v="2020-03-30T07:52:09"/>
    <s v="arnold"/>
    <d v="2020-03-30T07:57:07"/>
    <s v="32927eff-dcac-4522-b10a-2e339e56d2dd"/>
    <s v="https://www.commcarehq.org/a/demo-18/reports/form_data/32927eff-dcac-4522-b10a-2e339e56d2dd/"/>
  </r>
  <r>
    <x v="85"/>
    <n v="7.8"/>
    <d v="2020-04-29T00:00:00"/>
    <d v="2020-03-30T00:00:00"/>
    <s v="no"/>
    <s v="---"/>
    <s v="---"/>
    <s v="---"/>
    <x v="5"/>
    <s v="no"/>
    <s v="---"/>
    <s v="https://www.commcarehq.org/a/demo-18/api/form/attachment/9fbccb1f-6c7f-4b05-b7bb-4a946f8f9c27/1585552130603.jpg"/>
    <s v="https://www.commcarehq.org/a/demo-18/api/form/attachment/9fbccb1f-6c7f-4b05-b7bb-4a946f8f9c27/1585552144751.jpg"/>
    <s v="https://www.commcarehq.org/a/demo-18/api/form/attachment/9fbccb1f-6c7f-4b05-b7bb-4a946f8f9c27/1585552197953.jpg"/>
    <s v="https://www.commcarehq.org/a/demo-18/api/form/attachment/9fbccb1f-6c7f-4b05-b7bb-4a946f8f9c27/1585552208835.jpg"/>
    <s v="https://www.commcarehq.org/a/demo-18/api/form/attachment/9fbccb1f-6c7f-4b05-b7bb-4a946f8f9c27/1585552230453.jpg"/>
    <s v="https://www.commcarehq.org/a/demo-18/api/form/attachment/9fbccb1f-6c7f-4b05-b7bb-4a946f8f9c27/1585552240479.jpg"/>
    <d v="2020-03-30T07:10:42"/>
    <d v="2020-03-30T07:07:53"/>
    <s v="arnold"/>
    <d v="2020-03-30T07:11:10"/>
    <s v="9fbccb1f-6c7f-4b05-b7bb-4a946f8f9c27"/>
    <s v="https://www.commcarehq.org/a/demo-18/reports/form_data/9fbccb1f-6c7f-4b05-b7bb-4a946f8f9c27/"/>
  </r>
  <r>
    <x v="86"/>
    <n v="6"/>
    <d v="2020-04-22T00:00:00"/>
    <d v="2020-03-23T00:00:00"/>
    <s v="no"/>
    <s v="---"/>
    <s v="---"/>
    <s v="---"/>
    <x v="5"/>
    <s v="no"/>
    <s v="---"/>
    <s v="https://www.commcarehq.org/a/demo-18/api/form/attachment/8c4e9ccd-ca79-4c69-8540-0c57658a196b/1584949473603.jpg"/>
    <s v="https://www.commcarehq.org/a/demo-18/api/form/attachment/8c4e9ccd-ca79-4c69-8540-0c57658a196b/1584949486623.jpg"/>
    <s v="https://www.commcarehq.org/a/demo-18/api/form/attachment/8c4e9ccd-ca79-4c69-8540-0c57658a196b/1584949551900.jpg"/>
    <s v="https://www.commcarehq.org/a/demo-18/api/form/attachment/8c4e9ccd-ca79-4c69-8540-0c57658a196b/1584949565390.jpg"/>
    <s v="https://www.commcarehq.org/a/demo-18/api/form/attachment/8c4e9ccd-ca79-4c69-8540-0c57658a196b/1584949582703.jpg"/>
    <s v="https://www.commcarehq.org/a/demo-18/api/form/attachment/8c4e9ccd-ca79-4c69-8540-0c57658a196b/1584949591055.jpg"/>
    <d v="2020-03-23T07:46:33"/>
    <d v="2020-03-23T07:44:02"/>
    <s v="arnold"/>
    <d v="2020-03-23T07:46:52"/>
    <s v="8c4e9ccd-ca79-4c69-8540-0c57658a196b"/>
    <s v="https://www.commcarehq.org/a/demo-18/reports/form_data/8c4e9ccd-ca79-4c69-8540-0c57658a196b/"/>
  </r>
  <r>
    <x v="87"/>
    <n v="7.9"/>
    <d v="2020-03-27T00:00:00"/>
    <d v="2020-02-26T00:00:00"/>
    <s v="no"/>
    <s v="---"/>
    <s v="---"/>
    <s v="---"/>
    <x v="2"/>
    <s v="no"/>
    <s v="---"/>
    <s v="https://www.commcarehq.org/a/demo-18/api/form/attachment/300902fe-7ec7-4c56-95b2-629b9fc96d6d/1582705915010.jpg"/>
    <s v="https://www.commcarehq.org/a/demo-18/api/form/attachment/300902fe-7ec7-4c56-95b2-629b9fc96d6d/1582705930386.jpg"/>
    <s v="https://www.commcarehq.org/a/demo-18/api/form/attachment/300902fe-7ec7-4c56-95b2-629b9fc96d6d/1582705952458.jpg"/>
    <s v="https://www.commcarehq.org/a/demo-18/api/form/attachment/300902fe-7ec7-4c56-95b2-629b9fc96d6d/1582705961688.jpg"/>
    <s v="https://www.commcarehq.org/a/demo-18/api/form/attachment/300902fe-7ec7-4c56-95b2-629b9fc96d6d/1582705976020.jpg"/>
    <s v="https://www.commcarehq.org/a/demo-18/api/form/attachment/300902fe-7ec7-4c56-95b2-629b9fc96d6d/1582705985250.jpg"/>
    <d v="2020-02-26T08:33:07"/>
    <d v="2020-02-26T08:31:21"/>
    <s v="arnold"/>
    <d v="2020-02-26T11:20:36"/>
    <s v="300902fe-7ec7-4c56-95b2-629b9fc96d6d"/>
    <s v="https://www.commcarehq.org/a/demo-18/reports/form_data/300902fe-7ec7-4c56-95b2-629b9fc96d6d/"/>
  </r>
  <r>
    <x v="88"/>
    <n v="7.3"/>
    <d v="2019-12-28T00:00:00"/>
    <d v="2019-11-28T00:00:00"/>
    <s v="no"/>
    <s v="---"/>
    <s v="---"/>
    <s v="---"/>
    <x v="3"/>
    <s v="no"/>
    <s v="---"/>
    <s v="https://www.commcarehq.org/a/demo-18/api/form/attachment/c5f886ef-788c-4ee1-9c88-c9f0ca203ac4/1574933632778.jpg"/>
    <s v="https://www.commcarehq.org/a/demo-18/api/form/attachment/c5f886ef-788c-4ee1-9c88-c9f0ca203ac4/1574933650974.jpg"/>
    <s v="https://www.commcarehq.org/a/demo-18/api/form/attachment/c5f886ef-788c-4ee1-9c88-c9f0ca203ac4/1574933782899.jpg"/>
    <s v="https://www.commcarehq.org/a/demo-18/api/form/attachment/c5f886ef-788c-4ee1-9c88-c9f0ca203ac4/1574933793066.jpg"/>
    <s v="https://www.commcarehq.org/a/demo-18/api/form/attachment/c5f886ef-788c-4ee1-9c88-c9f0ca203ac4/1574933812141.jpg"/>
    <s v="https://www.commcarehq.org/a/demo-18/api/form/attachment/c5f886ef-788c-4ee1-9c88-c9f0ca203ac4/1574933824366.jpg"/>
    <d v="2019-11-28T09:37:08"/>
    <d v="2019-11-28T09:32:54"/>
    <s v="arnold"/>
    <d v="2019-11-28T09:37:25"/>
    <s v="c5f886ef-788c-4ee1-9c88-c9f0ca203ac4"/>
    <s v="https://www.commcarehq.org/a/demo-18/reports/form_data/c5f886ef-788c-4ee1-9c88-c9f0ca203ac4/"/>
  </r>
  <r>
    <x v="89"/>
    <n v="6"/>
    <d v="2019-12-27T00:00:00"/>
    <d v="2019-11-27T00:00:00"/>
    <s v="no"/>
    <s v="---"/>
    <s v="---"/>
    <s v="---"/>
    <x v="1"/>
    <s v="no"/>
    <s v="---"/>
    <s v="https://www.commcarehq.org/a/demo-18/api/form/attachment/8f31a591-2026-432a-b558-a44167a68951/1574844116794.jpg"/>
    <s v="https://www.commcarehq.org/a/demo-18/api/form/attachment/8f31a591-2026-432a-b558-a44167a68951/1574844133027.jpg"/>
    <s v="https://www.commcarehq.org/a/demo-18/api/form/attachment/8f31a591-2026-432a-b558-a44167a68951/1574844173609.jpg"/>
    <s v="https://www.commcarehq.org/a/demo-18/api/form/attachment/8f31a591-2026-432a-b558-a44167a68951/1574844182474.jpg"/>
    <s v="https://www.commcarehq.org/a/demo-18/api/form/attachment/8f31a591-2026-432a-b558-a44167a68951/1574844208306.jpg"/>
    <s v="https://www.commcarehq.org/a/demo-18/api/form/attachment/8f31a591-2026-432a-b558-a44167a68951/1574844219852.jpg"/>
    <d v="2019-11-27T08:43:41"/>
    <d v="2019-11-27T08:40:33"/>
    <s v="arnold"/>
    <d v="2019-11-27T09:12:26"/>
    <s v="8f31a591-2026-432a-b558-a44167a68951"/>
    <s v="https://www.commcarehq.org/a/demo-18/reports/form_data/8f31a591-2026-432a-b558-a44167a68951/"/>
  </r>
  <r>
    <x v="90"/>
    <n v="6.9"/>
    <d v="2019-12-27T00:00:00"/>
    <d v="2019-11-27T00:00:00"/>
    <s v="no"/>
    <s v="---"/>
    <s v="---"/>
    <s v="---"/>
    <x v="1"/>
    <s v="no"/>
    <s v="---"/>
    <s v="https://www.commcarehq.org/a/demo-18/api/form/attachment/b4e9bd5a-4339-4019-ace1-71d86f9dbc52/1574844588883.jpg"/>
    <s v="https://www.commcarehq.org/a/demo-18/api/form/attachment/b4e9bd5a-4339-4019-ace1-71d86f9dbc52/1574844606230.jpg"/>
    <s v="https://www.commcarehq.org/a/demo-18/api/form/attachment/b4e9bd5a-4339-4019-ace1-71d86f9dbc52/1574844653311.jpg"/>
    <s v="https://www.commcarehq.org/a/demo-18/api/form/attachment/b4e9bd5a-4339-4019-ace1-71d86f9dbc52/1574844662237.jpg"/>
    <s v="https://www.commcarehq.org/a/demo-18/api/form/attachment/b4e9bd5a-4339-4019-ace1-71d86f9dbc52/1574844685876.jpg"/>
    <s v="https://www.commcarehq.org/a/demo-18/api/form/attachment/b4e9bd5a-4339-4019-ace1-71d86f9dbc52/1574844694746.jpg"/>
    <d v="2019-11-27T08:51:36"/>
    <d v="2019-11-27T08:48:58"/>
    <s v="arnold"/>
    <d v="2019-11-27T09:12:43"/>
    <s v="b4e9bd5a-4339-4019-ace1-71d86f9dbc52"/>
    <s v="https://www.commcarehq.org/a/demo-18/reports/form_data/b4e9bd5a-4339-4019-ace1-71d86f9dbc52/"/>
  </r>
  <r>
    <x v="91"/>
    <n v="7.4"/>
    <d v="2019-12-27T00:00:00"/>
    <d v="2019-11-27T00:00:00"/>
    <s v="no"/>
    <s v="---"/>
    <s v="---"/>
    <s v="---"/>
    <x v="3"/>
    <s v="no"/>
    <s v="---"/>
    <s v="https://www.commcarehq.org/a/demo-18/api/form/attachment/a899c3e0-552d-4a25-b138-e7e7c19f5e47/1574843564241.jpg"/>
    <s v="https://www.commcarehq.org/a/demo-18/api/form/attachment/a899c3e0-552d-4a25-b138-e7e7c19f5e47/1574843582644.jpg"/>
    <s v="https://www.commcarehq.org/a/demo-18/api/form/attachment/a899c3e0-552d-4a25-b138-e7e7c19f5e47/1574843626071.jpg"/>
    <s v="https://www.commcarehq.org/a/demo-18/api/form/attachment/a899c3e0-552d-4a25-b138-e7e7c19f5e47/1574843655190.jpg"/>
    <s v="https://www.commcarehq.org/a/demo-18/api/form/attachment/a899c3e0-552d-4a25-b138-e7e7c19f5e47/1574843673099.jpg"/>
    <s v="https://www.commcarehq.org/a/demo-18/api/form/attachment/a899c3e0-552d-4a25-b138-e7e7c19f5e47/1574843681672.jpg"/>
    <d v="2019-11-27T08:34:43"/>
    <d v="2019-11-27T08:31:49"/>
    <s v="arnold"/>
    <d v="2019-11-27T09:12:07"/>
    <s v="a899c3e0-552d-4a25-b138-e7e7c19f5e47"/>
    <s v="https://www.commcarehq.org/a/demo-18/reports/form_data/a899c3e0-552d-4a25-b138-e7e7c19f5e47/"/>
  </r>
  <r>
    <x v="92"/>
    <n v="6.9"/>
    <d v="2020-01-10T00:00:00"/>
    <d v="2019-12-11T00:00:00"/>
    <s v="no"/>
    <s v="---"/>
    <s v="---"/>
    <s v="---"/>
    <x v="1"/>
    <s v="no"/>
    <s v="---"/>
    <s v="https://www.commcarehq.org/a/demo-18/api/form/attachment/daa2afd6-791e-4ecc-a6e3-902e8da299e9/1576052091651.jpg"/>
    <s v="https://www.commcarehq.org/a/demo-18/api/form/attachment/daa2afd6-791e-4ecc-a6e3-902e8da299e9/1576052114513.jpg"/>
    <s v="https://www.commcarehq.org/a/demo-18/api/form/attachment/daa2afd6-791e-4ecc-a6e3-902e8da299e9/1576052174371.jpg"/>
    <s v="https://www.commcarehq.org/a/demo-18/api/form/attachment/daa2afd6-791e-4ecc-a6e3-902e8da299e9/1576052184949.jpg"/>
    <s v="https://www.commcarehq.org/a/demo-18/api/form/attachment/daa2afd6-791e-4ecc-a6e3-902e8da299e9/1576052219097.jpg"/>
    <s v="https://www.commcarehq.org/a/demo-18/api/form/attachment/daa2afd6-791e-4ecc-a6e3-902e8da299e9/1576052228390.jpg"/>
    <d v="2019-12-11T08:17:10"/>
    <d v="2019-12-11T08:13:08"/>
    <s v="arnold"/>
    <d v="2019-12-11T10:33:43"/>
    <s v="daa2afd6-791e-4ecc-a6e3-902e8da299e9"/>
    <s v="https://www.commcarehq.org/a/demo-18/reports/form_data/daa2afd6-791e-4ecc-a6e3-902e8da299e9/"/>
  </r>
  <r>
    <x v="93"/>
    <n v="4.8"/>
    <d v="2020-01-05T00:00:00"/>
    <d v="2019-12-06T00:00:00"/>
    <s v="no"/>
    <s v="---"/>
    <s v="---"/>
    <s v="---"/>
    <x v="1"/>
    <s v="no"/>
    <s v="---"/>
    <s v="https://www.commcarehq.org/a/demo-18/api/form/attachment/5a43ab14-fe9c-41db-8a17-5d0342aebb20/1575616414298.jpg"/>
    <s v="https://www.commcarehq.org/a/demo-18/api/form/attachment/5a43ab14-fe9c-41db-8a17-5d0342aebb20/1575616431773.jpg"/>
    <s v="https://www.commcarehq.org/a/demo-18/api/form/attachment/5a43ab14-fe9c-41db-8a17-5d0342aebb20/1575616476185.jpg"/>
    <s v="https://www.commcarehq.org/a/demo-18/api/form/attachment/5a43ab14-fe9c-41db-8a17-5d0342aebb20/1575616486198.jpg"/>
    <s v="https://www.commcarehq.org/a/demo-18/api/form/attachment/5a43ab14-fe9c-41db-8a17-5d0342aebb20/1575616508005.jpg"/>
    <s v="https://www.commcarehq.org/a/demo-18/api/form/attachment/5a43ab14-fe9c-41db-8a17-5d0342aebb20/1575616516426.jpg"/>
    <d v="2019-12-06T07:15:26"/>
    <d v="2019-12-06T07:12:50"/>
    <s v="arnold"/>
    <d v="2019-12-06T07:15:47"/>
    <s v="5a43ab14-fe9c-41db-8a17-5d0342aebb20"/>
    <s v="https://www.commcarehq.org/a/demo-18/reports/form_data/5a43ab14-fe9c-41db-8a17-5d0342aebb20/"/>
  </r>
  <r>
    <x v="94"/>
    <n v="7.4"/>
    <d v="2019-12-21T00:00:00"/>
    <d v="2019-11-21T00:00:00"/>
    <s v="no"/>
    <s v="---"/>
    <s v="---"/>
    <s v="---"/>
    <x v="1"/>
    <s v="no"/>
    <s v="---"/>
    <s v="https://www.commcarehq.org/a/demo-18/api/form/attachment/0a28b2b6-c07e-4280-898c-8ce28f213ddb/1574328753101.jpg"/>
    <s v="https://www.commcarehq.org/a/demo-18/api/form/attachment/0a28b2b6-c07e-4280-898c-8ce28f213ddb/1574328783401.jpg"/>
    <s v="https://www.commcarehq.org/a/demo-18/api/form/attachment/0a28b2b6-c07e-4280-898c-8ce28f213ddb/1574328827447.jpg"/>
    <s v="https://www.commcarehq.org/a/demo-18/api/form/attachment/0a28b2b6-c07e-4280-898c-8ce28f213ddb/1574328838588.jpg"/>
    <s v="https://www.commcarehq.org/a/demo-18/api/form/attachment/0a28b2b6-c07e-4280-898c-8ce28f213ddb/1574328870356.jpg"/>
    <s v="https://www.commcarehq.org/a/demo-18/api/form/attachment/0a28b2b6-c07e-4280-898c-8ce28f213ddb/1574328881574.jpg"/>
    <d v="2019-11-21T09:34:43"/>
    <d v="2019-11-21T09:31:36"/>
    <s v="arnold"/>
    <d v="2019-11-21T09:34:56"/>
    <s v="0a28b2b6-c07e-4280-898c-8ce28f213ddb"/>
    <s v="https://www.commcarehq.org/a/demo-18/reports/form_data/0a28b2b6-c07e-4280-898c-8ce28f213ddb/"/>
  </r>
  <r>
    <x v="95"/>
    <n v="8.1"/>
    <d v="2019-12-25T00:00:00"/>
    <d v="2019-11-25T00:00:00"/>
    <s v="no"/>
    <s v="---"/>
    <s v="---"/>
    <s v="---"/>
    <x v="2"/>
    <s v="no"/>
    <s v="---"/>
    <s v="https://www.commcarehq.org/a/demo-18/api/form/attachment/2e19f7a3-d2b8-4917-9661-275aeb5c5220/1574671598533.jpg"/>
    <s v="https://www.commcarehq.org/a/demo-18/api/form/attachment/2e19f7a3-d2b8-4917-9661-275aeb5c5220/1574671614321.jpg"/>
    <s v="https://www.commcarehq.org/a/demo-18/api/form/attachment/2e19f7a3-d2b8-4917-9661-275aeb5c5220/1574671654352.jpg"/>
    <s v="https://www.commcarehq.org/a/demo-18/api/form/attachment/2e19f7a3-d2b8-4917-9661-275aeb5c5220/1574671664046.jpg"/>
    <s v="https://www.commcarehq.org/a/demo-18/api/form/attachment/2e19f7a3-d2b8-4917-9661-275aeb5c5220/1574671688586.jpg"/>
    <s v="https://www.commcarehq.org/a/demo-18/api/form/attachment/2e19f7a3-d2b8-4917-9661-275aeb5c5220/1574671699571.jpg"/>
    <d v="2019-11-25T08:48:21"/>
    <d v="2019-11-25T08:45:44"/>
    <s v="arnold"/>
    <d v="2019-11-25T08:53:35"/>
    <s v="2e19f7a3-d2b8-4917-9661-275aeb5c5220"/>
    <s v="https://www.commcarehq.org/a/demo-18/reports/form_data/2e19f7a3-d2b8-4917-9661-275aeb5c5220/"/>
  </r>
  <r>
    <x v="96"/>
    <n v="6.5"/>
    <d v="2019-12-25T00:00:00"/>
    <d v="2019-11-25T00:00:00"/>
    <s v="no"/>
    <s v="---"/>
    <s v="---"/>
    <s v="---"/>
    <x v="3"/>
    <s v="no"/>
    <s v="---"/>
    <s v="https://www.commcarehq.org/a/demo-18/api/form/attachment/56e9ada6-b3e8-4ab0-9890-09f83e889ab8/1574669226656.jpg"/>
    <s v="https://www.commcarehq.org/a/demo-18/api/form/attachment/56e9ada6-b3e8-4ab0-9890-09f83e889ab8/1574669239828.jpg"/>
    <s v="https://www.commcarehq.org/a/demo-18/api/form/attachment/56e9ada6-b3e8-4ab0-9890-09f83e889ab8/1574669284663.jpg"/>
    <s v="https://www.commcarehq.org/a/demo-18/api/form/attachment/56e9ada6-b3e8-4ab0-9890-09f83e889ab8/1574669297099.jpg"/>
    <s v="https://www.commcarehq.org/a/demo-18/api/form/attachment/56e9ada6-b3e8-4ab0-9890-09f83e889ab8/1574669315236.jpg"/>
    <s v="https://www.commcarehq.org/a/demo-18/api/form/attachment/56e9ada6-b3e8-4ab0-9890-09f83e889ab8/1574669324739.jpg"/>
    <d v="2019-11-25T08:08:46"/>
    <d v="2019-11-25T08:06:05"/>
    <s v="arnold"/>
    <d v="2019-11-25T08:09:04"/>
    <s v="56e9ada6-b3e8-4ab0-9890-09f83e889ab8"/>
    <s v="https://www.commcarehq.org/a/demo-18/reports/form_data/56e9ada6-b3e8-4ab0-9890-09f83e889ab8/"/>
  </r>
  <r>
    <x v="97"/>
    <n v="6.7"/>
    <d v="2019-12-07T00:00:00"/>
    <d v="2019-11-07T00:00:00"/>
    <s v="no"/>
    <s v="---"/>
    <s v="---"/>
    <s v="---"/>
    <x v="3"/>
    <s v="no"/>
    <s v="---"/>
    <s v="https://www.commcarehq.org/a/demo-18/api/form/attachment/33deb13c-0fe6-4e85-a9a1-a72f1ddf7888/1573116525919.jpg"/>
    <m/>
    <s v="https://www.commcarehq.org/a/demo-18/api/form/attachment/33deb13c-0fe6-4e85-a9a1-a72f1ddf7888/1573116541804.jpg"/>
    <s v="https://www.commcarehq.org/a/demo-18/api/form/attachment/33deb13c-0fe6-4e85-a9a1-a72f1ddf7888/1573116580430.jpg"/>
    <s v="https://www.commcarehq.org/a/demo-18/api/form/attachment/33deb13c-0fe6-4e85-a9a1-a72f1ddf7888/1573116620970.jpg"/>
    <s v="https://www.commcarehq.org/a/demo-18/api/form/attachment/33deb13c-0fe6-4e85-a9a1-a72f1ddf7888/1573116633639.jpg"/>
    <d v="2019-11-07T08:50:37"/>
    <d v="2019-11-07T08:47:59"/>
    <s v="arnold"/>
    <d v="2019-11-07T10:11:14"/>
    <s v="33deb13c-0fe6-4e85-a9a1-a72f1ddf7888"/>
    <s v="https://www.commcarehq.org/a/demo-18/reports/form_data/33deb13c-0fe6-4e85-a9a1-a72f1ddf7888/"/>
  </r>
  <r>
    <x v="98"/>
    <n v="8.1999999999999993"/>
    <d v="2020-04-19T00:00:00"/>
    <d v="2020-03-20T00:00:00"/>
    <s v="no"/>
    <s v="---"/>
    <s v="---"/>
    <s v="---"/>
    <x v="5"/>
    <s v="no"/>
    <s v="---"/>
    <s v="https://www.commcarehq.org/a/demo-18/api/form/attachment/c2012c8b-a8b8-4ed3-8b01-3392b15811b9/1584691976424.jpg"/>
    <s v="https://www.commcarehq.org/a/demo-18/api/form/attachment/c2012c8b-a8b8-4ed3-8b01-3392b15811b9/1584691993179.jpg"/>
    <s v="https://www.commcarehq.org/a/demo-18/api/form/attachment/c2012c8b-a8b8-4ed3-8b01-3392b15811b9/1584692028129.jpg"/>
    <s v="https://www.commcarehq.org/a/demo-18/api/form/attachment/c2012c8b-a8b8-4ed3-8b01-3392b15811b9/1584692039439.jpg"/>
    <s v="https://www.commcarehq.org/a/demo-18/api/form/attachment/c2012c8b-a8b8-4ed3-8b01-3392b15811b9/1584692112773.jpg"/>
    <s v="https://www.commcarehq.org/a/demo-18/api/form/attachment/c2012c8b-a8b8-4ed3-8b01-3392b15811b9/1584692129855.jpg"/>
    <d v="2020-03-20T08:15:31"/>
    <d v="2020-03-20T08:12:17"/>
    <s v="arnold"/>
    <d v="2020-03-20T08:17:56"/>
    <s v="c2012c8b-a8b8-4ed3-8b01-3392b15811b9"/>
    <s v="https://www.commcarehq.org/a/demo-18/reports/form_data/c2012c8b-a8b8-4ed3-8b01-3392b15811b9/"/>
  </r>
  <r>
    <x v="99"/>
    <n v="7.4"/>
    <d v="2020-04-22T00:00:00"/>
    <d v="2020-03-23T00:00:00"/>
    <s v="no"/>
    <s v="---"/>
    <s v="---"/>
    <s v="---"/>
    <x v="2"/>
    <s v="no"/>
    <s v="---"/>
    <s v="https://www.commcarehq.org/a/demo-18/api/form/attachment/ca53fcfc-3a76-4e2c-816e-9b79543e4f64/1584944881174.jpg"/>
    <s v="https://www.commcarehq.org/a/demo-18/api/form/attachment/ca53fcfc-3a76-4e2c-816e-9b79543e4f64/1584944900278.jpg"/>
    <s v="https://www.commcarehq.org/a/demo-18/api/form/attachment/ca53fcfc-3a76-4e2c-816e-9b79543e4f64/1584944956727.jpg"/>
    <s v="https://www.commcarehq.org/a/demo-18/api/form/attachment/ca53fcfc-3a76-4e2c-816e-9b79543e4f64/1584944966947.jpg"/>
    <s v="https://www.commcarehq.org/a/demo-18/api/form/attachment/ca53fcfc-3a76-4e2c-816e-9b79543e4f64/1584944980827.jpg"/>
    <s v="https://www.commcarehq.org/a/demo-18/api/form/attachment/ca53fcfc-3a76-4e2c-816e-9b79543e4f64/1584944989309.jpg"/>
    <d v="2020-03-23T06:29:50"/>
    <d v="2020-03-23T06:27:33"/>
    <s v="arnold"/>
    <d v="2020-03-23T06:30:12"/>
    <s v="ca53fcfc-3a76-4e2c-816e-9b79543e4f64"/>
    <s v="https://www.commcarehq.org/a/demo-18/reports/form_data/ca53fcfc-3a76-4e2c-816e-9b79543e4f64/"/>
  </r>
  <r>
    <x v="100"/>
    <n v="8.6"/>
    <d v="2020-04-22T00:00:00"/>
    <d v="2020-03-23T00:00:00"/>
    <s v="no"/>
    <s v="---"/>
    <s v="---"/>
    <s v="---"/>
    <x v="5"/>
    <s v="no"/>
    <s v="---"/>
    <s v="https://www.commcarehq.org/a/demo-18/api/form/attachment/6985b479-fe67-4078-8803-de9ab9bf0b3f/1584949853003.jpg"/>
    <s v="https://www.commcarehq.org/a/demo-18/api/form/attachment/6985b479-fe67-4078-8803-de9ab9bf0b3f/1584949868143.jpg"/>
    <s v="https://www.commcarehq.org/a/demo-18/api/form/attachment/6985b479-fe67-4078-8803-de9ab9bf0b3f/1584949920401.jpg"/>
    <s v="https://www.commcarehq.org/a/demo-18/api/form/attachment/6985b479-fe67-4078-8803-de9ab9bf0b3f/1584949928950.jpg"/>
    <s v="https://www.commcarehq.org/a/demo-18/api/form/attachment/6985b479-fe67-4078-8803-de9ab9bf0b3f/1584949946500.jpg"/>
    <s v="https://www.commcarehq.org/a/demo-18/api/form/attachment/6985b479-fe67-4078-8803-de9ab9bf0b3f/1584949956194.jpg"/>
    <d v="2020-03-23T07:52:37"/>
    <d v="2020-03-23T07:50:10"/>
    <s v="arnold"/>
    <d v="2020-03-23T07:53:04"/>
    <s v="6985b479-fe67-4078-8803-de9ab9bf0b3f"/>
    <s v="https://www.commcarehq.org/a/demo-18/reports/form_data/6985b479-fe67-4078-8803-de9ab9bf0b3f/"/>
  </r>
  <r>
    <x v="101"/>
    <n v="7.6"/>
    <d v="2020-04-18T00:00:00"/>
    <d v="2020-03-19T00:00:00"/>
    <s v="no"/>
    <s v="---"/>
    <s v="---"/>
    <s v="---"/>
    <x v="8"/>
    <s v="no"/>
    <s v="---"/>
    <s v="https://www.commcarehq.org/a/demo-18/api/form/attachment/9f3208bf-09a8-4a6f-a0a6-0266bc9acdd8/1584601913926.jpg"/>
    <s v="https://www.commcarehq.org/a/demo-18/api/form/attachment/9f3208bf-09a8-4a6f-a0a6-0266bc9acdd8/1584601929802.jpg"/>
    <s v="https://www.commcarehq.org/a/demo-18/api/form/attachment/9f3208bf-09a8-4a6f-a0a6-0266bc9acdd8/1584601961797.jpg"/>
    <s v="https://www.commcarehq.org/a/demo-18/api/form/attachment/9f3208bf-09a8-4a6f-a0a6-0266bc9acdd8/1584601969413.jpg"/>
    <s v="https://www.commcarehq.org/a/demo-18/api/form/attachment/9f3208bf-09a8-4a6f-a0a6-0266bc9acdd8/1584601990276.jpg"/>
    <s v="https://www.commcarehq.org/a/demo-18/api/form/attachment/9f3208bf-09a8-4a6f-a0a6-0266bc9acdd8/1584602000846.jpg"/>
    <d v="2020-03-19T07:13:22"/>
    <d v="2020-03-19T07:11:13"/>
    <s v="arnold"/>
    <d v="2020-03-19T07:13:39"/>
    <s v="9f3208bf-09a8-4a6f-a0a6-0266bc9acdd8"/>
    <s v="https://www.commcarehq.org/a/demo-18/reports/form_data/9f3208bf-09a8-4a6f-a0a6-0266bc9acdd8/"/>
  </r>
  <r>
    <x v="102"/>
    <n v="6.7"/>
    <d v="2020-04-19T00:00:00"/>
    <d v="2020-03-20T00:00:00"/>
    <s v="no"/>
    <s v="---"/>
    <s v="---"/>
    <s v="---"/>
    <x v="3"/>
    <s v="no"/>
    <s v="---"/>
    <s v="https://www.commcarehq.org/a/demo-18/api/form/attachment/06e48154-661f-413f-b86c-4b7b5695f281/1584694257651.jpg"/>
    <s v="https://www.commcarehq.org/a/demo-18/api/form/attachment/06e48154-661f-413f-b86c-4b7b5695f281/1584694274444.jpg"/>
    <s v="https://www.commcarehq.org/a/demo-18/api/form/attachment/06e48154-661f-413f-b86c-4b7b5695f281/1584694302810.jpg"/>
    <s v="https://www.commcarehq.org/a/demo-18/api/form/attachment/06e48154-661f-413f-b86c-4b7b5695f281/1584694310817.jpg"/>
    <s v="https://www.commcarehq.org/a/demo-18/api/form/attachment/06e48154-661f-413f-b86c-4b7b5695f281/1584694335388.jpg"/>
    <s v="https://www.commcarehq.org/a/demo-18/api/form/attachment/06e48154-661f-413f-b86c-4b7b5695f281/1584694343069.jpg"/>
    <d v="2020-03-20T08:52:24"/>
    <d v="2020-03-20T08:50:33"/>
    <s v="arnold"/>
    <d v="2020-03-20T10:00:35"/>
    <s v="06e48154-661f-413f-b86c-4b7b5695f281"/>
    <s v="https://www.commcarehq.org/a/demo-18/reports/form_data/06e48154-661f-413f-b86c-4b7b5695f281/"/>
  </r>
  <r>
    <x v="103"/>
    <n v="7.9"/>
    <d v="2020-04-25T00:00:00"/>
    <d v="2020-03-26T00:00:00"/>
    <s v="no"/>
    <s v="---"/>
    <s v="---"/>
    <s v="---"/>
    <x v="8"/>
    <s v="no"/>
    <s v="---"/>
    <s v="https://www.commcarehq.org/a/demo-18/api/form/attachment/5cedaf3e-efd5-4a86-8e61-29eaae168708/1585206724579.jpg"/>
    <s v="https://www.commcarehq.org/a/demo-18/api/form/attachment/5cedaf3e-efd5-4a86-8e61-29eaae168708/1585206738139.jpg"/>
    <s v="https://www.commcarehq.org/a/demo-18/api/form/attachment/5cedaf3e-efd5-4a86-8e61-29eaae168708/1585206786346.jpg"/>
    <s v="https://www.commcarehq.org/a/demo-18/api/form/attachment/5cedaf3e-efd5-4a86-8e61-29eaae168708/1585206795352.jpg"/>
    <s v="https://www.commcarehq.org/a/demo-18/api/form/attachment/5cedaf3e-efd5-4a86-8e61-29eaae168708/1585206812576.jpg"/>
    <s v="https://www.commcarehq.org/a/demo-18/api/form/attachment/5cedaf3e-efd5-4a86-8e61-29eaae168708/1585206821272.jpg"/>
    <d v="2020-03-26T07:13:42"/>
    <d v="2020-03-26T07:11:15"/>
    <s v="arnold"/>
    <d v="2020-03-26T07:14:02"/>
    <s v="5cedaf3e-efd5-4a86-8e61-29eaae168708"/>
    <s v="https://www.commcarehq.org/a/demo-18/reports/form_data/5cedaf3e-efd5-4a86-8e61-29eaae168708/"/>
  </r>
  <r>
    <x v="104"/>
    <n v="8.1999999999999993"/>
    <d v="2020-04-25T00:00:00"/>
    <d v="2020-03-26T00:00:00"/>
    <s v="no"/>
    <s v="---"/>
    <s v="---"/>
    <s v="---"/>
    <x v="5"/>
    <s v="no"/>
    <s v="---"/>
    <s v="https://www.commcarehq.org/a/demo-18/api/form/attachment/dc62959c-f81a-483e-8cfc-32222758fdec/1585206417972.jpg"/>
    <s v="https://www.commcarehq.org/a/demo-18/api/form/attachment/dc62959c-f81a-483e-8cfc-32222758fdec/1585206433592.jpg"/>
    <s v="https://www.commcarehq.org/a/demo-18/api/form/attachment/dc62959c-f81a-483e-8cfc-32222758fdec/1585206475680.jpg"/>
    <s v="https://www.commcarehq.org/a/demo-18/api/form/attachment/dc62959c-f81a-483e-8cfc-32222758fdec/1585206484030.jpg"/>
    <s v="https://www.commcarehq.org/a/demo-18/api/form/attachment/dc62959c-f81a-483e-8cfc-32222758fdec/1585206499931.jpg"/>
    <s v="https://www.commcarehq.org/a/demo-18/api/form/attachment/dc62959c-f81a-483e-8cfc-32222758fdec/1585206508301.jpg"/>
    <d v="2020-03-26T07:08:30"/>
    <d v="2020-03-26T07:04:24"/>
    <s v="arnold"/>
    <d v="2020-03-26T07:08:51"/>
    <s v="dc62959c-f81a-483e-8cfc-32222758fdec"/>
    <s v="https://www.commcarehq.org/a/demo-18/reports/form_data/dc62959c-f81a-483e-8cfc-32222758fdec/"/>
  </r>
  <r>
    <x v="105"/>
    <n v="7.7"/>
    <d v="2020-04-24T00:00:00"/>
    <d v="2020-03-25T00:00:00"/>
    <s v="no"/>
    <s v="---"/>
    <s v="---"/>
    <s v="---"/>
    <x v="8"/>
    <s v="no"/>
    <s v="---"/>
    <s v="https://www.commcarehq.org/a/demo-18/api/form/attachment/5977f98d-5e95-4c7b-943f-c80d0b7b5cf2/1585117655786.jpg"/>
    <s v="https://www.commcarehq.org/a/demo-18/api/form/attachment/5977f98d-5e95-4c7b-943f-c80d0b7b5cf2/1585117686128.jpg"/>
    <s v="https://www.commcarehq.org/a/demo-18/api/form/attachment/5977f98d-5e95-4c7b-943f-c80d0b7b5cf2/1585117879787.jpg"/>
    <s v="https://www.commcarehq.org/a/demo-18/api/form/attachment/5977f98d-5e95-4c7b-943f-c80d0b7b5cf2/1585117892462.jpg"/>
    <s v="https://www.commcarehq.org/a/demo-18/api/form/attachment/5977f98d-5e95-4c7b-943f-c80d0b7b5cf2/1585117907354.jpg"/>
    <s v="https://www.commcarehq.org/a/demo-18/api/form/attachment/5977f98d-5e95-4c7b-943f-c80d0b7b5cf2/1585117914840.jpg"/>
    <d v="2020-03-25T06:31:57"/>
    <d v="2020-03-25T06:26:44"/>
    <s v="arnold"/>
    <d v="2020-03-25T06:32:18"/>
    <s v="5977f98d-5e95-4c7b-943f-c80d0b7b5cf2"/>
    <s v="https://www.commcarehq.org/a/demo-18/reports/form_data/5977f98d-5e95-4c7b-943f-c80d0b7b5cf2/"/>
  </r>
  <r>
    <x v="106"/>
    <n v="6.1"/>
    <d v="2020-04-10T00:00:00"/>
    <d v="2020-03-11T00:00:00"/>
    <s v="no"/>
    <s v="---"/>
    <s v="---"/>
    <s v="---"/>
    <x v="3"/>
    <s v="no"/>
    <s v="---"/>
    <s v="https://www.commcarehq.org/a/demo-18/api/form/attachment/57d3227c-4e30-436a-bb1c-4258a9131175/1583918661338.jpg"/>
    <s v="https://www.commcarehq.org/a/demo-18/api/form/attachment/57d3227c-4e30-436a-bb1c-4258a9131175/1583918675590.jpg"/>
    <s v="https://www.commcarehq.org/a/demo-18/api/form/attachment/57d3227c-4e30-436a-bb1c-4258a9131175/1583918700140.jpg"/>
    <s v="https://www.commcarehq.org/a/demo-18/api/form/attachment/57d3227c-4e30-436a-bb1c-4258a9131175/1583918709150.jpg"/>
    <s v="https://www.commcarehq.org/a/demo-18/api/form/attachment/57d3227c-4e30-436a-bb1c-4258a9131175/1583918724400.jpg"/>
    <s v="https://www.commcarehq.org/a/demo-18/api/form/attachment/57d3227c-4e30-436a-bb1c-4258a9131175/1583918734438.jpg"/>
    <d v="2020-03-11T09:25:36"/>
    <d v="2020-03-11T09:23:20"/>
    <s v="arnold"/>
    <d v="2020-03-11T14:59:12"/>
    <s v="57d3227c-4e30-436a-bb1c-4258a9131175"/>
    <s v="https://www.commcarehq.org/a/demo-18/reports/form_data/57d3227c-4e30-436a-bb1c-4258a9131175/"/>
  </r>
  <r>
    <x v="107"/>
    <n v="5.7"/>
    <d v="2020-03-28T00:00:00"/>
    <d v="2020-02-27T00:00:00"/>
    <s v="no"/>
    <s v="---"/>
    <s v="---"/>
    <s v="---"/>
    <x v="8"/>
    <s v="no"/>
    <s v="---"/>
    <s v="https://www.commcarehq.org/a/demo-18/api/form/attachment/aa3e702f-31c5-4e0b-ae9e-33bf069f1f6b/1582787293990.jpg"/>
    <s v="https://www.commcarehq.org/a/demo-18/api/form/attachment/aa3e702f-31c5-4e0b-ae9e-33bf069f1f6b/1582787311227.jpg"/>
    <s v="https://www.commcarehq.org/a/demo-18/api/form/attachment/aa3e702f-31c5-4e0b-ae9e-33bf069f1f6b/1582787343717.jpg"/>
    <s v="https://www.commcarehq.org/a/demo-18/api/form/attachment/aa3e702f-31c5-4e0b-ae9e-33bf069f1f6b/1582787353371.jpg"/>
    <s v="https://www.commcarehq.org/a/demo-18/api/form/attachment/aa3e702f-31c5-4e0b-ae9e-33bf069f1f6b/1582787367401.jpg"/>
    <s v="https://www.commcarehq.org/a/demo-18/api/form/attachment/aa3e702f-31c5-4e0b-ae9e-33bf069f1f6b/1582787376276.jpg"/>
    <d v="2020-02-27T07:09:38"/>
    <d v="2020-02-27T07:07:30"/>
    <s v="arnold"/>
    <d v="2020-02-27T07:10:00"/>
    <s v="aa3e702f-31c5-4e0b-ae9e-33bf069f1f6b"/>
    <s v="https://www.commcarehq.org/a/demo-18/reports/form_data/aa3e702f-31c5-4e0b-ae9e-33bf069f1f6b/"/>
  </r>
  <r>
    <x v="108"/>
    <n v="5.9"/>
    <d v="2020-04-26T00:00:00"/>
    <d v="2020-03-27T00:00:00"/>
    <s v="no"/>
    <s v="---"/>
    <s v="---"/>
    <s v="---"/>
    <x v="8"/>
    <s v="no"/>
    <s v="---"/>
    <s v="https://www.commcarehq.org/a/demo-18/api/form/attachment/f6e2c1c7-755a-4539-b655-22dbd825b46e/1585295162945.jpg"/>
    <s v="https://www.commcarehq.org/a/demo-18/api/form/attachment/f6e2c1c7-755a-4539-b655-22dbd825b46e/1585295174777.jpg"/>
    <s v="https://www.commcarehq.org/a/demo-18/api/form/attachment/f6e2c1c7-755a-4539-b655-22dbd825b46e/1585295235047.jpg"/>
    <s v="https://www.commcarehq.org/a/demo-18/api/form/attachment/f6e2c1c7-755a-4539-b655-22dbd825b46e/1585295244749.jpg"/>
    <s v="https://www.commcarehq.org/a/demo-18/api/form/attachment/f6e2c1c7-755a-4539-b655-22dbd825b46e/1585295282991.jpg"/>
    <s v="https://www.commcarehq.org/a/demo-18/api/form/attachment/f6e2c1c7-755a-4539-b655-22dbd825b46e/1585295291122.jpg"/>
    <d v="2020-03-27T07:48:12"/>
    <d v="2020-03-27T07:45:20"/>
    <s v="arnold"/>
    <d v="2020-03-27T07:48:35"/>
    <s v="f6e2c1c7-755a-4539-b655-22dbd825b46e"/>
    <s v="https://www.commcarehq.org/a/demo-18/reports/form_data/f6e2c1c7-755a-4539-b655-22dbd825b46e/"/>
  </r>
  <r>
    <x v="109"/>
    <n v="8.4"/>
    <d v="2020-04-26T00:00:00"/>
    <d v="2020-03-27T00:00:00"/>
    <s v="no"/>
    <s v="---"/>
    <s v="---"/>
    <s v="---"/>
    <x v="5"/>
    <s v="no"/>
    <s v="---"/>
    <s v="https://www.commcarehq.org/a/demo-18/api/form/attachment/873fa31d-b740-427a-b759-bba678b0c826/1585296266090.jpg"/>
    <s v="https://www.commcarehq.org/a/demo-18/api/form/attachment/873fa31d-b740-427a-b759-bba678b0c826/1585296282715.jpg"/>
    <s v="https://www.commcarehq.org/a/demo-18/api/form/attachment/873fa31d-b740-427a-b759-bba678b0c826/1585296471836.jpg"/>
    <s v="https://www.commcarehq.org/a/demo-18/api/form/attachment/873fa31d-b740-427a-b759-bba678b0c826/1585296480085.jpg"/>
    <s v="https://www.commcarehq.org/a/demo-18/api/form/attachment/873fa31d-b740-427a-b759-bba678b0c826/1585296502561.jpg"/>
    <s v="https://www.commcarehq.org/a/demo-18/api/form/attachment/873fa31d-b740-427a-b759-bba678b0c826/1585296512390.jpg"/>
    <d v="2020-03-27T08:08:34"/>
    <d v="2020-03-27T08:03:46"/>
    <s v="arnold"/>
    <d v="2020-03-27T08:08:54"/>
    <s v="873fa31d-b740-427a-b759-bba678b0c826"/>
    <s v="https://www.commcarehq.org/a/demo-18/reports/form_data/873fa31d-b740-427a-b759-bba678b0c826/"/>
  </r>
  <r>
    <x v="110"/>
    <n v="7.5"/>
    <d v="2020-04-26T00:00:00"/>
    <d v="2020-03-27T00:00:00"/>
    <s v="no"/>
    <s v="---"/>
    <s v="---"/>
    <s v="---"/>
    <x v="8"/>
    <s v="no"/>
    <s v="---"/>
    <s v="https://www.commcarehq.org/a/demo-18/api/form/attachment/efe20106-7253-4c1b-9bbd-c3b05994f699/1585293311517.jpg"/>
    <s v="https://www.commcarehq.org/a/demo-18/api/form/attachment/efe20106-7253-4c1b-9bbd-c3b05994f699/1585293329149.jpg"/>
    <s v="https://www.commcarehq.org/a/demo-18/api/form/attachment/efe20106-7253-4c1b-9bbd-c3b05994f699/1585293373359.jpg"/>
    <s v="https://www.commcarehq.org/a/demo-18/api/form/attachment/efe20106-7253-4c1b-9bbd-c3b05994f699/1585293381604.jpg"/>
    <s v="https://www.commcarehq.org/a/demo-18/api/form/attachment/efe20106-7253-4c1b-9bbd-c3b05994f699/1585293404670.jpg"/>
    <s v="https://www.commcarehq.org/a/demo-18/api/form/attachment/efe20106-7253-4c1b-9bbd-c3b05994f699/1585293413126.jpg"/>
    <d v="2020-03-27T07:16:54"/>
    <d v="2020-03-27T07:14:40"/>
    <s v="arnold"/>
    <d v="2020-03-27T07:17:25"/>
    <s v="efe20106-7253-4c1b-9bbd-c3b05994f699"/>
    <s v="https://www.commcarehq.org/a/demo-18/reports/form_data/efe20106-7253-4c1b-9bbd-c3b05994f699/"/>
  </r>
  <r>
    <x v="111"/>
    <m/>
    <m/>
    <m/>
    <m/>
    <m/>
    <m/>
    <m/>
    <x v="16"/>
    <m/>
    <m/>
    <m/>
    <m/>
    <m/>
    <m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n v="6"/>
    <d v="2020-02-12T00:00:00"/>
    <d v="2020-01-13T00:00:00"/>
    <s v="no"/>
    <s v="---"/>
    <s v="---"/>
    <s v="---"/>
    <x v="0"/>
    <s v="no"/>
    <s v="---"/>
    <s v="https://www.commcarehq.org/a/demo-18/api/form/attachment/f7a86183-a832-4e4c-814d-48336d796eeb/1578898447113.jpg"/>
    <s v="https://www.commcarehq.org/a/demo-18/api/form/attachment/f7a86183-a832-4e4c-814d-48336d796eeb/1578898464296.jpg"/>
    <s v="https://www.commcarehq.org/a/demo-18/api/form/attachment/f7a86183-a832-4e4c-814d-48336d796eeb/1578898529990.jpg"/>
    <s v="https://www.commcarehq.org/a/demo-18/api/form/attachment/f7a86183-a832-4e4c-814d-48336d796eeb/1578898546706.jpg"/>
    <s v="https://www.commcarehq.org/a/demo-18/api/form/attachment/f7a86183-a832-4e4c-814d-48336d796eeb/1578898571262.jpg"/>
    <s v="https://www.commcarehq.org/a/demo-18/api/form/attachment/f7a86183-a832-4e4c-814d-48336d796eeb/1578898589672.jpg"/>
    <d v="2020-01-13T06:56:31"/>
    <d v="2020-01-13T06:53:38"/>
    <s v="arnold"/>
    <d v="2020-01-13T06:56:46"/>
    <s v="f7a86183-a832-4e4c-814d-48336d796eeb"/>
    <s v="https://www.commcarehq.org/a/demo-18/reports/form_data/f7a86183-a832-4e4c-814d-48336d796eeb/"/>
  </r>
  <r>
    <x v="1"/>
    <n v="7.2"/>
    <d v="2020-01-05T00:00:00"/>
    <d v="2019-12-06T00:00:00"/>
    <s v="no"/>
    <s v="---"/>
    <s v="---"/>
    <s v="---"/>
    <x v="0"/>
    <s v="no"/>
    <s v="---"/>
    <s v="https://www.commcarehq.org/a/demo-18/api/form/attachment/6e87a202-b7ed-4f86-ae48-1005db77900b/1575618638891.jpg"/>
    <s v="https://www.commcarehq.org/a/demo-18/api/form/attachment/6e87a202-b7ed-4f86-ae48-1005db77900b/1575618656625.jpg"/>
    <s v="https://www.commcarehq.org/a/demo-18/api/form/attachment/6e87a202-b7ed-4f86-ae48-1005db77900b/1575618691746.jpg"/>
    <s v="https://www.commcarehq.org/a/demo-18/api/form/attachment/6e87a202-b7ed-4f86-ae48-1005db77900b/1575618700766.jpg"/>
    <s v="https://www.commcarehq.org/a/demo-18/api/form/attachment/6e87a202-b7ed-4f86-ae48-1005db77900b/1575618722729.jpg"/>
    <s v="https://www.commcarehq.org/a/demo-18/api/form/attachment/6e87a202-b7ed-4f86-ae48-1005db77900b/1575618733176.jpg"/>
    <d v="2019-12-06T07:52:15"/>
    <d v="2019-12-06T07:49:55"/>
    <s v="arnold"/>
    <d v="2019-12-06T07:52:35"/>
    <s v="6e87a202-b7ed-4f86-ae48-1005db77900b"/>
    <s v="https://www.commcarehq.org/a/demo-18/reports/form_data/6e87a202-b7ed-4f86-ae48-1005db77900b/"/>
  </r>
  <r>
    <x v="2"/>
    <n v="8"/>
    <d v="2020-01-10T00:00:00"/>
    <d v="2019-12-11T00:00:00"/>
    <s v="no"/>
    <s v="---"/>
    <s v="---"/>
    <s v="---"/>
    <x v="1"/>
    <s v="no"/>
    <s v="---"/>
    <s v="https://www.commcarehq.org/a/demo-18/api/form/attachment/02e480e1-ab82-4dce-8fd0-923455d8bd66/1576059243784.jpg"/>
    <s v="https://www.commcarehq.org/a/demo-18/api/form/attachment/02e480e1-ab82-4dce-8fd0-923455d8bd66/1576059260053.jpg"/>
    <s v="https://www.commcarehq.org/a/demo-18/api/form/attachment/02e480e1-ab82-4dce-8fd0-923455d8bd66/1576059330162.jpg"/>
    <s v="https://www.commcarehq.org/a/demo-18/api/form/attachment/02e480e1-ab82-4dce-8fd0-923455d8bd66/1576059338453.jpg"/>
    <s v="https://www.commcarehq.org/a/demo-18/api/form/attachment/02e480e1-ab82-4dce-8fd0-923455d8bd66/1576059366469.jpg"/>
    <s v="https://www.commcarehq.org/a/demo-18/api/form/attachment/02e480e1-ab82-4dce-8fd0-923455d8bd66/1576059377586.jpg"/>
    <d v="2019-12-11T10:16:19"/>
    <d v="2019-12-11T10:13:13"/>
    <s v="arnold"/>
    <d v="2019-12-11T10:39:50"/>
    <s v="02e480e1-ab82-4dce-8fd0-923455d8bd66"/>
    <s v="https://www.commcarehq.org/a/demo-18/reports/form_data/02e480e1-ab82-4dce-8fd0-923455d8bd66/"/>
  </r>
  <r>
    <x v="3"/>
    <n v="5.5"/>
    <d v="2020-02-22T00:00:00"/>
    <d v="2020-01-23T00:00:00"/>
    <s v="no"/>
    <s v="---"/>
    <s v="---"/>
    <s v="---"/>
    <x v="1"/>
    <s v="no"/>
    <s v="---"/>
    <s v="https://www.commcarehq.org/a/demo-18/api/form/attachment/fd7056d2-939e-48c7-be7a-bc15f2b3078b/1579766954714.jpg"/>
    <s v="https://www.commcarehq.org/a/demo-18/api/form/attachment/fd7056d2-939e-48c7-be7a-bc15f2b3078b/1579766987458.jpg"/>
    <s v="https://www.commcarehq.org/a/demo-18/api/form/attachment/fd7056d2-939e-48c7-be7a-bc15f2b3078b/1579767028576.jpg"/>
    <s v="https://www.commcarehq.org/a/demo-18/api/form/attachment/fd7056d2-939e-48c7-be7a-bc15f2b3078b/1579767038755.jpg"/>
    <s v="https://www.commcarehq.org/a/demo-18/api/form/attachment/fd7056d2-939e-48c7-be7a-bc15f2b3078b/1579767058324.jpg"/>
    <s v="https://www.commcarehq.org/a/demo-18/api/form/attachment/fd7056d2-939e-48c7-be7a-bc15f2b3078b/1579767067985.jpg"/>
    <d v="2020-01-23T08:11:10"/>
    <d v="2020-01-23T08:08:43"/>
    <s v="arnold"/>
    <d v="2020-01-23T08:39:27"/>
    <s v="fd7056d2-939e-48c7-be7a-bc15f2b3078b"/>
    <s v="https://www.commcarehq.org/a/demo-18/reports/form_data/fd7056d2-939e-48c7-be7a-bc15f2b3078b/"/>
  </r>
  <r>
    <x v="4"/>
    <n v="8"/>
    <d v="2020-02-14T00:00:00"/>
    <d v="2020-01-15T00:00:00"/>
    <s v="no"/>
    <s v="---"/>
    <s v="---"/>
    <s v="---"/>
    <x v="2"/>
    <s v="no"/>
    <s v="---"/>
    <s v="https://www.commcarehq.org/a/demo-18/api/form/attachment/e5053cd1-97e5-4559-8764-50d9adb3de85/1579076421221.jpg"/>
    <s v="https://www.commcarehq.org/a/demo-18/api/form/attachment/e5053cd1-97e5-4559-8764-50d9adb3de85/1579076446376.jpg"/>
    <s v="https://www.commcarehq.org/a/demo-18/api/form/attachment/e5053cd1-97e5-4559-8764-50d9adb3de85/1579076533206.jpg"/>
    <s v="https://www.commcarehq.org/a/demo-18/api/form/attachment/e5053cd1-97e5-4559-8764-50d9adb3de85/1579076551372.jpg"/>
    <s v="https://www.commcarehq.org/a/demo-18/api/form/attachment/e5053cd1-97e5-4559-8764-50d9adb3de85/1579076571702.jpg"/>
    <s v="https://www.commcarehq.org/a/demo-18/api/form/attachment/e5053cd1-97e5-4559-8764-50d9adb3de85/1579076581989.jpg"/>
    <d v="2020-01-15T08:23:03"/>
    <d v="2020-01-15T08:19:42"/>
    <s v="arnold"/>
    <d v="2020-01-15T08:23:22"/>
    <s v="e5053cd1-97e5-4559-8764-50d9adb3de85"/>
    <s v="https://www.commcarehq.org/a/demo-18/reports/form_data/e5053cd1-97e5-4559-8764-50d9adb3de85/"/>
  </r>
  <r>
    <x v="5"/>
    <n v="8.4"/>
    <d v="2020-04-22T00:00:00"/>
    <d v="2020-03-23T00:00:00"/>
    <s v="no"/>
    <s v="---"/>
    <s v="---"/>
    <s v="---"/>
    <x v="1"/>
    <s v="no"/>
    <s v="---"/>
    <s v="https://www.commcarehq.org/a/demo-18/api/form/attachment/671a8d86-d11b-41d0-b7b8-46e7533ebc93/1584952832673.jpg"/>
    <s v="https://www.commcarehq.org/a/demo-18/api/form/attachment/671a8d86-d11b-41d0-b7b8-46e7533ebc93/1584952847010.jpg"/>
    <s v="https://www.commcarehq.org/a/demo-18/api/form/attachment/671a8d86-d11b-41d0-b7b8-46e7533ebc93/1584952919081.jpg"/>
    <s v="https://www.commcarehq.org/a/demo-18/api/form/attachment/671a8d86-d11b-41d0-b7b8-46e7533ebc93/1584952928300.jpg"/>
    <s v="https://www.commcarehq.org/a/demo-18/api/form/attachment/671a8d86-d11b-41d0-b7b8-46e7533ebc93/1584952942087.jpg"/>
    <s v="https://www.commcarehq.org/a/demo-18/api/form/attachment/671a8d86-d11b-41d0-b7b8-46e7533ebc93/1584952963953.jpg"/>
    <d v="2020-03-23T08:42:45"/>
    <d v="2020-03-23T08:39:52"/>
    <s v="arnold"/>
    <d v="2020-03-23T08:43:24"/>
    <s v="671a8d86-d11b-41d0-b7b8-46e7533ebc93"/>
    <s v="https://www.commcarehq.org/a/demo-18/reports/form_data/671a8d86-d11b-41d0-b7b8-46e7533ebc93/"/>
  </r>
  <r>
    <x v="6"/>
    <n v="7.5"/>
    <d v="2020-02-28T00:00:00"/>
    <d v="2020-01-29T00:00:00"/>
    <s v="no"/>
    <s v="---"/>
    <s v="---"/>
    <s v="---"/>
    <x v="3"/>
    <s v="no"/>
    <s v="---"/>
    <s v="https://www.commcarehq.org/a/demo-18/api/form/attachment/e239ddbf-e0eb-4297-b409-eccb45d0abb6/1580284808397.jpg"/>
    <s v="https://www.commcarehq.org/a/demo-18/api/form/attachment/e239ddbf-e0eb-4297-b409-eccb45d0abb6/1580284823212.jpg"/>
    <s v="https://www.commcarehq.org/a/demo-18/api/form/attachment/e239ddbf-e0eb-4297-b409-eccb45d0abb6/1580284868321.jpg"/>
    <s v="https://www.commcarehq.org/a/demo-18/api/form/attachment/e239ddbf-e0eb-4297-b409-eccb45d0abb6/1580284877426.jpg"/>
    <s v="https://www.commcarehq.org/a/demo-18/api/form/attachment/e239ddbf-e0eb-4297-b409-eccb45d0abb6/1580284897745.jpg"/>
    <s v="https://www.commcarehq.org/a/demo-18/api/form/attachment/e239ddbf-e0eb-4297-b409-eccb45d0abb6/1580284907524.jpg"/>
    <d v="2020-01-29T08:01:50"/>
    <d v="2020-01-29T07:59:03"/>
    <s v="arnold"/>
    <d v="2020-01-29T09:02:50"/>
    <s v="e239ddbf-e0eb-4297-b409-eccb45d0abb6"/>
    <s v="https://www.commcarehq.org/a/demo-18/reports/form_data/e239ddbf-e0eb-4297-b409-eccb45d0abb6/"/>
  </r>
  <r>
    <x v="7"/>
    <n v="6.5"/>
    <d v="2019-12-11T00:00:00"/>
    <d v="2019-11-11T00:00:00"/>
    <s v="no"/>
    <s v="---"/>
    <s v="---"/>
    <s v="---"/>
    <x v="1"/>
    <s v="no"/>
    <s v="---"/>
    <s v="https://www.commcarehq.org/a/demo-18/api/form/attachment/331d0b54-f043-4d73-a7c6-8be4f435ab53/1573465711111.jpg"/>
    <s v="https://www.commcarehq.org/a/demo-18/api/form/attachment/331d0b54-f043-4d73-a7c6-8be4f435ab53/1573465728522.jpg"/>
    <s v="https://www.commcarehq.org/a/demo-18/api/form/attachment/331d0b54-f043-4d73-a7c6-8be4f435ab53/1573465773014.jpg"/>
    <s v="https://www.commcarehq.org/a/demo-18/api/form/attachment/331d0b54-f043-4d73-a7c6-8be4f435ab53/1573465787193.jpg"/>
    <s v="https://www.commcarehq.org/a/demo-18/api/form/attachment/331d0b54-f043-4d73-a7c6-8be4f435ab53/1573465822933.jpg"/>
    <s v="https://www.commcarehq.org/a/demo-18/api/form/attachment/331d0b54-f043-4d73-a7c6-8be4f435ab53/1573465837367.jpg"/>
    <d v="2019-11-11T09:50:39"/>
    <d v="2019-11-11T09:47:30"/>
    <s v="arnold"/>
    <d v="2019-11-11T10:09:33"/>
    <s v="331d0b54-f043-4d73-a7c6-8be4f435ab53"/>
    <s v="https://www.commcarehq.org/a/demo-18/reports/form_data/331d0b54-f043-4d73-a7c6-8be4f435ab53/"/>
  </r>
  <r>
    <x v="8"/>
    <n v="5.8"/>
    <d v="2020-02-19T00:00:00"/>
    <d v="2020-01-20T00:00:00"/>
    <s v="no"/>
    <s v="---"/>
    <s v="---"/>
    <s v="---"/>
    <x v="1"/>
    <s v="no"/>
    <s v="---"/>
    <s v="https://www.commcarehq.org/a/demo-18/api/form/attachment/ce51b51c-01ff-4bda-bfcf-8d0d630300de/1579507456850.jpg"/>
    <s v="https://www.commcarehq.org/a/demo-18/api/form/attachment/ce51b51c-01ff-4bda-bfcf-8d0d630300de/1579507475303.jpg"/>
    <s v="https://www.commcarehq.org/a/demo-18/api/form/attachment/ce51b51c-01ff-4bda-bfcf-8d0d630300de/1579507534690.jpg"/>
    <s v="https://www.commcarehq.org/a/demo-18/api/form/attachment/ce51b51c-01ff-4bda-bfcf-8d0d630300de/1579507545183.jpg"/>
    <s v="https://www.commcarehq.org/a/demo-18/api/form/attachment/ce51b51c-01ff-4bda-bfcf-8d0d630300de/1579507563534.jpg"/>
    <s v="https://www.commcarehq.org/a/demo-18/api/form/attachment/ce51b51c-01ff-4bda-bfcf-8d0d630300de/1579507572898.jpg"/>
    <d v="2020-01-20T08:06:20"/>
    <d v="2020-01-20T08:03:31"/>
    <s v="arnold"/>
    <d v="2020-01-20T08:06:44"/>
    <s v="ce51b51c-01ff-4bda-bfcf-8d0d630300de"/>
    <s v="https://www.commcarehq.org/a/demo-18/reports/form_data/ce51b51c-01ff-4bda-bfcf-8d0d630300de/"/>
  </r>
  <r>
    <x v="9"/>
    <n v="5.8"/>
    <d v="2020-02-09T00:00:00"/>
    <d v="2020-01-10T00:00:00"/>
    <s v="no"/>
    <s v="---"/>
    <s v="---"/>
    <s v="---"/>
    <x v="1"/>
    <s v="no"/>
    <s v="---"/>
    <s v="https://www.commcarehq.org/a/demo-18/api/form/attachment/89d6b12c-7cf0-4d1a-8b43-11ce3553bb1d/1578646359751.jpg"/>
    <s v="https://www.commcarehq.org/a/demo-18/api/form/attachment/89d6b12c-7cf0-4d1a-8b43-11ce3553bb1d/1578646374655.jpg"/>
    <s v="https://www.commcarehq.org/a/demo-18/api/form/attachment/89d6b12c-7cf0-4d1a-8b43-11ce3553bb1d/1578646429167.jpg"/>
    <s v="https://www.commcarehq.org/a/demo-18/api/form/attachment/89d6b12c-7cf0-4d1a-8b43-11ce3553bb1d/1578646439341.jpg"/>
    <s v="https://www.commcarehq.org/a/demo-18/api/form/attachment/89d6b12c-7cf0-4d1a-8b43-11ce3553bb1d/1578646452964.jpg"/>
    <s v="https://www.commcarehq.org/a/demo-18/api/form/attachment/89d6b12c-7cf0-4d1a-8b43-11ce3553bb1d/1578646462938.jpg"/>
    <d v="2020-01-10T08:54:24"/>
    <d v="2020-01-10T08:52:10"/>
    <s v="arnold"/>
    <d v="2020-01-10T08:54:44"/>
    <s v="89d6b12c-7cf0-4d1a-8b43-11ce3553bb1d"/>
    <s v="https://www.commcarehq.org/a/demo-18/reports/form_data/89d6b12c-7cf0-4d1a-8b43-11ce3553bb1d/"/>
  </r>
  <r>
    <x v="10"/>
    <n v="7"/>
    <d v="2019-12-25T00:00:00"/>
    <d v="2019-11-25T00:00:00"/>
    <s v="no"/>
    <s v="---"/>
    <s v="---"/>
    <s v="---"/>
    <x v="1"/>
    <s v="no"/>
    <s v="---"/>
    <s v="https://www.commcarehq.org/a/demo-18/api/form/attachment/2a91d306-10ba-4f16-b391-9dfe1616f2ff/1574668789281.jpg"/>
    <s v="https://www.commcarehq.org/a/demo-18/api/form/attachment/2a91d306-10ba-4f16-b391-9dfe1616f2ff/1574668802407.jpg"/>
    <s v="https://www.commcarehq.org/a/demo-18/api/form/attachment/2a91d306-10ba-4f16-b391-9dfe1616f2ff/1574668850600.jpg"/>
    <s v="https://www.commcarehq.org/a/demo-18/api/form/attachment/2a91d306-10ba-4f16-b391-9dfe1616f2ff/1574668860048.jpg"/>
    <s v="https://www.commcarehq.org/a/demo-18/api/form/attachment/2a91d306-10ba-4f16-b391-9dfe1616f2ff/1574668897505.jpg"/>
    <s v="https://www.commcarehq.org/a/demo-18/api/form/attachment/2a91d306-10ba-4f16-b391-9dfe1616f2ff/1574668907076.jpg"/>
    <d v="2019-11-25T08:01:49"/>
    <d v="2019-11-25T07:58:35"/>
    <s v="arnold"/>
    <d v="2019-11-25T08:02:04"/>
    <s v="2a91d306-10ba-4f16-b391-9dfe1616f2ff"/>
    <s v="https://www.commcarehq.org/a/demo-18/reports/form_data/2a91d306-10ba-4f16-b391-9dfe1616f2ff/"/>
  </r>
  <r>
    <x v="11"/>
    <n v="7.2"/>
    <d v="2020-01-08T00:00:00"/>
    <d v="2019-12-09T00:00:00"/>
    <s v="no"/>
    <s v="---"/>
    <s v="---"/>
    <s v="---"/>
    <x v="4"/>
    <s v="no"/>
    <s v="---"/>
    <s v="https://www.commcarehq.org/a/demo-18/api/form/attachment/b0d001a4-3d3a-4d6d-8e45-0d9c66f3eb84/1575881345459.jpg"/>
    <s v="https://www.commcarehq.org/a/demo-18/api/form/attachment/b0d001a4-3d3a-4d6d-8e45-0d9c66f3eb84/1575881372828.jpg"/>
    <s v="https://www.commcarehq.org/a/demo-18/api/form/attachment/b0d001a4-3d3a-4d6d-8e45-0d9c66f3eb84/1575881445545.jpg"/>
    <s v="https://www.commcarehq.org/a/demo-18/api/form/attachment/b0d001a4-3d3a-4d6d-8e45-0d9c66f3eb84/1575881454999.jpg"/>
    <s v="https://www.commcarehq.org/a/demo-18/api/form/attachment/b0d001a4-3d3a-4d6d-8e45-0d9c66f3eb84/1575881471632.jpg"/>
    <s v="https://www.commcarehq.org/a/demo-18/api/form/attachment/b0d001a4-3d3a-4d6d-8e45-0d9c66f3eb84/1575881480635.jpg"/>
    <d v="2019-12-09T08:51:22"/>
    <d v="2019-12-09T08:48:11"/>
    <s v="arnold"/>
    <d v="2019-12-09T10:07:49"/>
    <s v="b0d001a4-3d3a-4d6d-8e45-0d9c66f3eb84"/>
    <s v="https://www.commcarehq.org/a/demo-18/reports/form_data/b0d001a4-3d3a-4d6d-8e45-0d9c66f3eb84/"/>
  </r>
  <r>
    <x v="12"/>
    <n v="6.8"/>
    <d v="2020-01-22T00:00:00"/>
    <d v="2019-12-23T00:00:00"/>
    <s v="no"/>
    <s v="---"/>
    <s v="---"/>
    <s v="---"/>
    <x v="1"/>
    <s v="no"/>
    <s v="---"/>
    <s v="https://www.commcarehq.org/a/demo-18/api/form/attachment/6cf0c887-6554-4c80-b896-03eab415e700/1577085050277.jpg"/>
    <s v="https://www.commcarehq.org/a/demo-18/api/form/attachment/6cf0c887-6554-4c80-b896-03eab415e700/1577085063923.jpg"/>
    <s v="https://www.commcarehq.org/a/demo-18/api/form/attachment/6cf0c887-6554-4c80-b896-03eab415e700/1577085113448.jpg"/>
    <s v="https://www.commcarehq.org/a/demo-18/api/form/attachment/6cf0c887-6554-4c80-b896-03eab415e700/1577085122762.jpg"/>
    <s v="https://www.commcarehq.org/a/demo-18/api/form/attachment/6cf0c887-6554-4c80-b896-03eab415e700/1577085145912.jpg"/>
    <s v="https://www.commcarehq.org/a/demo-18/api/form/attachment/6cf0c887-6554-4c80-b896-03eab415e700/1577085156215.jpg"/>
    <d v="2019-12-23T07:12:38"/>
    <d v="2019-12-23T07:10:01"/>
    <s v="arnold"/>
    <d v="2019-12-23T07:12:58"/>
    <s v="6cf0c887-6554-4c80-b896-03eab415e700"/>
    <s v="https://www.commcarehq.org/a/demo-18/reports/form_data/6cf0c887-6554-4c80-b896-03eab415e700/"/>
  </r>
  <r>
    <x v="13"/>
    <n v="6.7"/>
    <d v="2020-04-29T00:00:00"/>
    <d v="2020-03-30T00:00:00"/>
    <s v="no"/>
    <s v="---"/>
    <s v="---"/>
    <s v="---"/>
    <x v="5"/>
    <s v="no"/>
    <s v="---"/>
    <s v="https://www.commcarehq.org/a/demo-18/api/form/attachment/dfc99f9a-d7ce-448d-a98c-910d3166b259/1585550189661.jpg"/>
    <s v="https://www.commcarehq.org/a/demo-18/api/form/attachment/dfc99f9a-d7ce-448d-a98c-910d3166b259/1585550202800.jpg"/>
    <s v="https://www.commcarehq.org/a/demo-18/api/form/attachment/dfc99f9a-d7ce-448d-a98c-910d3166b259/1585550270780.jpg"/>
    <s v="https://www.commcarehq.org/a/demo-18/api/form/attachment/dfc99f9a-d7ce-448d-a98c-910d3166b259/1585550279645.jpg"/>
    <s v="https://www.commcarehq.org/a/demo-18/api/form/attachment/dfc99f9a-d7ce-448d-a98c-910d3166b259/1585550297139.jpg"/>
    <s v="https://www.commcarehq.org/a/demo-18/api/form/attachment/dfc99f9a-d7ce-448d-a98c-910d3166b259/1585550312965.jpg"/>
    <d v="2020-03-30T06:38:35"/>
    <d v="2020-03-30T06:35:51"/>
    <s v="arnold"/>
    <d v="2020-03-30T06:38:57"/>
    <s v="dfc99f9a-d7ce-448d-a98c-910d3166b259"/>
    <s v="https://www.commcarehq.org/a/demo-18/reports/form_data/dfc99f9a-d7ce-448d-a98c-910d3166b259/"/>
  </r>
  <r>
    <x v="14"/>
    <n v="6.3"/>
    <d v="2020-06-20T00:00:00"/>
    <d v="2020-05-21T00:00:00"/>
    <s v="no"/>
    <s v="---"/>
    <s v="---"/>
    <s v="---"/>
    <x v="6"/>
    <s v="no"/>
    <s v="---"/>
    <s v="https://www.commcarehq.org/a/demo-18/api/form/attachment/5fadc398-68fe-4ba7-9daa-603bbe61b8fd/1590045470490.jpg"/>
    <s v="https://www.commcarehq.org/a/demo-18/api/form/attachment/5fadc398-68fe-4ba7-9daa-603bbe61b8fd/1590045484009.jpg"/>
    <s v="https://www.commcarehq.org/a/demo-18/api/form/attachment/5fadc398-68fe-4ba7-9daa-603bbe61b8fd/1590045526611.jpg"/>
    <s v="https://www.commcarehq.org/a/demo-18/api/form/attachment/5fadc398-68fe-4ba7-9daa-603bbe61b8fd/1590045535333.jpg"/>
    <s v="https://www.commcarehq.org/a/demo-18/api/form/attachment/5fadc398-68fe-4ba7-9daa-603bbe61b8fd/1590045553602.jpg"/>
    <s v="https://www.commcarehq.org/a/demo-18/api/form/attachment/5fadc398-68fe-4ba7-9daa-603bbe61b8fd/1590045562524.jpg"/>
    <d v="2020-05-21T07:19:24"/>
    <d v="2020-05-21T07:17:14"/>
    <s v="arnold"/>
    <d v="2020-05-21T07:20:00"/>
    <s v="5fadc398-68fe-4ba7-9daa-603bbe61b8fd"/>
    <s v="https://www.commcarehq.org/a/demo-18/reports/form_data/5fadc398-68fe-4ba7-9daa-603bbe61b8fd/"/>
  </r>
  <r>
    <x v="15"/>
    <n v="6.3"/>
    <d v="2020-01-25T00:00:00"/>
    <d v="2019-12-26T00:00:00"/>
    <s v="no"/>
    <s v="---"/>
    <s v="---"/>
    <s v="---"/>
    <x v="2"/>
    <s v="no"/>
    <s v="---"/>
    <s v="https://www.commcarehq.org/a/demo-18/api/form/attachment/7e572076-1313-49c6-9f38-8dab35c0ad22/1577348387237.jpg"/>
    <s v="https://www.commcarehq.org/a/demo-18/api/form/attachment/7e572076-1313-49c6-9f38-8dab35c0ad22/1577348402011.jpg"/>
    <s v="https://www.commcarehq.org/a/demo-18/api/form/attachment/7e572076-1313-49c6-9f38-8dab35c0ad22/1577348553472.jpg"/>
    <s v="https://www.commcarehq.org/a/demo-18/api/form/attachment/7e572076-1313-49c6-9f38-8dab35c0ad22/1577348566123.jpg"/>
    <s v="https://www.commcarehq.org/a/demo-18/api/form/attachment/7e572076-1313-49c6-9f38-8dab35c0ad22/1577348579764.jpg"/>
    <s v="https://www.commcarehq.org/a/demo-18/api/form/attachment/7e572076-1313-49c6-9f38-8dab35c0ad22/1577348601897.jpg"/>
    <d v="2019-12-26T08:23:25"/>
    <d v="2019-12-26T08:18:32"/>
    <s v="arnold"/>
    <d v="2019-12-26T18:13:04"/>
    <s v="7e572076-1313-49c6-9f38-8dab35c0ad22"/>
    <s v="https://www.commcarehq.org/a/demo-18/reports/form_data/7e572076-1313-49c6-9f38-8dab35c0ad22/"/>
  </r>
  <r>
    <x v="16"/>
    <n v="6.5"/>
    <d v="2020-01-22T00:00:00"/>
    <d v="2019-12-23T00:00:00"/>
    <s v="no"/>
    <s v="---"/>
    <s v="---"/>
    <s v="---"/>
    <x v="0"/>
    <s v="no"/>
    <s v="---"/>
    <s v="https://www.commcarehq.org/a/demo-18/api/form/attachment/db6ef625-8f20-43ec-90ba-7f2a04ee3dad/1577081632103.jpg"/>
    <s v="https://www.commcarehq.org/a/demo-18/api/form/attachment/db6ef625-8f20-43ec-90ba-7f2a04ee3dad/1577081652956.jpg"/>
    <s v="https://www.commcarehq.org/a/demo-18/api/form/attachment/db6ef625-8f20-43ec-90ba-7f2a04ee3dad/1577081716380.jpg"/>
    <s v="https://www.commcarehq.org/a/demo-18/api/form/attachment/db6ef625-8f20-43ec-90ba-7f2a04ee3dad/1577081727006.jpg"/>
    <s v="https://www.commcarehq.org/a/demo-18/api/form/attachment/db6ef625-8f20-43ec-90ba-7f2a04ee3dad/1577081741786.jpg"/>
    <s v="https://www.commcarehq.org/a/demo-18/api/form/attachment/db6ef625-8f20-43ec-90ba-7f2a04ee3dad/1577081751509.jpg"/>
    <d v="2019-12-23T06:15:55"/>
    <d v="2019-12-23T06:13:05"/>
    <s v="arnold"/>
    <d v="2019-12-23T06:16:10"/>
    <s v="db6ef625-8f20-43ec-90ba-7f2a04ee3dad"/>
    <s v="https://www.commcarehq.org/a/demo-18/reports/form_data/db6ef625-8f20-43ec-90ba-7f2a04ee3dad/"/>
  </r>
  <r>
    <x v="17"/>
    <n v="7.9"/>
    <d v="2020-01-29T00:00:00"/>
    <d v="2019-12-30T00:00:00"/>
    <s v="no"/>
    <s v="---"/>
    <s v="---"/>
    <s v="---"/>
    <x v="1"/>
    <s v="no"/>
    <s v="---"/>
    <s v="https://www.commcarehq.org/a/demo-18/api/form/attachment/38f1a391-8db2-492a-b2b4-e0e281f91170/1577695641198.jpg"/>
    <s v="https://www.commcarehq.org/a/demo-18/api/form/attachment/38f1a391-8db2-492a-b2b4-e0e281f91170/1577695666308.jpg"/>
    <s v="https://www.commcarehq.org/a/demo-18/api/form/attachment/38f1a391-8db2-492a-b2b4-e0e281f91170/1577695729660.jpg"/>
    <s v="https://www.commcarehq.org/a/demo-18/api/form/attachment/38f1a391-8db2-492a-b2b4-e0e281f91170/1577695740152.jpg"/>
    <s v="https://www.commcarehq.org/a/demo-18/api/form/attachment/38f1a391-8db2-492a-b2b4-e0e281f91170/1577695762945.jpg"/>
    <s v="https://www.commcarehq.org/a/demo-18/api/form/attachment/38f1a391-8db2-492a-b2b4-e0e281f91170/1577695778287.jpg"/>
    <d v="2019-12-30T08:49:40"/>
    <d v="2019-12-30T08:44:27"/>
    <s v="arnold"/>
    <d v="2019-12-31T04:31:17"/>
    <s v="38f1a391-8db2-492a-b2b4-e0e281f91170"/>
    <s v="https://www.commcarehq.org/a/demo-18/reports/form_data/38f1a391-8db2-492a-b2b4-e0e281f91170/"/>
  </r>
  <r>
    <x v="18"/>
    <n v="6.6"/>
    <d v="2020-01-10T00:00:00"/>
    <d v="2019-12-11T00:00:00"/>
    <s v="no"/>
    <s v="---"/>
    <s v="---"/>
    <s v="---"/>
    <x v="0"/>
    <s v="no"/>
    <s v="---"/>
    <s v="https://www.commcarehq.org/a/demo-18/api/form/attachment/b9169274-f4d5-461f-956d-f005cd9ff406/1576052833792.jpg"/>
    <s v="https://www.commcarehq.org/a/demo-18/api/form/attachment/b9169274-f4d5-461f-956d-f005cd9ff406/1576052865388.jpg"/>
    <s v="https://www.commcarehq.org/a/demo-18/api/form/attachment/b9169274-f4d5-461f-956d-f005cd9ff406/1576052920653.jpg"/>
    <s v="https://www.commcarehq.org/a/demo-18/api/form/attachment/b9169274-f4d5-461f-956d-f005cd9ff406/1576052929963.jpg"/>
    <s v="https://www.commcarehq.org/a/demo-18/api/form/attachment/b9169274-f4d5-461f-956d-f005cd9ff406/1576052952546.jpg"/>
    <s v="https://www.commcarehq.org/a/demo-18/api/form/attachment/b9169274-f4d5-461f-956d-f005cd9ff406/1576052962695.jpg"/>
    <d v="2019-12-11T08:29:24"/>
    <d v="2019-12-11T08:25:59"/>
    <s v="arnold"/>
    <d v="2019-12-11T10:34:18"/>
    <s v="b9169274-f4d5-461f-956d-f005cd9ff406"/>
    <s v="https://www.commcarehq.org/a/demo-18/reports/form_data/b9169274-f4d5-461f-956d-f005cd9ff406/"/>
  </r>
  <r>
    <x v="19"/>
    <n v="7.2"/>
    <d v="2020-02-05T00:00:00"/>
    <d v="2020-01-06T00:00:00"/>
    <s v="no"/>
    <s v="---"/>
    <s v="---"/>
    <s v="---"/>
    <x v="0"/>
    <s v="no"/>
    <s v="---"/>
    <s v="https://www.commcarehq.org/a/demo-18/api/form/attachment/a83f126f-ec5b-4cbc-9ee4-bfdc153be207/1578295308955.jpg"/>
    <s v="https://www.commcarehq.org/a/demo-18/api/form/attachment/a83f126f-ec5b-4cbc-9ee4-bfdc153be207/1578295323180.jpg"/>
    <s v="https://www.commcarehq.org/a/demo-18/api/form/attachment/a83f126f-ec5b-4cbc-9ee4-bfdc153be207/1578295386754.jpg"/>
    <s v="https://www.commcarehq.org/a/demo-18/api/form/attachment/a83f126f-ec5b-4cbc-9ee4-bfdc153be207/1578295439093.jpg"/>
    <s v="https://www.commcarehq.org/a/demo-18/api/form/attachment/a83f126f-ec5b-4cbc-9ee4-bfdc153be207/1578295457385.jpg"/>
    <s v="https://www.commcarehq.org/a/demo-18/api/form/attachment/a83f126f-ec5b-4cbc-9ee4-bfdc153be207/1578295467253.jpg"/>
    <d v="2020-01-06T07:24:29"/>
    <d v="2020-01-06T07:21:06"/>
    <s v="arnold"/>
    <d v="2020-01-06T07:32:00"/>
    <s v="a83f126f-ec5b-4cbc-9ee4-bfdc153be207"/>
    <s v="https://www.commcarehq.org/a/demo-18/reports/form_data/a83f126f-ec5b-4cbc-9ee4-bfdc153be207/"/>
  </r>
  <r>
    <x v="20"/>
    <n v="8"/>
    <d v="2019-12-27T00:00:00"/>
    <d v="2019-11-27T00:00:00"/>
    <s v="no"/>
    <s v="---"/>
    <s v="---"/>
    <s v="---"/>
    <x v="3"/>
    <s v="no"/>
    <s v="---"/>
    <s v="https://www.commcarehq.org/a/demo-18/api/form/attachment/8972387b-2bdc-4108-91a6-e096568688cc/1574842203305.jpg"/>
    <s v="https://www.commcarehq.org/a/demo-18/api/form/attachment/8972387b-2bdc-4108-91a6-e096568688cc/1574842215749.jpg"/>
    <s v="https://www.commcarehq.org/a/demo-18/api/form/attachment/8972387b-2bdc-4108-91a6-e096568688cc/1574842271641.jpg"/>
    <s v="https://www.commcarehq.org/a/demo-18/api/form/attachment/8972387b-2bdc-4108-91a6-e096568688cc/1574842280917.jpg"/>
    <s v="https://www.commcarehq.org/a/demo-18/api/form/attachment/8972387b-2bdc-4108-91a6-e096568688cc/1574842295971.jpg"/>
    <s v="https://www.commcarehq.org/a/demo-18/api/form/attachment/8972387b-2bdc-4108-91a6-e096568688cc/1574842307880.jpg"/>
    <d v="2019-11-27T08:11:49"/>
    <d v="2019-11-27T08:09:04"/>
    <s v="arnold"/>
    <d v="2019-11-27T09:11:11"/>
    <s v="8972387b-2bdc-4108-91a6-e096568688cc"/>
    <s v="https://www.commcarehq.org/a/demo-18/reports/form_data/8972387b-2bdc-4108-91a6-e096568688cc/"/>
  </r>
  <r>
    <x v="21"/>
    <n v="5.9"/>
    <d v="2019-12-28T00:00:00"/>
    <d v="2019-11-28T00:00:00"/>
    <s v="no"/>
    <s v="---"/>
    <s v="---"/>
    <s v="---"/>
    <x v="1"/>
    <s v="no"/>
    <s v="---"/>
    <s v="https://www.commcarehq.org/a/demo-18/api/form/attachment/dd17bcda-55ad-4c27-ad99-5fabdf9a2589/1574926812433.jpg"/>
    <s v="https://www.commcarehq.org/a/demo-18/api/form/attachment/dd17bcda-55ad-4c27-ad99-5fabdf9a2589/1574926835400.jpg"/>
    <s v="https://www.commcarehq.org/a/demo-18/api/form/attachment/dd17bcda-55ad-4c27-ad99-5fabdf9a2589/1574926882334.jpg"/>
    <s v="https://www.commcarehq.org/a/demo-18/api/form/attachment/dd17bcda-55ad-4c27-ad99-5fabdf9a2589/1574926893861.jpg"/>
    <s v="https://www.commcarehq.org/a/demo-18/api/form/attachment/dd17bcda-55ad-4c27-ad99-5fabdf9a2589/1574926938152.jpg"/>
    <s v="https://www.commcarehq.org/a/demo-18/api/form/attachment/dd17bcda-55ad-4c27-ad99-5fabdf9a2589/1574926949745.jpg"/>
    <d v="2019-11-28T07:42:37"/>
    <d v="2019-11-28T07:38:06"/>
    <s v="arnold"/>
    <d v="2019-11-28T07:42:54"/>
    <s v="dd17bcda-55ad-4c27-ad99-5fabdf9a2589"/>
    <s v="https://www.commcarehq.org/a/demo-18/reports/form_data/dd17bcda-55ad-4c27-ad99-5fabdf9a2589/"/>
  </r>
  <r>
    <x v="22"/>
    <n v="8"/>
    <d v="2019-12-28T00:00:00"/>
    <d v="2019-11-28T00:00:00"/>
    <s v="no"/>
    <s v="---"/>
    <s v="---"/>
    <s v="---"/>
    <x v="0"/>
    <s v="no"/>
    <s v="---"/>
    <s v="https://www.commcarehq.org/a/demo-18/api/form/attachment/2dd6b2f0-cd74-4c32-9e54-5a618135fa0e/1574934642807.jpg"/>
    <s v="https://www.commcarehq.org/a/demo-18/api/form/attachment/2dd6b2f0-cd74-4c32-9e54-5a618135fa0e/1574934667746.jpg"/>
    <s v="https://www.commcarehq.org/a/demo-18/api/form/attachment/2dd6b2f0-cd74-4c32-9e54-5a618135fa0e/1574934730962.jpg"/>
    <s v="https://www.commcarehq.org/a/demo-18/api/form/attachment/2dd6b2f0-cd74-4c32-9e54-5a618135fa0e/1574934739678.jpg"/>
    <s v="https://www.commcarehq.org/a/demo-18/api/form/attachment/2dd6b2f0-cd74-4c32-9e54-5a618135fa0e/1574934768316.jpg"/>
    <s v="https://www.commcarehq.org/a/demo-18/api/form/attachment/2dd6b2f0-cd74-4c32-9e54-5a618135fa0e/1574934776691.jpg"/>
    <d v="2019-11-28T09:53:00"/>
    <d v="2019-11-28T09:50:08"/>
    <s v="arnold"/>
    <d v="2019-11-28T09:53:19"/>
    <s v="2dd6b2f0-cd74-4c32-9e54-5a618135fa0e"/>
    <s v="https://www.commcarehq.org/a/demo-18/reports/form_data/2dd6b2f0-cd74-4c32-9e54-5a618135fa0e/"/>
  </r>
  <r>
    <x v="23"/>
    <n v="6.3"/>
    <d v="2020-02-22T00:00:00"/>
    <d v="2020-01-23T00:00:00"/>
    <s v="no"/>
    <s v="---"/>
    <s v="---"/>
    <s v="---"/>
    <x v="7"/>
    <s v="no"/>
    <s v="---"/>
    <s v="https://www.commcarehq.org/a/demo-18/api/form/attachment/c40a3210-9a43-4bef-a35b-5b9bda22c8c7/1579761000934.jpg"/>
    <s v="https://www.commcarehq.org/a/demo-18/api/form/attachment/c40a3210-9a43-4bef-a35b-5b9bda22c8c7/1579761013528.jpg"/>
    <s v="https://www.commcarehq.org/a/demo-18/api/form/attachment/c40a3210-9a43-4bef-a35b-5b9bda22c8c7/1579761049664.jpg"/>
    <s v="https://www.commcarehq.org/a/demo-18/api/form/attachment/c40a3210-9a43-4bef-a35b-5b9bda22c8c7/1579761065033.jpg"/>
    <s v="https://www.commcarehq.org/a/demo-18/api/form/attachment/c40a3210-9a43-4bef-a35b-5b9bda22c8c7/1579761079400.jpg"/>
    <s v="https://www.commcarehq.org/a/demo-18/api/form/attachment/c40a3210-9a43-4bef-a35b-5b9bda22c8c7/1579761089057.jpg"/>
    <d v="2020-01-23T06:31:30"/>
    <d v="2020-01-23T06:29:14"/>
    <s v="arnold"/>
    <d v="2020-01-23T08:33:31"/>
    <s v="c40a3210-9a43-4bef-a35b-5b9bda22c8c7"/>
    <s v="https://www.commcarehq.org/a/demo-18/reports/form_data/c40a3210-9a43-4bef-a35b-5b9bda22c8c7/"/>
  </r>
  <r>
    <x v="24"/>
    <n v="6.6"/>
    <d v="2020-02-22T00:00:00"/>
    <d v="2020-01-23T00:00:00"/>
    <s v="no"/>
    <s v="---"/>
    <s v="---"/>
    <s v="---"/>
    <x v="1"/>
    <s v="no"/>
    <s v="---"/>
    <s v="https://www.commcarehq.org/a/demo-18/api/form/attachment/76351440-206a-4f3e-8b5c-8307be32cf89/1579766206537.jpg"/>
    <s v="https://www.commcarehq.org/a/demo-18/api/form/attachment/76351440-206a-4f3e-8b5c-8307be32cf89/1579766218175.jpg"/>
    <s v="https://www.commcarehq.org/a/demo-18/api/form/attachment/76351440-206a-4f3e-8b5c-8307be32cf89/1579766261660.jpg"/>
    <s v="https://www.commcarehq.org/a/demo-18/api/form/attachment/76351440-206a-4f3e-8b5c-8307be32cf89/1579766275189.jpg"/>
    <s v="https://www.commcarehq.org/a/demo-18/api/form/attachment/76351440-206a-4f3e-8b5c-8307be32cf89/1579766298242.jpg"/>
    <s v="https://www.commcarehq.org/a/demo-18/api/form/attachment/76351440-206a-4f3e-8b5c-8307be32cf89/1579766314394.jpg"/>
    <d v="2020-01-23T07:58:36"/>
    <d v="2020-01-23T07:55:56"/>
    <s v="arnold"/>
    <d v="2020-01-23T08:38:43"/>
    <s v="76351440-206a-4f3e-8b5c-8307be32cf89"/>
    <s v="https://www.commcarehq.org/a/demo-18/reports/form_data/76351440-206a-4f3e-8b5c-8307be32cf89/"/>
  </r>
  <r>
    <x v="25"/>
    <n v="7.6"/>
    <d v="2020-02-14T00:00:00"/>
    <d v="2020-01-15T00:00:00"/>
    <s v="no"/>
    <s v="---"/>
    <s v="---"/>
    <s v="---"/>
    <x v="2"/>
    <s v="no"/>
    <s v="---"/>
    <s v="https://www.commcarehq.org/a/demo-18/api/form/attachment/15b37045-107d-4f61-b589-58092c2298ad/1579076806907.jpg"/>
    <s v="https://www.commcarehq.org/a/demo-18/api/form/attachment/15b37045-107d-4f61-b589-58092c2298ad/1579076819326.jpg"/>
    <s v="https://www.commcarehq.org/a/demo-18/api/form/attachment/15b37045-107d-4f61-b589-58092c2298ad/1579076864899.jpg"/>
    <s v="https://www.commcarehq.org/a/demo-18/api/form/attachment/15b37045-107d-4f61-b589-58092c2298ad/1579076874818.jpg"/>
    <s v="https://www.commcarehq.org/a/demo-18/api/form/attachment/15b37045-107d-4f61-b589-58092c2298ad/1579076909303.jpg"/>
    <s v="https://www.commcarehq.org/a/demo-18/api/form/attachment/15b37045-107d-4f61-b589-58092c2298ad/1579076920445.jpg"/>
    <d v="2020-01-15T08:28:42"/>
    <d v="2020-01-15T08:26:14"/>
    <s v="arnold"/>
    <d v="2020-01-15T08:29:02"/>
    <s v="15b37045-107d-4f61-b589-58092c2298ad"/>
    <s v="https://www.commcarehq.org/a/demo-18/reports/form_data/15b37045-107d-4f61-b589-58092c2298ad/"/>
  </r>
  <r>
    <x v="26"/>
    <n v="6.5"/>
    <d v="2020-02-23T00:00:00"/>
    <d v="2020-01-24T00:00:00"/>
    <s v="no"/>
    <s v="---"/>
    <s v="---"/>
    <s v="---"/>
    <x v="8"/>
    <s v="no"/>
    <s v="---"/>
    <s v="https://www.commcarehq.org/a/demo-18/api/form/attachment/d3c828f4-581b-4584-aa5d-2718492b7347/1579847441952.jpg"/>
    <s v="https://www.commcarehq.org/a/demo-18/api/form/attachment/d3c828f4-581b-4584-aa5d-2718492b7347/1579847454042.jpg"/>
    <s v="https://www.commcarehq.org/a/demo-18/api/form/attachment/d3c828f4-581b-4584-aa5d-2718492b7347/1579847501970.jpg"/>
    <s v="https://www.commcarehq.org/a/demo-18/api/form/attachment/d3c828f4-581b-4584-aa5d-2718492b7347/1579847511163.jpg"/>
    <s v="https://www.commcarehq.org/a/demo-18/api/form/attachment/d3c828f4-581b-4584-aa5d-2718492b7347/1579847527273.jpg"/>
    <s v="https://www.commcarehq.org/a/demo-18/api/form/attachment/d3c828f4-581b-4584-aa5d-2718492b7347/1579847536707.jpg"/>
    <d v="2020-01-24T06:32:18"/>
    <d v="2020-01-24T06:29:55"/>
    <s v="arnold"/>
    <d v="2020-01-24T06:32:34"/>
    <s v="d3c828f4-581b-4584-aa5d-2718492b7347"/>
    <s v="https://www.commcarehq.org/a/demo-18/reports/form_data/d3c828f4-581b-4584-aa5d-2718492b7347/"/>
  </r>
  <r>
    <x v="27"/>
    <n v="6.6"/>
    <d v="2020-04-24T00:00:00"/>
    <d v="2020-03-25T00:00:00"/>
    <s v="no"/>
    <s v="---"/>
    <s v="---"/>
    <s v="---"/>
    <x v="5"/>
    <s v="no"/>
    <s v="---"/>
    <s v="https://www.commcarehq.org/a/demo-18/api/form/attachment/c677f8bd-8863-4401-8ee1-afc1ed759aa6/1585122129757.jpg"/>
    <s v="https://www.commcarehq.org/a/demo-18/api/form/attachment/c677f8bd-8863-4401-8ee1-afc1ed759aa6/1585122139134.jpg"/>
    <s v="https://www.commcarehq.org/a/demo-18/api/form/attachment/c677f8bd-8863-4401-8ee1-afc1ed759aa6/1585122179123.jpg"/>
    <s v="https://www.commcarehq.org/a/demo-18/api/form/attachment/c677f8bd-8863-4401-8ee1-afc1ed759aa6/1585122188920.jpg"/>
    <s v="https://www.commcarehq.org/a/demo-18/api/form/attachment/c677f8bd-8863-4401-8ee1-afc1ed759aa6/1585122205841.jpg"/>
    <s v="https://www.commcarehq.org/a/demo-18/api/form/attachment/c677f8bd-8863-4401-8ee1-afc1ed759aa6/1585122218873.jpg"/>
    <d v="2020-03-25T07:43:40"/>
    <d v="2020-03-25T07:41:30"/>
    <s v="arnold"/>
    <d v="2020-03-25T07:44:09"/>
    <s v="c677f8bd-8863-4401-8ee1-afc1ed759aa6"/>
    <s v="https://www.commcarehq.org/a/demo-18/reports/form_data/c677f8bd-8863-4401-8ee1-afc1ed759aa6/"/>
  </r>
  <r>
    <x v="28"/>
    <n v="7.4"/>
    <d v="2020-01-08T00:00:00"/>
    <d v="2019-12-09T00:00:00"/>
    <s v="no"/>
    <s v="---"/>
    <s v="---"/>
    <s v="---"/>
    <x v="0"/>
    <s v="no"/>
    <s v="---"/>
    <s v="https://www.commcarehq.org/a/demo-18/api/form/attachment/d7afb51b-d95a-48b8-910f-16c9fc28babd/1575880919840.jpg"/>
    <s v="https://www.commcarehq.org/a/demo-18/api/form/attachment/d7afb51b-d95a-48b8-910f-16c9fc28babd/1575880936113.jpg"/>
    <s v="https://www.commcarehq.org/a/demo-18/api/form/attachment/d7afb51b-d95a-48b8-910f-16c9fc28babd/1575881017402.jpg"/>
    <s v="https://www.commcarehq.org/a/demo-18/api/form/attachment/d7afb51b-d95a-48b8-910f-16c9fc28babd/1575881030792.jpg"/>
    <s v="https://www.commcarehq.org/a/demo-18/api/form/attachment/d7afb51b-d95a-48b8-910f-16c9fc28babd/1575881047775.jpg"/>
    <s v="https://www.commcarehq.org/a/demo-18/api/form/attachment/d7afb51b-d95a-48b8-910f-16c9fc28babd/1575881057378.jpg"/>
    <d v="2019-12-09T08:44:20"/>
    <d v="2019-12-09T08:41:14"/>
    <s v="arnold"/>
    <d v="2019-12-09T10:07:27"/>
    <s v="d7afb51b-d95a-48b8-910f-16c9fc28babd"/>
    <s v="https://www.commcarehq.org/a/demo-18/reports/form_data/d7afb51b-d95a-48b8-910f-16c9fc28babd/"/>
  </r>
  <r>
    <x v="29"/>
    <n v="5.8"/>
    <d v="2020-01-15T00:00:00"/>
    <d v="2019-12-16T00:00:00"/>
    <s v="no"/>
    <s v="---"/>
    <s v="---"/>
    <s v="---"/>
    <x v="1"/>
    <s v="no"/>
    <s v="---"/>
    <s v="https://www.commcarehq.org/a/demo-18/api/form/attachment/29fb4915-31ff-4cae-8af7-66932d406388/1576486437326.jpg"/>
    <s v="https://www.commcarehq.org/a/demo-18/api/form/attachment/29fb4915-31ff-4cae-8af7-66932d406388/1576486449123.jpg"/>
    <s v="https://www.commcarehq.org/a/demo-18/api/form/attachment/29fb4915-31ff-4cae-8af7-66932d406388/1576486509192.jpg"/>
    <s v="https://www.commcarehq.org/a/demo-18/api/form/attachment/29fb4915-31ff-4cae-8af7-66932d406388/1576486518820.jpg"/>
    <s v="https://www.commcarehq.org/a/demo-18/api/form/attachment/29fb4915-31ff-4cae-8af7-66932d406388/1576486542178.jpg"/>
    <s v="https://www.commcarehq.org/a/demo-18/api/form/attachment/29fb4915-31ff-4cae-8af7-66932d406388/1576486551827.jpg"/>
    <d v="2019-12-16T08:55:53"/>
    <d v="2019-12-16T08:53:26"/>
    <s v="arnold"/>
    <d v="2019-12-16T08:56:12"/>
    <s v="29fb4915-31ff-4cae-8af7-66932d406388"/>
    <s v="https://www.commcarehq.org/a/demo-18/reports/form_data/29fb4915-31ff-4cae-8af7-66932d406388/"/>
  </r>
  <r>
    <x v="30"/>
    <n v="6.7"/>
    <d v="2019-12-29T00:00:00"/>
    <d v="2019-11-29T00:00:00"/>
    <s v="no"/>
    <s v="---"/>
    <s v="---"/>
    <s v="---"/>
    <x v="0"/>
    <s v="no"/>
    <s v="---"/>
    <s v="https://www.commcarehq.org/a/demo-18/api/form/attachment/4c49276e-fdc6-4643-a24b-466ce4c6b026/1575012584586.jpg"/>
    <s v="https://www.commcarehq.org/a/demo-18/api/form/attachment/4c49276e-fdc6-4643-a24b-466ce4c6b026/1575012599256.jpg"/>
    <s v="https://www.commcarehq.org/a/demo-18/api/form/attachment/4c49276e-fdc6-4643-a24b-466ce4c6b026/1575012648065.jpg"/>
    <s v="https://www.commcarehq.org/a/demo-18/api/form/attachment/4c49276e-fdc6-4643-a24b-466ce4c6b026/1575012656028.jpg"/>
    <s v="https://www.commcarehq.org/a/demo-18/api/form/attachment/4c49276e-fdc6-4643-a24b-466ce4c6b026/1575012692368.jpg"/>
    <s v="https://www.commcarehq.org/a/demo-18/api/form/attachment/4c49276e-fdc6-4643-a24b-466ce4c6b026/1575012701063.jpg"/>
    <d v="2019-11-29T07:31:42"/>
    <d v="2019-11-29T07:29:01"/>
    <s v="arnold"/>
    <d v="2019-11-29T08:47:27"/>
    <s v="4c49276e-fdc6-4643-a24b-466ce4c6b026"/>
    <s v="https://www.commcarehq.org/a/demo-18/reports/form_data/4c49276e-fdc6-4643-a24b-466ce4c6b026/"/>
  </r>
  <r>
    <x v="31"/>
    <n v="6.4"/>
    <d v="2020-01-29T00:00:00"/>
    <d v="2019-12-30T00:00:00"/>
    <s v="no"/>
    <s v="---"/>
    <s v="---"/>
    <s v="---"/>
    <x v="1"/>
    <s v="no"/>
    <s v="---"/>
    <s v="https://www.commcarehq.org/a/demo-18/api/form/attachment/447c3bbe-2b32-4dd7-acf6-c14e093390bc/1577699457303.jpg"/>
    <s v="https://www.commcarehq.org/a/demo-18/api/form/attachment/447c3bbe-2b32-4dd7-acf6-c14e093390bc/1577699482329.jpg"/>
    <s v="https://www.commcarehq.org/a/demo-18/api/form/attachment/447c3bbe-2b32-4dd7-acf6-c14e093390bc/1577699631708.jpg"/>
    <s v="https://www.commcarehq.org/a/demo-18/api/form/attachment/447c3bbe-2b32-4dd7-acf6-c14e093390bc/1577699643067.jpg"/>
    <s v="https://www.commcarehq.org/a/demo-18/api/form/attachment/447c3bbe-2b32-4dd7-acf6-c14e093390bc/1577699664151.jpg"/>
    <s v="https://www.commcarehq.org/a/demo-18/api/form/attachment/447c3bbe-2b32-4dd7-acf6-c14e093390bc/1577699681720.jpg"/>
    <d v="2019-12-30T09:54:44"/>
    <d v="2019-12-30T09:48:34"/>
    <s v="arnold"/>
    <d v="2019-12-31T04:31:55"/>
    <s v="447c3bbe-2b32-4dd7-acf6-c14e093390bc"/>
    <s v="https://www.commcarehq.org/a/demo-18/reports/form_data/447c3bbe-2b32-4dd7-acf6-c14e093390bc/"/>
  </r>
  <r>
    <x v="32"/>
    <n v="8"/>
    <d v="2020-02-19T00:00:00"/>
    <d v="2020-01-20T00:00:00"/>
    <s v="no"/>
    <s v="---"/>
    <s v="---"/>
    <s v="---"/>
    <x v="9"/>
    <s v="no"/>
    <s v="---"/>
    <s v="https://www.commcarehq.org/a/demo-18/api/form/attachment/4f3cf50c-da8c-4fe4-8bf7-e3f1c0a533b8/1579507812571.jpg"/>
    <s v="https://www.commcarehq.org/a/demo-18/api/form/attachment/4f3cf50c-da8c-4fe4-8bf7-e3f1c0a533b8/1579507826365.jpg"/>
    <s v="https://www.commcarehq.org/a/demo-18/api/form/attachment/4f3cf50c-da8c-4fe4-8bf7-e3f1c0a533b8/1579507881094.jpg"/>
    <s v="https://www.commcarehq.org/a/demo-18/api/form/attachment/4f3cf50c-da8c-4fe4-8bf7-e3f1c0a533b8/1579507891963.jpg"/>
    <s v="https://www.commcarehq.org/a/demo-18/api/form/attachment/4f3cf50c-da8c-4fe4-8bf7-e3f1c0a533b8/1579507921167.jpg"/>
    <s v="https://www.commcarehq.org/a/demo-18/api/form/attachment/4f3cf50c-da8c-4fe4-8bf7-e3f1c0a533b8/1579507931483.jpg"/>
    <d v="2020-01-20T08:12:13"/>
    <d v="2020-01-20T08:09:15"/>
    <s v="arnold"/>
    <d v="2020-01-20T08:12:28"/>
    <s v="4f3cf50c-da8c-4fe4-8bf7-e3f1c0a533b8"/>
    <s v="https://www.commcarehq.org/a/demo-18/reports/form_data/4f3cf50c-da8c-4fe4-8bf7-e3f1c0a533b8/"/>
  </r>
  <r>
    <x v="33"/>
    <n v="7.6"/>
    <d v="2020-02-05T00:00:00"/>
    <d v="2020-01-06T00:00:00"/>
    <s v="no"/>
    <s v="---"/>
    <s v="---"/>
    <s v="---"/>
    <x v="0"/>
    <s v="no"/>
    <s v="---"/>
    <s v="https://www.commcarehq.org/a/demo-18/api/form/attachment/b7ce5792-42bc-4a9b-bdff-3598f922b5e1/1578293422163.jpg"/>
    <s v="https://www.commcarehq.org/a/demo-18/api/form/attachment/b7ce5792-42bc-4a9b-bdff-3598f922b5e1/1578293446303.jpg"/>
    <s v="https://www.commcarehq.org/a/demo-18/api/form/attachment/b7ce5792-42bc-4a9b-bdff-3598f922b5e1/1578293503235.jpg"/>
    <s v="https://www.commcarehq.org/a/demo-18/api/form/attachment/b7ce5792-42bc-4a9b-bdff-3598f922b5e1/1578293513397.jpg"/>
    <s v="https://www.commcarehq.org/a/demo-18/api/form/attachment/b7ce5792-42bc-4a9b-bdff-3598f922b5e1/1578293530751.jpg"/>
    <s v="https://www.commcarehq.org/a/demo-18/api/form/attachment/b7ce5792-42bc-4a9b-bdff-3598f922b5e1/1578293540077.jpg"/>
    <d v="2020-01-06T06:52:22"/>
    <d v="2020-01-06T06:47:34"/>
    <s v="arnold"/>
    <d v="2020-01-06T07:12:46"/>
    <s v="b7ce5792-42bc-4a9b-bdff-3598f922b5e1"/>
    <s v="https://www.commcarehq.org/a/demo-18/reports/form_data/b7ce5792-42bc-4a9b-bdff-3598f922b5e1/"/>
  </r>
  <r>
    <x v="34"/>
    <n v="5.2"/>
    <d v="2020-02-05T00:00:00"/>
    <d v="2020-01-06T00:00:00"/>
    <s v="no"/>
    <s v="---"/>
    <s v="---"/>
    <s v="---"/>
    <x v="1"/>
    <s v="no"/>
    <s v="---"/>
    <s v="https://www.commcarehq.org/a/demo-18/api/form/attachment/cab626b5-2b50-4c97-adaf-4695bb19b486/1578295752362.jpg"/>
    <s v="https://www.commcarehq.org/a/demo-18/api/form/attachment/cab626b5-2b50-4c97-adaf-4695bb19b486/1578295767816.jpg"/>
    <s v="https://www.commcarehq.org/a/demo-18/api/form/attachment/cab626b5-2b50-4c97-adaf-4695bb19b486/1578295796893.jpg"/>
    <s v="https://www.commcarehq.org/a/demo-18/api/form/attachment/cab626b5-2b50-4c97-adaf-4695bb19b486/1578295806474.jpg"/>
    <s v="https://www.commcarehq.org/a/demo-18/api/form/attachment/cab626b5-2b50-4c97-adaf-4695bb19b486/1578295826389.jpg"/>
    <s v="https://www.commcarehq.org/a/demo-18/api/form/attachment/cab626b5-2b50-4c97-adaf-4695bb19b486/1578295836961.jpg"/>
    <d v="2020-01-06T07:30:38"/>
    <d v="2020-01-06T07:26:30"/>
    <s v="arnold"/>
    <d v="2020-01-06T07:32:13"/>
    <s v="cab626b5-2b50-4c97-adaf-4695bb19b486"/>
    <s v="https://www.commcarehq.org/a/demo-18/reports/form_data/cab626b5-2b50-4c97-adaf-4695bb19b486/"/>
  </r>
  <r>
    <x v="35"/>
    <n v="6.6"/>
    <d v="2020-02-07T00:00:00"/>
    <d v="2020-01-08T00:00:00"/>
    <s v="no"/>
    <s v="---"/>
    <s v="---"/>
    <s v="---"/>
    <x v="1"/>
    <s v="no"/>
    <s v="---"/>
    <s v="https://www.commcarehq.org/a/demo-18/api/form/attachment/a201a235-d30a-475c-9f9b-a3d8c109bcc7/1578466964094.jpg"/>
    <s v="https://www.commcarehq.org/a/demo-18/api/form/attachment/a201a235-d30a-475c-9f9b-a3d8c109bcc7/1578466977129.jpg"/>
    <s v="https://www.commcarehq.org/a/demo-18/api/form/attachment/a201a235-d30a-475c-9f9b-a3d8c109bcc7/1578467031943.jpg"/>
    <s v="https://www.commcarehq.org/a/demo-18/api/form/attachment/a201a235-d30a-475c-9f9b-a3d8c109bcc7/1578467041759.jpg"/>
    <s v="https://www.commcarehq.org/a/demo-18/api/form/attachment/a201a235-d30a-475c-9f9b-a3d8c109bcc7/1578467061122.jpg"/>
    <s v="https://www.commcarehq.org/a/demo-18/api/form/attachment/a201a235-d30a-475c-9f9b-a3d8c109bcc7/1578467072469.jpg"/>
    <d v="2020-01-08T07:04:37"/>
    <d v="2020-01-08T07:02:06"/>
    <s v="arnold"/>
    <d v="2020-01-08T07:04:55"/>
    <s v="a201a235-d30a-475c-9f9b-a3d8c109bcc7"/>
    <s v="https://www.commcarehq.org/a/demo-18/reports/form_data/a201a235-d30a-475c-9f9b-a3d8c109bcc7/"/>
  </r>
  <r>
    <x v="36"/>
    <n v="8.1"/>
    <d v="2020-02-09T00:00:00"/>
    <d v="2020-01-10T00:00:00"/>
    <s v="no"/>
    <s v="---"/>
    <s v="---"/>
    <s v="---"/>
    <x v="1"/>
    <s v="no"/>
    <s v="---"/>
    <s v="https://www.commcarehq.org/a/demo-18/api/form/attachment/f6d8a9c2-e618-42b3-a798-12883bcf540c/1578643678435.jpg"/>
    <s v="https://www.commcarehq.org/a/demo-18/api/form/attachment/f6d8a9c2-e618-42b3-a798-12883bcf540c/1578643701004.jpg"/>
    <s v="https://www.commcarehq.org/a/demo-18/api/form/attachment/f6d8a9c2-e618-42b3-a798-12883bcf540c/1578643804202.jpg"/>
    <s v="https://www.commcarehq.org/a/demo-18/api/form/attachment/f6d8a9c2-e618-42b3-a798-12883bcf540c/1578643814910.jpg"/>
    <s v="https://www.commcarehq.org/a/demo-18/api/form/attachment/f6d8a9c2-e618-42b3-a798-12883bcf540c/1578643830968.jpg"/>
    <s v="https://www.commcarehq.org/a/demo-18/api/form/attachment/f6d8a9c2-e618-42b3-a798-12883bcf540c/1578643843405.jpg"/>
    <d v="2020-01-10T08:10:48"/>
    <d v="2020-01-10T08:07:36"/>
    <s v="arnold"/>
    <d v="2020-01-10T08:11:08"/>
    <s v="f6d8a9c2-e618-42b3-a798-12883bcf540c"/>
    <s v="https://www.commcarehq.org/a/demo-18/reports/form_data/f6d8a9c2-e618-42b3-a798-12883bcf540c/"/>
  </r>
  <r>
    <x v="37"/>
    <n v="7"/>
    <d v="2020-02-07T00:00:00"/>
    <d v="2020-01-08T00:00:00"/>
    <s v="no"/>
    <s v="---"/>
    <s v="---"/>
    <s v="---"/>
    <x v="10"/>
    <s v="no"/>
    <s v="---"/>
    <s v="https://www.commcarehq.org/a/demo-18/api/form/attachment/6e829665-adb9-4a55-b18e-c694f469e9f1/1578469455950.jpg"/>
    <s v="https://www.commcarehq.org/a/demo-18/api/form/attachment/6e829665-adb9-4a55-b18e-c694f469e9f1/1578469477845.jpg"/>
    <s v="https://www.commcarehq.org/a/demo-18/api/form/attachment/6e829665-adb9-4a55-b18e-c694f469e9f1/1578469542052.jpg"/>
    <s v="https://www.commcarehq.org/a/demo-18/api/form/attachment/6e829665-adb9-4a55-b18e-c694f469e9f1/1578469556268.jpg"/>
    <s v="https://www.commcarehq.org/a/demo-18/api/form/attachment/6e829665-adb9-4a55-b18e-c694f469e9f1/1578469581609.jpg"/>
    <s v="https://www.commcarehq.org/a/demo-18/api/form/attachment/6e829665-adb9-4a55-b18e-c694f469e9f1/1578469593457.jpg"/>
    <d v="2020-01-08T07:46:35"/>
    <d v="2020-01-08T07:42:42"/>
    <s v="arnold"/>
    <d v="2020-01-08T07:46:59"/>
    <s v="6e829665-adb9-4a55-b18e-c694f469e9f1"/>
    <s v="https://www.commcarehq.org/a/demo-18/reports/form_data/6e829665-adb9-4a55-b18e-c694f469e9f1/"/>
  </r>
  <r>
    <x v="38"/>
    <n v="6.1"/>
    <d v="2020-04-10T00:00:00"/>
    <d v="2020-03-11T00:00:00"/>
    <s v="no"/>
    <s v="---"/>
    <s v="---"/>
    <s v="---"/>
    <x v="11"/>
    <s v="no"/>
    <s v="---"/>
    <s v="https://www.commcarehq.org/a/demo-18/api/form/attachment/e50c51ab-7b79-4f3d-b21a-cf909e0d7b6a/1583915006000.jpg"/>
    <s v="https://www.commcarehq.org/a/demo-18/api/form/attachment/e50c51ab-7b79-4f3d-b21a-cf909e0d7b6a/1583915018096.jpg"/>
    <s v="https://www.commcarehq.org/a/demo-18/api/form/attachment/e50c51ab-7b79-4f3d-b21a-cf909e0d7b6a/1583915102366.jpg"/>
    <s v="https://www.commcarehq.org/a/demo-18/api/form/attachment/e50c51ab-7b79-4f3d-b21a-cf909e0d7b6a/1583915110291.jpg"/>
    <s v="https://www.commcarehq.org/a/demo-18/api/form/attachment/e50c51ab-7b79-4f3d-b21a-cf909e0d7b6a/1583915129286.jpg"/>
    <s v="https://www.commcarehq.org/a/demo-18/api/form/attachment/e50c51ab-7b79-4f3d-b21a-cf909e0d7b6a/1583915139186.jpg"/>
    <d v="2020-03-11T08:26:00"/>
    <d v="2020-03-11T08:22:39"/>
    <s v="arnold"/>
    <d v="2020-03-11T08:26:20"/>
    <s v="e50c51ab-7b79-4f3d-b21a-cf909e0d7b6a"/>
    <s v="https://www.commcarehq.org/a/demo-18/reports/form_data/e50c51ab-7b79-4f3d-b21a-cf909e0d7b6a/"/>
  </r>
  <r>
    <x v="39"/>
    <n v="6.2"/>
    <d v="2020-04-26T00:00:00"/>
    <d v="2020-03-27T00:00:00"/>
    <s v="no"/>
    <s v="---"/>
    <s v="---"/>
    <s v="---"/>
    <x v="12"/>
    <s v="no"/>
    <s v="---"/>
    <s v="https://www.commcarehq.org/a/demo-18/api/form/attachment/f8766490-31b9-4be7-801b-0292c23ce80c/1585294433617.jpg"/>
    <s v="https://www.commcarehq.org/a/demo-18/api/form/attachment/f8766490-31b9-4be7-801b-0292c23ce80c/1585294452525.jpg"/>
    <s v="https://www.commcarehq.org/a/demo-18/api/form/attachment/f8766490-31b9-4be7-801b-0292c23ce80c/1585294485913.jpg"/>
    <s v="https://www.commcarehq.org/a/demo-18/api/form/attachment/f8766490-31b9-4be7-801b-0292c23ce80c/1585294493848.jpg"/>
    <s v="https://www.commcarehq.org/a/demo-18/api/form/attachment/f8766490-31b9-4be7-801b-0292c23ce80c/1585294508692.jpg"/>
    <s v="https://www.commcarehq.org/a/demo-18/api/form/attachment/f8766490-31b9-4be7-801b-0292c23ce80c/1585294517933.jpg"/>
    <d v="2020-03-27T07:35:19"/>
    <d v="2020-03-27T07:33:09"/>
    <s v="arnold"/>
    <d v="2020-03-27T07:35:35"/>
    <s v="f8766490-31b9-4be7-801b-0292c23ce80c"/>
    <s v="https://www.commcarehq.org/a/demo-18/reports/form_data/f8766490-31b9-4be7-801b-0292c23ce80c/"/>
  </r>
  <r>
    <x v="40"/>
    <n v="6.7"/>
    <d v="2020-04-18T00:00:00"/>
    <d v="2020-03-19T00:00:00"/>
    <s v="no"/>
    <s v="---"/>
    <s v="---"/>
    <s v="---"/>
    <x v="13"/>
    <s v="no"/>
    <s v="---"/>
    <s v="https://www.commcarehq.org/a/demo-18/api/form/attachment/1c32a415-81b8-45d9-a096-c9812c87ba87/1584599955345.jpg"/>
    <s v="https://www.commcarehq.org/a/demo-18/api/form/attachment/1c32a415-81b8-45d9-a096-c9812c87ba87/1584599971882.jpg"/>
    <s v="https://www.commcarehq.org/a/demo-18/api/form/attachment/1c32a415-81b8-45d9-a096-c9812c87ba87/1584600014860.jpg"/>
    <s v="https://www.commcarehq.org/a/demo-18/api/form/attachment/1c32a415-81b8-45d9-a096-c9812c87ba87/1584600023849.jpg"/>
    <s v="https://www.commcarehq.org/a/demo-18/api/form/attachment/1c32a415-81b8-45d9-a096-c9812c87ba87/1584600038243.jpg"/>
    <s v="https://www.commcarehq.org/a/demo-18/api/form/attachment/1c32a415-81b8-45d9-a096-c9812c87ba87/1584600047118.jpg"/>
    <d v="2020-03-19T06:40:48"/>
    <d v="2020-03-19T06:38:40"/>
    <s v="arnold"/>
    <d v="2020-03-19T06:41:08"/>
    <s v="1c32a415-81b8-45d9-a096-c9812c87ba87"/>
    <s v="https://www.commcarehq.org/a/demo-18/reports/form_data/1c32a415-81b8-45d9-a096-c9812c87ba87/"/>
  </r>
  <r>
    <x v="41"/>
    <n v="7.7"/>
    <d v="2020-06-20T00:00:00"/>
    <d v="2020-05-21T00:00:00"/>
    <s v="no"/>
    <s v="---"/>
    <s v="---"/>
    <s v="---"/>
    <x v="12"/>
    <s v="no"/>
    <s v="---"/>
    <s v="https://www.commcarehq.org/a/demo-18/api/form/attachment/b722f65a-a208-41ce-b491-caf555c398ae/1590048843439.jpg"/>
    <s v="https://www.commcarehq.org/a/demo-18/api/form/attachment/b722f65a-a208-41ce-b491-caf555c398ae/1590048859297.jpg"/>
    <s v="https://www.commcarehq.org/a/demo-18/api/form/attachment/b722f65a-a208-41ce-b491-caf555c398ae/1590048912221.jpg"/>
    <s v="https://www.commcarehq.org/a/demo-18/api/form/attachment/b722f65a-a208-41ce-b491-caf555c398ae/1590048921689.jpg"/>
    <s v="https://www.commcarehq.org/a/demo-18/api/form/attachment/b722f65a-a208-41ce-b491-caf555c398ae/1590048943453.jpg"/>
    <s v="https://www.commcarehq.org/a/demo-18/api/form/attachment/b722f65a-a208-41ce-b491-caf555c398ae/1590048970667.jpg"/>
    <d v="2020-05-21T08:16:12"/>
    <d v="2020-05-21T08:13:23"/>
    <s v="arnold"/>
    <d v="2020-05-21T08:16:34"/>
    <s v="b722f65a-a208-41ce-b491-caf555c398ae"/>
    <s v="https://www.commcarehq.org/a/demo-18/reports/form_data/b722f65a-a208-41ce-b491-caf555c398ae/"/>
  </r>
  <r>
    <x v="42"/>
    <n v="6.8"/>
    <d v="2019-12-06T00:00:00"/>
    <d v="2019-11-06T00:00:00"/>
    <s v="no"/>
    <s v="---"/>
    <s v="---"/>
    <s v="---"/>
    <x v="0"/>
    <s v="no"/>
    <s v="---"/>
    <s v="https://www.commcarehq.org/a/demo-18/api/form/attachment/dfd23962-2616-4834-9547-c147ed5505b6/1573031672628.jpg"/>
    <s v="https://www.commcarehq.org/a/demo-18/api/form/attachment/dfd23962-2616-4834-9547-c147ed5505b6/1573031688124.jpg"/>
    <s v="https://www.commcarehq.org/a/demo-18/api/form/attachment/dfd23962-2616-4834-9547-c147ed5505b6/1573031787707.jpg"/>
    <s v="https://www.commcarehq.org/a/demo-18/api/form/attachment/dfd23962-2616-4834-9547-c147ed5505b6/1573031801749.jpg"/>
    <s v="https://www.commcarehq.org/a/demo-18/api/form/attachment/dfd23962-2616-4834-9547-c147ed5505b6/1573031854243.jpg"/>
    <s v="https://www.commcarehq.org/a/demo-18/api/form/attachment/dfd23962-2616-4834-9547-c147ed5505b6/1573031884718.jpg"/>
    <d v="2019-11-06T09:18:07"/>
    <d v="2019-11-06T09:14:02"/>
    <s v="arnold"/>
    <d v="2019-11-06T09:27:18"/>
    <s v="dfd23962-2616-4834-9547-c147ed5505b6"/>
    <s v="https://www.commcarehq.org/a/demo-18/reports/form_data/dfd23962-2616-4834-9547-c147ed5505b6/"/>
  </r>
  <r>
    <x v="43"/>
    <n v="6.5"/>
    <d v="2019-12-29T00:00:00"/>
    <d v="2019-11-29T00:00:00"/>
    <s v="no"/>
    <s v="---"/>
    <s v="---"/>
    <s v="---"/>
    <x v="1"/>
    <s v="no"/>
    <s v="---"/>
    <s v="https://www.commcarehq.org/a/demo-18/api/form/attachment/0c8869ba-6629-4f26-81b1-60175b717d18/1575013562810.jpg"/>
    <s v="https://www.commcarehq.org/a/demo-18/api/form/attachment/0c8869ba-6629-4f26-81b1-60175b717d18/1575013578440.jpg"/>
    <s v="https://www.commcarehq.org/a/demo-18/api/form/attachment/0c8869ba-6629-4f26-81b1-60175b717d18/1575013616762.jpg"/>
    <s v="https://www.commcarehq.org/a/demo-18/api/form/attachment/0c8869ba-6629-4f26-81b1-60175b717d18/1575013628412.jpg"/>
    <s v="https://www.commcarehq.org/a/demo-18/api/form/attachment/0c8869ba-6629-4f26-81b1-60175b717d18/1575013643672.jpg"/>
    <s v="https://www.commcarehq.org/a/demo-18/api/form/attachment/0c8869ba-6629-4f26-81b1-60175b717d18/1575013657502.jpg"/>
    <d v="2019-11-29T07:47:39"/>
    <d v="2019-11-29T07:45:00"/>
    <s v="arnold"/>
    <d v="2019-11-29T08:48:08"/>
    <s v="0c8869ba-6629-4f26-81b1-60175b717d18"/>
    <s v="https://www.commcarehq.org/a/demo-18/reports/form_data/0c8869ba-6629-4f26-81b1-60175b717d18/"/>
  </r>
  <r>
    <x v="44"/>
    <n v="5.9"/>
    <d v="2020-01-01T00:00:00"/>
    <d v="2019-12-02T00:00:00"/>
    <s v="no"/>
    <s v="---"/>
    <s v="---"/>
    <s v="---"/>
    <x v="4"/>
    <s v="no"/>
    <s v="---"/>
    <s v="https://www.commcarehq.org/a/demo-18/api/form/attachment/5619be38-36e7-4060-849d-d5cd7b6d371a/1575272539079.jpg"/>
    <s v="https://www.commcarehq.org/a/demo-18/api/form/attachment/5619be38-36e7-4060-849d-d5cd7b6d371a/1575272553188.jpg"/>
    <s v="https://www.commcarehq.org/a/demo-18/api/form/attachment/5619be38-36e7-4060-849d-d5cd7b6d371a/1575272597136.jpg"/>
    <s v="https://www.commcarehq.org/a/demo-18/api/form/attachment/5619be38-36e7-4060-849d-d5cd7b6d371a/1575272605747.jpg"/>
    <s v="https://www.commcarehq.org/a/demo-18/api/form/attachment/5619be38-36e7-4060-849d-d5cd7b6d371a/1575272633709.jpg"/>
    <s v="https://www.commcarehq.org/a/demo-18/api/form/attachment/5619be38-36e7-4060-849d-d5cd7b6d371a/1575272642691.jpg"/>
    <d v="2019-12-02T07:44:05"/>
    <d v="2019-12-02T07:41:09"/>
    <s v="arnold"/>
    <d v="2019-12-02T07:44:21"/>
    <s v="5619be38-36e7-4060-849d-d5cd7b6d371a"/>
    <s v="https://www.commcarehq.org/a/demo-18/reports/form_data/5619be38-36e7-4060-849d-d5cd7b6d371a/"/>
  </r>
  <r>
    <x v="45"/>
    <n v="7"/>
    <d v="2020-01-05T00:00:00"/>
    <d v="2019-12-06T00:00:00"/>
    <s v="no"/>
    <s v="---"/>
    <s v="---"/>
    <s v="---"/>
    <x v="0"/>
    <s v="no"/>
    <s v="---"/>
    <s v="https://www.commcarehq.org/a/demo-18/api/form/attachment/1ae403fa-846c-46aa-a965-8581982f11cb/1575618830674.jpg"/>
    <s v="https://www.commcarehq.org/a/demo-18/api/form/attachment/1ae403fa-846c-46aa-a965-8581982f11cb/1575618840615.jpg"/>
    <s v="https://www.commcarehq.org/a/demo-18/api/form/attachment/1ae403fa-846c-46aa-a965-8581982f11cb/1575618884824.jpg"/>
    <s v="https://www.commcarehq.org/a/demo-18/api/form/attachment/1ae403fa-846c-46aa-a965-8581982f11cb/1575618910592.jpg"/>
    <s v="https://www.commcarehq.org/a/demo-18/api/form/attachment/1ae403fa-846c-46aa-a965-8581982f11cb/1575618928777.jpg"/>
    <s v="https://www.commcarehq.org/a/demo-18/api/form/attachment/1ae403fa-846c-46aa-a965-8581982f11cb/1575618938174.jpg"/>
    <d v="2019-12-06T07:55:39"/>
    <d v="2019-12-06T07:52:46"/>
    <s v="arnold"/>
    <d v="2019-12-06T07:55:55"/>
    <s v="1ae403fa-846c-46aa-a965-8581982f11cb"/>
    <s v="https://www.commcarehq.org/a/demo-18/reports/form_data/1ae403fa-846c-46aa-a965-8581982f11cb/"/>
  </r>
  <r>
    <x v="45"/>
    <n v="6.5"/>
    <d v="2019-12-06T00:00:00"/>
    <d v="2019-11-06T00:00:00"/>
    <s v="no"/>
    <s v="---"/>
    <s v="---"/>
    <s v="---"/>
    <x v="0"/>
    <s v="no"/>
    <s v="---"/>
    <s v="https://www.commcarehq.org/a/demo-18/api/form/attachment/88dfb554-2954-4762-bbfc-5d0bf6b0edb5/1573031035558.jpg"/>
    <s v="https://www.commcarehq.org/a/demo-18/api/form/attachment/88dfb554-2954-4762-bbfc-5d0bf6b0edb5/1573031051347.jpg"/>
    <s v="https://www.commcarehq.org/a/demo-18/api/form/attachment/88dfb554-2954-4762-bbfc-5d0bf6b0edb5/1573031116880.jpg"/>
    <s v="https://www.commcarehq.org/a/demo-18/api/form/attachment/88dfb554-2954-4762-bbfc-5d0bf6b0edb5/1573031132404.jpg"/>
    <s v="https://www.commcarehq.org/a/demo-18/api/form/attachment/88dfb554-2954-4762-bbfc-5d0bf6b0edb5/1573031151260.jpg"/>
    <s v="https://www.commcarehq.org/a/demo-18/api/form/attachment/88dfb554-2954-4762-bbfc-5d0bf6b0edb5/1573031163724.jpg"/>
    <d v="2019-11-06T09:06:05"/>
    <d v="2019-11-06T09:03:02"/>
    <s v="arnold"/>
    <d v="2019-11-06T09:27:03"/>
    <s v="88dfb554-2954-4762-bbfc-5d0bf6b0edb5"/>
    <s v="https://www.commcarehq.org/a/demo-18/reports/form_data/88dfb554-2954-4762-bbfc-5d0bf6b0edb5/"/>
  </r>
  <r>
    <x v="46"/>
    <n v="8.4"/>
    <d v="2020-02-16T00:00:00"/>
    <d v="2020-01-17T00:00:00"/>
    <s v="no"/>
    <s v="---"/>
    <s v="---"/>
    <s v="---"/>
    <x v="4"/>
    <s v="no"/>
    <s v="---"/>
    <s v="https://www.commcarehq.org/a/demo-18/api/form/attachment/7e0cf31f-619d-475b-b2dd-e76faa79c678/1579245298937.jpg"/>
    <s v="https://www.commcarehq.org/a/demo-18/api/form/attachment/7e0cf31f-619d-475b-b2dd-e76faa79c678/1579245312485.jpg"/>
    <s v="https://www.commcarehq.org/a/demo-18/api/form/attachment/7e0cf31f-619d-475b-b2dd-e76faa79c678/1579245380484.jpg"/>
    <s v="https://www.commcarehq.org/a/demo-18/api/form/attachment/7e0cf31f-619d-475b-b2dd-e76faa79c678/1579245389229.jpg"/>
    <s v="https://www.commcarehq.org/a/demo-18/api/form/attachment/7e0cf31f-619d-475b-b2dd-e76faa79c678/1579245406381.jpg"/>
    <s v="https://www.commcarehq.org/a/demo-18/api/form/attachment/7e0cf31f-619d-475b-b2dd-e76faa79c678/1579245415916.jpg"/>
    <d v="2020-01-17T07:16:58"/>
    <d v="2020-01-17T07:13:58"/>
    <s v="arnold"/>
    <d v="2020-01-17T07:17:19"/>
    <s v="7e0cf31f-619d-475b-b2dd-e76faa79c678"/>
    <s v="https://www.commcarehq.org/a/demo-18/reports/form_data/7e0cf31f-619d-475b-b2dd-e76faa79c678/"/>
  </r>
  <r>
    <x v="47"/>
    <n v="6.1"/>
    <d v="2020-02-19T00:00:00"/>
    <d v="2020-01-20T00:00:00"/>
    <s v="no"/>
    <s v="---"/>
    <s v="---"/>
    <s v="---"/>
    <x v="7"/>
    <s v="no"/>
    <s v="---"/>
    <s v="https://www.commcarehq.org/a/demo-18/api/form/attachment/f9a732a0-6822-4579-b4ff-1423ef386cc3/1579511135405.jpg"/>
    <s v="https://www.commcarehq.org/a/demo-18/api/form/attachment/f9a732a0-6822-4579-b4ff-1423ef386cc3/1579511148760.jpg"/>
    <s v="https://www.commcarehq.org/a/demo-18/api/form/attachment/f9a732a0-6822-4579-b4ff-1423ef386cc3/1579511178542.jpg"/>
    <s v="https://www.commcarehq.org/a/demo-18/api/form/attachment/f9a732a0-6822-4579-b4ff-1423ef386cc3/1579511188421.jpg"/>
    <s v="https://www.commcarehq.org/a/demo-18/api/form/attachment/f9a732a0-6822-4579-b4ff-1423ef386cc3/1579511205926.jpg"/>
    <s v="https://www.commcarehq.org/a/demo-18/api/form/attachment/f9a732a0-6822-4579-b4ff-1423ef386cc3/1579511217593.jpg"/>
    <d v="2020-01-20T09:06:59"/>
    <d v="2020-01-20T09:04:55"/>
    <s v="arnold"/>
    <d v="2020-01-20T11:46:44"/>
    <s v="f9a732a0-6822-4579-b4ff-1423ef386cc3"/>
    <s v="https://www.commcarehq.org/a/demo-18/reports/form_data/f9a732a0-6822-4579-b4ff-1423ef386cc3/"/>
  </r>
  <r>
    <x v="48"/>
    <n v="7.3"/>
    <d v="2020-02-14T00:00:00"/>
    <d v="2020-01-15T00:00:00"/>
    <s v="no"/>
    <s v="---"/>
    <s v="---"/>
    <s v="---"/>
    <x v="1"/>
    <s v="no"/>
    <s v="---"/>
    <s v="https://www.commcarehq.org/a/demo-18/api/form/attachment/5b333152-3428-4c27-81c3-73bcbaeadc52/1579077557230.jpg"/>
    <s v="https://www.commcarehq.org/a/demo-18/api/form/attachment/5b333152-3428-4c27-81c3-73bcbaeadc52/1579077571676.jpg"/>
    <s v="https://www.commcarehq.org/a/demo-18/api/form/attachment/5b333152-3428-4c27-81c3-73bcbaeadc52/1579077618464.jpg"/>
    <s v="https://www.commcarehq.org/a/demo-18/api/form/attachment/5b333152-3428-4c27-81c3-73bcbaeadc52/1579077630520.jpg"/>
    <s v="https://www.commcarehq.org/a/demo-18/api/form/attachment/5b333152-3428-4c27-81c3-73bcbaeadc52/1579077649608.jpg"/>
    <s v="https://www.commcarehq.org/a/demo-18/api/form/attachment/5b333152-3428-4c27-81c3-73bcbaeadc52/1579077659934.jpg"/>
    <d v="2020-01-15T08:41:01"/>
    <d v="2020-01-15T08:38:45"/>
    <s v="arnold"/>
    <d v="2020-01-15T08:41:38"/>
    <s v="5b333152-3428-4c27-81c3-73bcbaeadc52"/>
    <s v="https://www.commcarehq.org/a/demo-18/reports/form_data/5b333152-3428-4c27-81c3-73bcbaeadc52/"/>
  </r>
  <r>
    <x v="49"/>
    <n v="6.6"/>
    <d v="2020-02-21T00:00:00"/>
    <d v="2020-01-22T00:00:00"/>
    <s v="no"/>
    <s v="---"/>
    <s v="---"/>
    <s v="---"/>
    <x v="1"/>
    <s v="no"/>
    <s v="---"/>
    <s v="https://www.commcarehq.org/a/demo-18/api/form/attachment/d1dde4ad-454a-4760-a22a-6a4272dd2514/1579684159657.jpg"/>
    <s v="https://www.commcarehq.org/a/demo-18/api/form/attachment/d1dde4ad-454a-4760-a22a-6a4272dd2514/1579684177614.jpg"/>
    <s v="https://www.commcarehq.org/a/demo-18/api/form/attachment/d1dde4ad-454a-4760-a22a-6a4272dd2514/1579684287402.jpg"/>
    <s v="https://www.commcarehq.org/a/demo-18/api/form/attachment/d1dde4ad-454a-4760-a22a-6a4272dd2514/1579684297550.jpg"/>
    <s v="https://www.commcarehq.org/a/demo-18/api/form/attachment/d1dde4ad-454a-4760-a22a-6a4272dd2514/1579684322405.jpg"/>
    <s v="https://www.commcarehq.org/a/demo-18/api/form/attachment/d1dde4ad-454a-4760-a22a-6a4272dd2514/1579684333239.jpg"/>
    <d v="2020-01-22T09:12:15"/>
    <d v="2020-01-22T09:08:09"/>
    <s v="arnold"/>
    <d v="2020-01-22T09:12:36"/>
    <s v="d1dde4ad-454a-4760-a22a-6a4272dd2514"/>
    <s v="https://www.commcarehq.org/a/demo-18/reports/form_data/d1dde4ad-454a-4760-a22a-6a4272dd2514/"/>
  </r>
  <r>
    <x v="50"/>
    <n v="7.6"/>
    <d v="2020-02-22T00:00:00"/>
    <d v="2020-01-23T00:00:00"/>
    <s v="no"/>
    <s v="---"/>
    <s v="---"/>
    <s v="---"/>
    <x v="14"/>
    <s v="no"/>
    <s v="---"/>
    <s v="https://www.commcarehq.org/a/demo-18/api/form/attachment/fa3031db-f65e-43f1-b47e-2a85477024b4/1579765842151.jpg"/>
    <s v="https://www.commcarehq.org/a/demo-18/api/form/attachment/fa3031db-f65e-43f1-b47e-2a85477024b4/1579765853238.jpg"/>
    <s v="https://www.commcarehq.org/a/demo-18/api/form/attachment/fa3031db-f65e-43f1-b47e-2a85477024b4/1579765972344.jpg"/>
    <s v="https://www.commcarehq.org/a/demo-18/api/form/attachment/fa3031db-f65e-43f1-b47e-2a85477024b4/1579765983261.jpg"/>
    <s v="https://www.commcarehq.org/a/demo-18/api/form/attachment/fa3031db-f65e-43f1-b47e-2a85477024b4/1579766005283.jpg"/>
    <s v="https://www.commcarehq.org/a/demo-18/api/form/attachment/fa3031db-f65e-43f1-b47e-2a85477024b4/1579766015597.jpg"/>
    <d v="2020-01-23T07:53:37"/>
    <d v="2020-01-23T07:49:54"/>
    <s v="arnold"/>
    <d v="2020-01-23T08:38:23"/>
    <s v="fa3031db-f65e-43f1-b47e-2a85477024b4"/>
    <s v="https://www.commcarehq.org/a/demo-18/reports/form_data/fa3031db-f65e-43f1-b47e-2a85477024b4/"/>
  </r>
  <r>
    <x v="51"/>
    <n v="7.4"/>
    <d v="2020-02-21T00:00:00"/>
    <d v="2020-01-22T00:00:00"/>
    <s v="no"/>
    <s v="---"/>
    <s v="---"/>
    <s v="---"/>
    <x v="0"/>
    <s v="no"/>
    <s v="---"/>
    <s v="https://www.commcarehq.org/a/demo-18/api/form/attachment/0f79f4c3-3256-4f1b-a482-7bb26fa22a85/1579681087259.jpg"/>
    <s v="https://www.commcarehq.org/a/demo-18/api/form/attachment/0f79f4c3-3256-4f1b-a482-7bb26fa22a85/1579681104282.jpg"/>
    <s v="https://www.commcarehq.org/a/demo-18/api/form/attachment/0f79f4c3-3256-4f1b-a482-7bb26fa22a85/1579681146314.jpg"/>
    <s v="https://www.commcarehq.org/a/demo-18/api/form/attachment/0f79f4c3-3256-4f1b-a482-7bb26fa22a85/1579681155866.jpg"/>
    <s v="https://www.commcarehq.org/a/demo-18/api/form/attachment/0f79f4c3-3256-4f1b-a482-7bb26fa22a85/1579681176296.jpg"/>
    <s v="https://www.commcarehq.org/a/demo-18/api/form/attachment/0f79f4c3-3256-4f1b-a482-7bb26fa22a85/1579681188525.jpg"/>
    <d v="2020-01-22T08:21:35"/>
    <d v="2020-01-22T08:15:40"/>
    <s v="arnold"/>
    <d v="2020-01-22T08:21:57"/>
    <s v="0f79f4c3-3256-4f1b-a482-7bb26fa22a85"/>
    <s v="https://www.commcarehq.org/a/demo-18/reports/form_data/0f79f4c3-3256-4f1b-a482-7bb26fa22a85/"/>
  </r>
  <r>
    <x v="52"/>
    <n v="8.4"/>
    <d v="2020-01-25T00:00:00"/>
    <d v="2019-12-26T00:00:00"/>
    <s v="no"/>
    <s v="---"/>
    <s v="---"/>
    <s v="---"/>
    <x v="1"/>
    <s v="no"/>
    <s v="---"/>
    <s v="https://www.commcarehq.org/a/demo-18/api/form/attachment/d3e7972d-5477-478f-a989-35936a0576f2/1577341266849.jpg"/>
    <s v="https://www.commcarehq.org/a/demo-18/api/form/attachment/d3e7972d-5477-478f-a989-35936a0576f2/1577341296170.jpg"/>
    <s v="https://www.commcarehq.org/a/demo-18/api/form/attachment/d3e7972d-5477-478f-a989-35936a0576f2/1577341353689.jpg"/>
    <s v="https://www.commcarehq.org/a/demo-18/api/form/attachment/d3e7972d-5477-478f-a989-35936a0576f2/1577341365910.jpg"/>
    <s v="https://www.commcarehq.org/a/demo-18/api/form/attachment/d3e7972d-5477-478f-a989-35936a0576f2/1577341391984.jpg"/>
    <s v="https://www.commcarehq.org/a/demo-18/api/form/attachment/d3e7972d-5477-478f-a989-35936a0576f2/1577341403429.jpg"/>
    <d v="2019-12-26T06:23:25"/>
    <d v="2019-12-26T06:20:28"/>
    <s v="arnold"/>
    <d v="2019-12-26T06:50:41"/>
    <s v="d3e7972d-5477-478f-a989-35936a0576f2"/>
    <s v="https://www.commcarehq.org/a/demo-18/reports/form_data/d3e7972d-5477-478f-a989-35936a0576f2/"/>
  </r>
  <r>
    <x v="53"/>
    <n v="7.9"/>
    <d v="2020-04-25T00:00:00"/>
    <d v="2020-03-26T00:00:00"/>
    <s v="no"/>
    <s v="---"/>
    <s v="---"/>
    <s v="---"/>
    <x v="12"/>
    <s v="no"/>
    <s v="---"/>
    <s v="https://www.commcarehq.org/a/demo-18/api/form/attachment/798b2e08-62f3-458d-a5f1-c1ee0edc9ef9/1585203813587.jpg"/>
    <s v="https://www.commcarehq.org/a/demo-18/api/form/attachment/798b2e08-62f3-458d-a5f1-c1ee0edc9ef9/1585203829992.jpg"/>
    <s v="https://www.commcarehq.org/a/demo-18/api/form/attachment/798b2e08-62f3-458d-a5f1-c1ee0edc9ef9/1585203889285.jpg"/>
    <s v="https://www.commcarehq.org/a/demo-18/api/form/attachment/798b2e08-62f3-458d-a5f1-c1ee0edc9ef9/1585203898433.jpg"/>
    <s v="https://www.commcarehq.org/a/demo-18/api/form/attachment/798b2e08-62f3-458d-a5f1-c1ee0edc9ef9/1585203913592.jpg"/>
    <s v="https://www.commcarehq.org/a/demo-18/api/form/attachment/798b2e08-62f3-458d-a5f1-c1ee0edc9ef9/1585203922347.jpg"/>
    <d v="2020-03-26T06:25:24"/>
    <d v="2020-03-26T06:22:41"/>
    <s v="arnold"/>
    <d v="2020-03-26T06:25:41"/>
    <s v="798b2e08-62f3-458d-a5f1-c1ee0edc9ef9"/>
    <s v="https://www.commcarehq.org/a/demo-18/reports/form_data/798b2e08-62f3-458d-a5f1-c1ee0edc9ef9/"/>
  </r>
  <r>
    <x v="54"/>
    <m/>
    <m/>
    <m/>
    <m/>
    <m/>
    <m/>
    <m/>
    <x v="15"/>
    <m/>
    <m/>
    <m/>
    <m/>
    <m/>
    <m/>
    <m/>
    <m/>
    <m/>
    <m/>
    <m/>
    <m/>
    <m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x v="0"/>
    <n v="7.5"/>
    <d v="2020-01-10T00:00:00"/>
    <d v="2019-12-11T00:00:00"/>
    <s v="no"/>
    <s v="---"/>
    <s v="---"/>
    <s v="---"/>
    <x v="0"/>
    <s v="no"/>
    <s v="---"/>
    <s v="https://www.commcarehq.org/a/demo-18/api/form/attachment/eceb01b4-3c24-4503-b7d0-b93ce177f3d1/1576051546063.jpg"/>
    <s v="https://www.commcarehq.org/a/demo-18/api/form/attachment/eceb01b4-3c24-4503-b7d0-b93ce177f3d1/1576051560089.jpg"/>
    <s v="https://www.commcarehq.org/a/demo-18/api/form/attachment/eceb01b4-3c24-4503-b7d0-b93ce177f3d1/1576051615344.jpg"/>
    <s v="https://www.commcarehq.org/a/demo-18/api/form/attachment/eceb01b4-3c24-4503-b7d0-b93ce177f3d1/1576051623865.jpg"/>
    <s v="https://www.commcarehq.org/a/demo-18/api/form/attachment/eceb01b4-3c24-4503-b7d0-b93ce177f3d1/1576051658227.jpg"/>
    <s v="https://www.commcarehq.org/a/demo-18/api/form/attachment/eceb01b4-3c24-4503-b7d0-b93ce177f3d1/1576051671626.jpg"/>
    <d v="2019-12-11T08:07:54"/>
    <d v="2019-12-11T08:04:58"/>
    <s v="arnold"/>
    <d v="2019-12-11T10:33:07"/>
    <s v="eceb01b4-3c24-4503-b7d0-b93ce177f3d1"/>
    <s v="https://www.commcarehq.org/a/demo-18/reports/form_data/eceb01b4-3c24-4503-b7d0-b93ce177f3d1/"/>
  </r>
  <r>
    <x v="1"/>
    <n v="8.1999999999999993"/>
    <d v="2020-01-25T00:00:00"/>
    <d v="2019-12-26T00:00:00"/>
    <s v="no"/>
    <s v="---"/>
    <s v="---"/>
    <s v="---"/>
    <x v="1"/>
    <s v="no"/>
    <s v="---"/>
    <s v="https://www.commcarehq.org/a/demo-18/api/form/attachment/5a7f0fc2-5a4c-4743-9532-8a78882c3121/1577349928954.jpg"/>
    <s v="https://www.commcarehq.org/a/demo-18/api/form/attachment/5a7f0fc2-5a4c-4743-9532-8a78882c3121/1577349947245.jpg"/>
    <s v="https://www.commcarehq.org/a/demo-18/api/form/attachment/5a7f0fc2-5a4c-4743-9532-8a78882c3121/1577350011482.jpg"/>
    <s v="https://www.commcarehq.org/a/demo-18/api/form/attachment/5a7f0fc2-5a4c-4743-9532-8a78882c3121/1577350020818.jpg"/>
    <s v="https://www.commcarehq.org/a/demo-18/api/form/attachment/5a7f0fc2-5a4c-4743-9532-8a78882c3121/1577350040485.jpg"/>
    <s v="https://www.commcarehq.org/a/demo-18/api/form/attachment/5a7f0fc2-5a4c-4743-9532-8a78882c3121/1577350054567.jpg"/>
    <d v="2019-12-26T08:47:36"/>
    <d v="2019-12-26T08:44:20"/>
    <s v="arnold"/>
    <d v="2019-12-27T15:34:24"/>
    <s v="5a7f0fc2-5a4c-4743-9532-8a78882c3121"/>
    <s v="https://www.commcarehq.org/a/demo-18/reports/form_data/5a7f0fc2-5a4c-4743-9532-8a78882c3121/"/>
  </r>
  <r>
    <x v="2"/>
    <n v="7.5"/>
    <d v="2020-01-29T00:00:00"/>
    <d v="2019-12-30T00:00:00"/>
    <s v="no"/>
    <s v="---"/>
    <s v="---"/>
    <s v="---"/>
    <x v="1"/>
    <s v="no"/>
    <s v="---"/>
    <s v="https://www.commcarehq.org/a/demo-18/api/form/attachment/bd80e518-aeea-4acb-8e53-537717524373/1577686518893.jpg"/>
    <s v="https://www.commcarehq.org/a/demo-18/api/form/attachment/bd80e518-aeea-4acb-8e53-537717524373/1577686534610.jpg"/>
    <s v="https://www.commcarehq.org/a/demo-18/api/form/attachment/bd80e518-aeea-4acb-8e53-537717524373/1577686591025.jpg"/>
    <s v="https://www.commcarehq.org/a/demo-18/api/form/attachment/bd80e518-aeea-4acb-8e53-537717524373/1577686601676.jpg"/>
    <s v="https://www.commcarehq.org/a/demo-18/api/form/attachment/bd80e518-aeea-4acb-8e53-537717524373/1577686624159.jpg"/>
    <s v="https://www.commcarehq.org/a/demo-18/api/form/attachment/bd80e518-aeea-4acb-8e53-537717524373/1577686640594.jpg"/>
    <d v="2019-12-30T06:17:22"/>
    <d v="2019-12-30T06:12:59"/>
    <s v="arnold"/>
    <d v="2019-12-31T04:30:38"/>
    <s v="bd80e518-aeea-4acb-8e53-537717524373"/>
    <s v="https://www.commcarehq.org/a/demo-18/reports/form_data/bd80e518-aeea-4acb-8e53-537717524373/"/>
  </r>
  <r>
    <x v="3"/>
    <n v="7.6"/>
    <d v="2019-12-29T00:00:00"/>
    <d v="2019-11-29T00:00:00"/>
    <s v="no"/>
    <s v="---"/>
    <s v="---"/>
    <s v="---"/>
    <x v="2"/>
    <s v="no"/>
    <s v="---"/>
    <s v="https://www.commcarehq.org/a/demo-18/api/form/attachment/03ba184d-2dc9-4564-b38a-7ce65295014b/1575011391008.jpg"/>
    <s v="https://www.commcarehq.org/a/demo-18/api/form/attachment/03ba184d-2dc9-4564-b38a-7ce65295014b/1575011411998.jpg"/>
    <s v="https://www.commcarehq.org/a/demo-18/api/form/attachment/03ba184d-2dc9-4564-b38a-7ce65295014b/1575011463859.jpg"/>
    <s v="https://www.commcarehq.org/a/demo-18/api/form/attachment/03ba184d-2dc9-4564-b38a-7ce65295014b/1575011474845.jpg"/>
    <s v="https://www.commcarehq.org/a/demo-18/api/form/attachment/03ba184d-2dc9-4564-b38a-7ce65295014b/1575011499064.jpg"/>
    <s v="https://www.commcarehq.org/a/demo-18/api/form/attachment/03ba184d-2dc9-4564-b38a-7ce65295014b/1575011511314.jpg"/>
    <d v="2019-11-29T07:11:54"/>
    <d v="2019-11-29T07:07:26"/>
    <s v="arnold"/>
    <d v="2019-11-29T08:46:39"/>
    <s v="03ba184d-2dc9-4564-b38a-7ce65295014b"/>
    <s v="https://www.commcarehq.org/a/demo-18/reports/form_data/03ba184d-2dc9-4564-b38a-7ce65295014b/"/>
  </r>
  <r>
    <x v="4"/>
    <n v="4.8"/>
    <d v="2020-02-14T00:00:00"/>
    <d v="2020-01-15T00:00:00"/>
    <s v="no"/>
    <s v="---"/>
    <s v="---"/>
    <s v="---"/>
    <x v="3"/>
    <s v="no"/>
    <s v="---"/>
    <s v="https://www.commcarehq.org/a/demo-18/api/form/attachment/85a814a4-42f4-49bb-b42b-e028c36dc893/1579079891729.jpg"/>
    <s v="https://www.commcarehq.org/a/demo-18/api/form/attachment/85a814a4-42f4-49bb-b42b-e028c36dc893/1579079908751.jpg"/>
    <s v="https://www.commcarehq.org/a/demo-18/api/form/attachment/85a814a4-42f4-49bb-b42b-e028c36dc893/1579079973379.jpg"/>
    <s v="https://www.commcarehq.org/a/demo-18/api/form/attachment/85a814a4-42f4-49bb-b42b-e028c36dc893/1579079983713.jpg"/>
    <s v="https://www.commcarehq.org/a/demo-18/api/form/attachment/85a814a4-42f4-49bb-b42b-e028c36dc893/1579080011881.jpg"/>
    <s v="https://www.commcarehq.org/a/demo-18/api/form/attachment/85a814a4-42f4-49bb-b42b-e028c36dc893/1579080023122.jpg"/>
    <d v="2020-01-15T09:20:25"/>
    <d v="2020-01-15T09:15:36"/>
    <s v="arnold"/>
    <d v="2020-01-15T09:20:41"/>
    <s v="85a814a4-42f4-49bb-b42b-e028c36dc893"/>
    <s v="https://www.commcarehq.org/a/demo-18/reports/form_data/85a814a4-42f4-49bb-b42b-e028c36dc893/"/>
  </r>
  <r>
    <x v="5"/>
    <n v="8.1"/>
    <d v="2020-02-15T00:00:00"/>
    <d v="2020-01-16T00:00:00"/>
    <s v="no"/>
    <s v="---"/>
    <s v="---"/>
    <s v="---"/>
    <x v="3"/>
    <s v="no"/>
    <s v="---"/>
    <s v="https://www.commcarehq.org/a/demo-18/api/form/attachment/d80f5bc2-699f-44ac-911a-af7c2d11d8be/1579156711703.jpg"/>
    <s v="https://www.commcarehq.org/a/demo-18/api/form/attachment/d80f5bc2-699f-44ac-911a-af7c2d11d8be/1579156726154.jpg"/>
    <s v="https://www.commcarehq.org/a/demo-18/api/form/attachment/d80f5bc2-699f-44ac-911a-af7c2d11d8be/1579156771791.jpg"/>
    <s v="https://www.commcarehq.org/a/demo-18/api/form/attachment/d80f5bc2-699f-44ac-911a-af7c2d11d8be/1579156780973.jpg"/>
    <s v="https://www.commcarehq.org/a/demo-18/api/form/attachment/d80f5bc2-699f-44ac-911a-af7c2d11d8be/1579156795947.jpg"/>
    <s v="https://www.commcarehq.org/a/demo-18/api/form/attachment/d80f5bc2-699f-44ac-911a-af7c2d11d8be/1579156806498.jpg"/>
    <d v="2020-01-16T06:40:08"/>
    <d v="2020-01-16T06:37:50"/>
    <s v="arnold"/>
    <d v="2020-01-16T06:40:29"/>
    <s v="d80f5bc2-699f-44ac-911a-af7c2d11d8be"/>
    <s v="https://www.commcarehq.org/a/demo-18/reports/form_data/d80f5bc2-699f-44ac-911a-af7c2d11d8be/"/>
  </r>
  <r>
    <x v="6"/>
    <n v="8.5"/>
    <d v="2020-03-08T00:00:00"/>
    <d v="2020-02-07T00:00:00"/>
    <s v="no"/>
    <s v="---"/>
    <s v="---"/>
    <s v="---"/>
    <x v="4"/>
    <s v="no"/>
    <s v="---"/>
    <s v="https://www.commcarehq.org/a/demo-18/api/form/attachment/6f9f41c2-f560-4d91-a1ad-758709ce1f08/1581062419139.jpg"/>
    <s v="https://www.commcarehq.org/a/demo-18/api/form/attachment/6f9f41c2-f560-4d91-a1ad-758709ce1f08/1581062436301.jpg"/>
    <s v="https://www.commcarehq.org/a/demo-18/api/form/attachment/6f9f41c2-f560-4d91-a1ad-758709ce1f08/1581062488202.jpg"/>
    <s v="https://www.commcarehq.org/a/demo-18/api/form/attachment/6f9f41c2-f560-4d91-a1ad-758709ce1f08/1581062498618.jpg"/>
    <s v="https://www.commcarehq.org/a/demo-18/api/form/attachment/6f9f41c2-f560-4d91-a1ad-758709ce1f08/1581062519988.jpg"/>
    <s v="https://www.commcarehq.org/a/demo-18/api/form/attachment/6f9f41c2-f560-4d91-a1ad-758709ce1f08/1581062529815.jpg"/>
    <d v="2020-02-07T08:02:11"/>
    <d v="2020-02-07T07:59:31"/>
    <s v="arnold"/>
    <d v="2020-02-07T08:02:49"/>
    <s v="6f9f41c2-f560-4d91-a1ad-758709ce1f08"/>
    <s v="https://www.commcarehq.org/a/demo-18/reports/form_data/6f9f41c2-f560-4d91-a1ad-758709ce1f08/"/>
  </r>
  <r>
    <x v="7"/>
    <n v="6.9"/>
    <d v="2020-02-28T00:00:00"/>
    <d v="2020-01-29T00:00:00"/>
    <s v="no"/>
    <s v="---"/>
    <s v="---"/>
    <s v="---"/>
    <x v="4"/>
    <s v="no"/>
    <s v="---"/>
    <s v="https://www.commcarehq.org/a/demo-18/api/form/attachment/d728ff25-9d85-419b-ad70-ece05f082a8d/1580288361386.jpg"/>
    <s v="https://www.commcarehq.org/a/demo-18/api/form/attachment/d728ff25-9d85-419b-ad70-ece05f082a8d/1580288381847.jpg"/>
    <s v="https://www.commcarehq.org/a/demo-18/api/form/attachment/d728ff25-9d85-419b-ad70-ece05f082a8d/1580288448420.jpg"/>
    <s v="https://www.commcarehq.org/a/demo-18/api/form/attachment/d728ff25-9d85-419b-ad70-ece05f082a8d/1580288457777.jpg"/>
    <s v="https://www.commcarehq.org/a/demo-18/api/form/attachment/d728ff25-9d85-419b-ad70-ece05f082a8d/1580288493540.jpg"/>
    <s v="https://www.commcarehq.org/a/demo-18/api/form/attachment/d728ff25-9d85-419b-ad70-ece05f082a8d/1580288508339.jpg"/>
    <d v="2020-01-29T09:01:50"/>
    <d v="2020-01-29T08:58:36"/>
    <s v="arnold"/>
    <d v="2020-01-29T09:03:35"/>
    <s v="d728ff25-9d85-419b-ad70-ece05f082a8d"/>
    <s v="https://www.commcarehq.org/a/demo-18/reports/form_data/d728ff25-9d85-419b-ad70-ece05f082a8d/"/>
  </r>
  <r>
    <x v="8"/>
    <n v="7.9"/>
    <d v="2020-03-04T00:00:00"/>
    <d v="2020-02-03T00:00:00"/>
    <s v="no"/>
    <s v="---"/>
    <s v="---"/>
    <s v="---"/>
    <x v="0"/>
    <s v="no"/>
    <s v="---"/>
    <s v="https://www.commcarehq.org/a/demo-18/api/form/attachment/c3b552f1-60aa-441d-9331-a31ea3dcc947/1580714245759.jpg"/>
    <s v="https://www.commcarehq.org/a/demo-18/api/form/attachment/c3b552f1-60aa-441d-9331-a31ea3dcc947/1580714262340.jpg"/>
    <s v="https://www.commcarehq.org/a/demo-18/api/form/attachment/c3b552f1-60aa-441d-9331-a31ea3dcc947/1580714312238.jpg"/>
    <s v="https://www.commcarehq.org/a/demo-18/api/form/attachment/c3b552f1-60aa-441d-9331-a31ea3dcc947/1580714322354.jpg"/>
    <s v="https://www.commcarehq.org/a/demo-18/api/form/attachment/c3b552f1-60aa-441d-9331-a31ea3dcc947/1580714339225.jpg"/>
    <s v="https://www.commcarehq.org/a/demo-18/api/form/attachment/c3b552f1-60aa-441d-9331-a31ea3dcc947/1580714348258.jpg"/>
    <d v="2020-02-03T07:19:10"/>
    <d v="2020-02-03T07:16:58"/>
    <s v="arnold"/>
    <d v="2020-02-03T07:19:30"/>
    <s v="c3b552f1-60aa-441d-9331-a31ea3dcc947"/>
    <s v="https://www.commcarehq.org/a/demo-18/reports/form_data/c3b552f1-60aa-441d-9331-a31ea3dcc947/"/>
  </r>
  <r>
    <x v="9"/>
    <n v="6"/>
    <d v="2020-02-22T00:00:00"/>
    <d v="2020-01-23T00:00:00"/>
    <s v="no"/>
    <s v="---"/>
    <s v="---"/>
    <s v="---"/>
    <x v="5"/>
    <s v="no"/>
    <s v="---"/>
    <s v="https://www.commcarehq.org/a/demo-18/api/form/attachment/cc7c3397-0306-4de6-895f-be47deb292f5/1579763119238.jpg"/>
    <s v="https://www.commcarehq.org/a/demo-18/api/form/attachment/cc7c3397-0306-4de6-895f-be47deb292f5/1579763138248.jpg"/>
    <s v="https://www.commcarehq.org/a/demo-18/api/form/attachment/cc7c3397-0306-4de6-895f-be47deb292f5/1579763205908.jpg"/>
    <s v="https://www.commcarehq.org/a/demo-18/api/form/attachment/cc7c3397-0306-4de6-895f-be47deb292f5/1579763215754.jpg"/>
    <s v="https://www.commcarehq.org/a/demo-18/api/form/attachment/cc7c3397-0306-4de6-895f-be47deb292f5/1579763238413.jpg"/>
    <s v="https://www.commcarehq.org/a/demo-18/api/form/attachment/cc7c3397-0306-4de6-895f-be47deb292f5/1579763250126.jpg"/>
    <d v="2020-01-23T07:07:31"/>
    <d v="2020-01-23T07:04:55"/>
    <s v="arnold"/>
    <d v="2020-01-23T08:35:46"/>
    <s v="cc7c3397-0306-4de6-895f-be47deb292f5"/>
    <s v="https://www.commcarehq.org/a/demo-18/reports/form_data/cc7c3397-0306-4de6-895f-be47deb292f5/"/>
  </r>
  <r>
    <x v="10"/>
    <n v="7.3"/>
    <d v="2020-02-26T00:00:00"/>
    <d v="2020-01-27T00:00:00"/>
    <s v="no"/>
    <s v="---"/>
    <s v="---"/>
    <s v="---"/>
    <x v="4"/>
    <s v="no"/>
    <s v="---"/>
    <s v="https://www.commcarehq.org/a/demo-18/api/form/attachment/33827249-7b13-4814-b958-df7b15696187/1580110600699.jpg"/>
    <s v="https://www.commcarehq.org/a/demo-18/api/form/attachment/33827249-7b13-4814-b958-df7b15696187/1580110636301.jpg"/>
    <s v="https://www.commcarehq.org/a/demo-18/api/form/attachment/33827249-7b13-4814-b958-df7b15696187/1580110687476.jpg"/>
    <s v="https://www.commcarehq.org/a/demo-18/api/form/attachment/33827249-7b13-4814-b958-df7b15696187/1580110697139.jpg"/>
    <s v="https://www.commcarehq.org/a/demo-18/api/form/attachment/33827249-7b13-4814-b958-df7b15696187/1580110717836.jpg"/>
    <s v="https://www.commcarehq.org/a/demo-18/api/form/attachment/33827249-7b13-4814-b958-df7b15696187/1580110727506.jpg"/>
    <d v="2020-01-27T07:38:50"/>
    <d v="2020-01-27T07:35:59"/>
    <s v="arnold"/>
    <d v="2020-01-27T07:39:04"/>
    <s v="33827249-7b13-4814-b958-df7b15696187"/>
    <s v="https://www.commcarehq.org/a/demo-18/reports/form_data/33827249-7b13-4814-b958-df7b15696187/"/>
  </r>
  <r>
    <x v="11"/>
    <n v="8.5"/>
    <d v="2020-02-26T00:00:00"/>
    <d v="2020-01-27T00:00:00"/>
    <s v="no"/>
    <s v="---"/>
    <s v="---"/>
    <s v="---"/>
    <x v="4"/>
    <s v="no"/>
    <s v="---"/>
    <s v="https://www.commcarehq.org/a/demo-18/api/form/attachment/5d2fe091-b3d7-4c77-9004-0f7b52e1ec82/1580112513263.jpg"/>
    <s v="https://www.commcarehq.org/a/demo-18/api/form/attachment/5d2fe091-b3d7-4c77-9004-0f7b52e1ec82/1580112542558.jpg"/>
    <s v="https://www.commcarehq.org/a/demo-18/api/form/attachment/5d2fe091-b3d7-4c77-9004-0f7b52e1ec82/1580112587767.jpg"/>
    <s v="https://www.commcarehq.org/a/demo-18/api/form/attachment/5d2fe091-b3d7-4c77-9004-0f7b52e1ec82/1580112597518.jpg"/>
    <s v="https://www.commcarehq.org/a/demo-18/api/form/attachment/5d2fe091-b3d7-4c77-9004-0f7b52e1ec82/1580112613659.jpg"/>
    <s v="https://www.commcarehq.org/a/demo-18/api/form/attachment/5d2fe091-b3d7-4c77-9004-0f7b52e1ec82/1580112623786.jpg"/>
    <d v="2020-01-27T08:10:25"/>
    <d v="2020-01-27T08:07:50"/>
    <s v="arnold"/>
    <d v="2020-01-27T08:10:46"/>
    <s v="5d2fe091-b3d7-4c77-9004-0f7b52e1ec82"/>
    <s v="https://www.commcarehq.org/a/demo-18/reports/form_data/5d2fe091-b3d7-4c77-9004-0f7b52e1ec82/"/>
  </r>
  <r>
    <x v="12"/>
    <n v="7"/>
    <d v="2020-03-11T00:00:00"/>
    <d v="2020-02-10T00:00:00"/>
    <s v="no"/>
    <s v="---"/>
    <s v="---"/>
    <s v="---"/>
    <x v="4"/>
    <s v="no"/>
    <s v="---"/>
    <s v="https://www.commcarehq.org/a/demo-18/api/form/attachment/0fc1fd0d-8ea0-48ab-89cb-f8ef24e6eea5/1581328716455.jpg"/>
    <s v="https://www.commcarehq.org/a/demo-18/api/form/attachment/0fc1fd0d-8ea0-48ab-89cb-f8ef24e6eea5/1581328736892.jpg"/>
    <s v="https://www.commcarehq.org/a/demo-18/api/form/attachment/0fc1fd0d-8ea0-48ab-89cb-f8ef24e6eea5/1581328843245.jpg"/>
    <s v="https://www.commcarehq.org/a/demo-18/api/form/attachment/0fc1fd0d-8ea0-48ab-89cb-f8ef24e6eea5/1581328850927.jpg"/>
    <s v="https://www.commcarehq.org/a/demo-18/api/form/attachment/0fc1fd0d-8ea0-48ab-89cb-f8ef24e6eea5/1581328869803.jpg"/>
    <s v="https://www.commcarehq.org/a/demo-18/api/form/attachment/0fc1fd0d-8ea0-48ab-89cb-f8ef24e6eea5/1581328879481.jpg"/>
    <d v="2020-02-10T10:01:22"/>
    <d v="2020-02-10T09:58:03"/>
    <s v="arnold"/>
    <d v="2020-02-10T10:01:43"/>
    <s v="0fc1fd0d-8ea0-48ab-89cb-f8ef24e6eea5"/>
    <s v="https://www.commcarehq.org/a/demo-18/reports/form_data/0fc1fd0d-8ea0-48ab-89cb-f8ef24e6eea5/"/>
  </r>
  <r>
    <x v="13"/>
    <n v="8"/>
    <d v="2020-03-25T00:00:00"/>
    <d v="2020-02-24T00:00:00"/>
    <s v="yes"/>
    <s v="card_was_severely_damaged"/>
    <s v="search"/>
    <s v="clinic_shortage"/>
    <x v="6"/>
    <s v="yes"/>
    <s v="a_new_under_five_card_was_issued"/>
    <s v="https://www.commcarehq.org/a/demo-18/api/form/attachment/fa404d60-6f6d-4e65-849e-b9583cdbe831/1582536266522.jpg"/>
    <s v="https://www.commcarehq.org/a/demo-18/api/form/attachment/fa404d60-6f6d-4e65-849e-b9583cdbe831/1582536286337.jpg"/>
    <s v="https://www.commcarehq.org/a/demo-18/api/form/attachment/fa404d60-6f6d-4e65-849e-b9583cdbe831/1582536312288.jpg"/>
    <s v="https://www.commcarehq.org/a/demo-18/api/form/attachment/fa404d60-6f6d-4e65-849e-b9583cdbe831/1582536320222.jpg"/>
    <s v="https://www.commcarehq.org/a/demo-18/api/form/attachment/fa404d60-6f6d-4e65-849e-b9583cdbe831/1582536373896.jpg"/>
    <s v="https://www.commcarehq.org/a/demo-18/api/form/attachment/fa404d60-6f6d-4e65-849e-b9583cdbe831/1582536383471.jpg"/>
    <d v="2020-02-24T09:26:25"/>
    <d v="2020-02-24T09:22:25"/>
    <s v="arnold"/>
    <d v="2020-02-24T09:26:49"/>
    <s v="fa404d60-6f6d-4e65-849e-b9583cdbe831"/>
    <s v="https://www.commcarehq.org/a/demo-18/reports/form_data/fa404d60-6f6d-4e65-849e-b9583cdbe831/"/>
  </r>
  <r>
    <x v="14"/>
    <n v="8.1999999999999993"/>
    <d v="2020-03-15T00:00:00"/>
    <d v="2020-02-14T00:00:00"/>
    <s v="no"/>
    <s v="---"/>
    <s v="---"/>
    <s v="---"/>
    <x v="4"/>
    <s v="no"/>
    <s v="---"/>
    <s v="https://www.commcarehq.org/a/demo-18/api/form/attachment/82a55fd7-7701-46e5-ac4c-a7d45311fb4b/1581672016886.jpg"/>
    <s v="https://www.commcarehq.org/a/demo-18/api/form/attachment/82a55fd7-7701-46e5-ac4c-a7d45311fb4b/1581672030462.jpg"/>
    <s v="https://www.commcarehq.org/a/demo-18/api/form/attachment/82a55fd7-7701-46e5-ac4c-a7d45311fb4b/1581672060203.jpg"/>
    <s v="https://www.commcarehq.org/a/demo-18/api/form/attachment/82a55fd7-7701-46e5-ac4c-a7d45311fb4b/1581672068883.jpg"/>
    <s v="https://www.commcarehq.org/a/demo-18/api/form/attachment/82a55fd7-7701-46e5-ac4c-a7d45311fb4b/1581672086597.jpg"/>
    <s v="https://www.commcarehq.org/a/demo-18/api/form/attachment/82a55fd7-7701-46e5-ac4c-a7d45311fb4b/1581672096534.jpg"/>
    <d v="2020-02-14T09:21:38"/>
    <d v="2020-02-14T09:19:41"/>
    <s v="arnold"/>
    <d v="2020-02-14T09:22:02"/>
    <s v="82a55fd7-7701-46e5-ac4c-a7d45311fb4b"/>
    <s v="https://www.commcarehq.org/a/demo-18/reports/form_data/82a55fd7-7701-46e5-ac4c-a7d45311fb4b/"/>
  </r>
  <r>
    <x v="15"/>
    <n v="8.1999999999999993"/>
    <d v="2020-06-21T00:00:00"/>
    <d v="2020-05-22T00:00:00"/>
    <s v="no"/>
    <s v="---"/>
    <s v="---"/>
    <s v="---"/>
    <x v="7"/>
    <s v="no"/>
    <s v="---"/>
    <s v="https://www.commcarehq.org/a/demo-18/api/form/attachment/91c14cd3-eae7-4d99-9169-968657224bd3/1590128686591.jpg"/>
    <s v="https://www.commcarehq.org/a/demo-18/api/form/attachment/91c14cd3-eae7-4d99-9169-968657224bd3/1590128701983.jpg"/>
    <s v="https://www.commcarehq.org/a/demo-18/api/form/attachment/91c14cd3-eae7-4d99-9169-968657224bd3/1590128772843.jpg"/>
    <s v="https://www.commcarehq.org/a/demo-18/api/form/attachment/91c14cd3-eae7-4d99-9169-968657224bd3/1590128785397.jpg"/>
    <s v="https://www.commcarehq.org/a/demo-18/api/form/attachment/91c14cd3-eae7-4d99-9169-968657224bd3/1590128799708.jpg"/>
    <s v="https://www.commcarehq.org/a/demo-18/api/form/attachment/91c14cd3-eae7-4d99-9169-968657224bd3/1590128809188.jpg"/>
    <d v="2020-05-22T06:26:55"/>
    <d v="2020-05-22T06:24:02"/>
    <s v="arnold"/>
    <d v="2020-05-22T06:27:15"/>
    <s v="91c14cd3-eae7-4d99-9169-968657224bd3"/>
    <s v="https://www.commcarehq.org/a/demo-18/reports/form_data/91c14cd3-eae7-4d99-9169-968657224bd3/"/>
  </r>
  <r>
    <x v="16"/>
    <n v="7.1"/>
    <d v="2020-06-21T00:00:00"/>
    <d v="2020-05-22T00:00:00"/>
    <s v="no"/>
    <s v="---"/>
    <s v="---"/>
    <s v="---"/>
    <x v="4"/>
    <s v="no"/>
    <s v="---"/>
    <s v="https://www.commcarehq.org/a/demo-18/api/form/attachment/9cb5da21-a782-443a-9715-0c475a59b446/1590132187103.jpg"/>
    <s v="https://www.commcarehq.org/a/demo-18/api/form/attachment/9cb5da21-a782-443a-9715-0c475a59b446/1590132207235.jpg"/>
    <s v="https://www.commcarehq.org/a/demo-18/api/form/attachment/9cb5da21-a782-443a-9715-0c475a59b446/1590132238658.jpg"/>
    <s v="https://www.commcarehq.org/a/demo-18/api/form/attachment/9cb5da21-a782-443a-9715-0c475a59b446/1590132248335.jpg"/>
    <s v="https://www.commcarehq.org/a/demo-18/api/form/attachment/9cb5da21-a782-443a-9715-0c475a59b446/1590132263108.jpg"/>
    <s v="https://www.commcarehq.org/a/demo-18/api/form/attachment/9cb5da21-a782-443a-9715-0c475a59b446/1590132272327.jpg"/>
    <d v="2020-05-22T07:24:34"/>
    <d v="2020-05-22T07:22:41"/>
    <s v="arnold"/>
    <d v="2020-05-22T07:24:56"/>
    <s v="9cb5da21-a782-443a-9715-0c475a59b446"/>
    <s v="https://www.commcarehq.org/a/demo-18/reports/form_data/9cb5da21-a782-443a-9715-0c475a59b446/"/>
  </r>
  <r>
    <x v="17"/>
    <n v="6.5"/>
    <d v="2020-06-14T00:00:00"/>
    <d v="2020-05-15T00:00:00"/>
    <s v="no"/>
    <s v="---"/>
    <s v="---"/>
    <s v="---"/>
    <x v="8"/>
    <s v="no"/>
    <s v="---"/>
    <s v="https://www.commcarehq.org/a/demo-18/api/form/attachment/92302752-62b0-4efc-99fa-a560f017cf3a/1589523367958.jpg"/>
    <s v="https://www.commcarehq.org/a/demo-18/api/form/attachment/92302752-62b0-4efc-99fa-a560f017cf3a/1589523383822.jpg"/>
    <s v="https://www.commcarehq.org/a/demo-18/api/form/attachment/92302752-62b0-4efc-99fa-a560f017cf3a/1589523451299.jpg"/>
    <s v="https://www.commcarehq.org/a/demo-18/api/form/attachment/92302752-62b0-4efc-99fa-a560f017cf3a/1589523459996.jpg"/>
    <s v="https://www.commcarehq.org/a/demo-18/api/form/attachment/92302752-62b0-4efc-99fa-a560f017cf3a/1589523487594.jpg"/>
    <s v="https://www.commcarehq.org/a/demo-18/api/form/attachment/92302752-62b0-4efc-99fa-a560f017cf3a/1589523501756.jpg"/>
    <d v="2020-05-15T06:18:23"/>
    <d v="2020-05-15T06:15:17"/>
    <s v="arnold"/>
    <d v="2020-05-15T07:10:15"/>
    <s v="92302752-62b0-4efc-99fa-a560f017cf3a"/>
    <s v="https://www.commcarehq.org/a/demo-18/reports/form_data/92302752-62b0-4efc-99fa-a560f017cf3a/"/>
  </r>
  <r>
    <x v="18"/>
    <n v="7.1"/>
    <d v="2020-06-14T00:00:00"/>
    <d v="2020-05-15T00:00:00"/>
    <s v="no"/>
    <s v="---"/>
    <s v="---"/>
    <s v="---"/>
    <x v="7"/>
    <s v="no"/>
    <s v="---"/>
    <s v="https://www.commcarehq.org/a/demo-18/api/form/attachment/facef337-da87-49a3-9e59-8cfcb8e4c7d7/1589528533054.jpg"/>
    <s v="https://www.commcarehq.org/a/demo-18/api/form/attachment/facef337-da87-49a3-9e59-8cfcb8e4c7d7/1589528547672.jpg"/>
    <s v="https://www.commcarehq.org/a/demo-18/api/form/attachment/facef337-da87-49a3-9e59-8cfcb8e4c7d7/1589528648617.jpg"/>
    <s v="https://www.commcarehq.org/a/demo-18/api/form/attachment/facef337-da87-49a3-9e59-8cfcb8e4c7d7/1589528658312.jpg"/>
    <s v="https://www.commcarehq.org/a/demo-18/api/form/attachment/facef337-da87-49a3-9e59-8cfcb8e4c7d7/1589528676339.jpg"/>
    <s v="https://www.commcarehq.org/a/demo-18/api/form/attachment/facef337-da87-49a3-9e59-8cfcb8e4c7d7/1589528684124.jpg"/>
    <d v="2020-05-15T07:44:45"/>
    <d v="2020-05-15T07:40:57"/>
    <s v="arnold"/>
    <d v="2020-05-15T07:45:20"/>
    <s v="facef337-da87-49a3-9e59-8cfcb8e4c7d7"/>
    <s v="https://www.commcarehq.org/a/demo-18/reports/form_data/facef337-da87-49a3-9e59-8cfcb8e4c7d7/"/>
  </r>
  <r>
    <x v="19"/>
    <n v="5.9"/>
    <d v="2020-07-08T00:00:00"/>
    <d v="2019-12-09T00:00:00"/>
    <s v="no"/>
    <s v="---"/>
    <s v="---"/>
    <s v="---"/>
    <x v="8"/>
    <s v="no"/>
    <s v="---"/>
    <s v="https://www.commcarehq.org/a/demo-18/api/form/attachment/13bf22c4-9ef4-4094-90c9-d5d1f4047516/1591598258927.jpg"/>
    <s v="https://www.commcarehq.org/a/demo-18/api/form/attachment/13bf22c4-9ef4-4094-90c9-d5d1f4047516/1591598282892.jpg"/>
    <s v="https://www.commcarehq.org/a/demo-18/api/form/attachment/13bf22c4-9ef4-4094-90c9-d5d1f4047516/1591598318602.jpg"/>
    <s v="https://www.commcarehq.org/a/demo-18/api/form/attachment/13bf22c4-9ef4-4094-90c9-d5d1f4047516/1591598328019.jpg"/>
    <s v="https://www.commcarehq.org/a/demo-18/api/form/attachment/13bf22c4-9ef4-4094-90c9-d5d1f4047516/1591598342730.jpg"/>
    <s v="https://www.commcarehq.org/a/demo-18/api/form/attachment/13bf22c4-9ef4-4094-90c9-d5d1f4047516/1591598351289.jpg"/>
    <d v="2020-06-08T06:39:12"/>
    <d v="2020-06-08T06:36:34"/>
    <s v="arnold"/>
    <d v="2020-06-08T06:40:39"/>
    <s v="13bf22c4-9ef4-4094-90c9-d5d1f4047516"/>
    <s v="https://www.commcarehq.org/a/demo-18/reports/form_data/13bf22c4-9ef4-4094-90c9-d5d1f4047516/"/>
  </r>
  <r>
    <x v="20"/>
    <n v="7.2"/>
    <d v="2020-07-08T00:00:00"/>
    <d v="2020-06-08T00:00:00"/>
    <s v="no"/>
    <s v="---"/>
    <s v="---"/>
    <s v="---"/>
    <x v="8"/>
    <s v="no"/>
    <s v="---"/>
    <s v="https://www.commcarehq.org/a/demo-18/api/form/attachment/a2924310-dc81-4d35-b3a7-2f247b19d1a0/1591599630461.jpg"/>
    <s v="https://www.commcarehq.org/a/demo-18/api/form/attachment/a2924310-dc81-4d35-b3a7-2f247b19d1a0/1591599645497.jpg"/>
    <s v="https://www.commcarehq.org/a/demo-18/api/form/attachment/a2924310-dc81-4d35-b3a7-2f247b19d1a0/1591599732834.jpg"/>
    <s v="https://www.commcarehq.org/a/demo-18/api/form/attachment/a2924310-dc81-4d35-b3a7-2f247b19d1a0/1591599742168.jpg"/>
    <s v="https://www.commcarehq.org/a/demo-18/api/form/attachment/a2924310-dc81-4d35-b3a7-2f247b19d1a0/1591599792631.jpg"/>
    <s v="https://www.commcarehq.org/a/demo-18/api/form/attachment/a2924310-dc81-4d35-b3a7-2f247b19d1a0/1591599803862.jpg"/>
    <d v="2020-06-08T07:03:25"/>
    <d v="2020-06-08T06:59:49"/>
    <s v="arnold"/>
    <d v="2020-06-08T07:04:46"/>
    <s v="a2924310-dc81-4d35-b3a7-2f247b19d1a0"/>
    <s v="https://www.commcarehq.org/a/demo-18/reports/form_data/a2924310-dc81-4d35-b3a7-2f247b19d1a0/"/>
  </r>
  <r>
    <x v="21"/>
    <n v="7"/>
    <d v="2020-03-08T00:00:00"/>
    <d v="2020-02-07T00:00:00"/>
    <s v="no"/>
    <s v="---"/>
    <s v="---"/>
    <s v="---"/>
    <x v="9"/>
    <s v="no"/>
    <s v="---"/>
    <s v="https://www.commcarehq.org/a/demo-18/api/form/attachment/08208155-9cd6-464f-b59e-d8094e351039/1581062893070.jpg"/>
    <s v="https://www.commcarehq.org/a/demo-18/api/form/attachment/08208155-9cd6-464f-b59e-d8094e351039/1581062908908.jpg"/>
    <s v="https://www.commcarehq.org/a/demo-18/api/form/attachment/08208155-9cd6-464f-b59e-d8094e351039/1581062967929.jpg"/>
    <s v="https://www.commcarehq.org/a/demo-18/api/form/attachment/08208155-9cd6-464f-b59e-d8094e351039/1581062979647.jpg"/>
    <s v="https://www.commcarehq.org/a/demo-18/api/form/attachment/08208155-9cd6-464f-b59e-d8094e351039/1581063000634.jpg"/>
    <s v="https://www.commcarehq.org/a/demo-18/api/form/attachment/08208155-9cd6-464f-b59e-d8094e351039/1581063009654.jpg"/>
    <d v="2020-02-07T08:10:12"/>
    <d v="2020-02-07T08:07:44"/>
    <s v="arnold"/>
    <d v="2020-02-07T08:10:36"/>
    <s v="08208155-9cd6-464f-b59e-d8094e351039"/>
    <s v="https://www.commcarehq.org/a/demo-18/reports/form_data/08208155-9cd6-464f-b59e-d8094e351039/"/>
  </r>
  <r>
    <x v="22"/>
    <n v="8.1999999999999993"/>
    <d v="2020-03-11T00:00:00"/>
    <d v="2020-02-10T00:00:00"/>
    <s v="no"/>
    <s v="---"/>
    <s v="---"/>
    <s v="---"/>
    <x v="8"/>
    <s v="no"/>
    <s v="---"/>
    <s v="https://www.commcarehq.org/a/demo-18/api/form/attachment/eb5f7188-6f3f-44ee-bebd-0fb30f643280/1581326611679.jpg"/>
    <s v="https://www.commcarehq.org/a/demo-18/api/form/attachment/eb5f7188-6f3f-44ee-bebd-0fb30f643280/1581326628195.jpg"/>
    <s v="https://www.commcarehq.org/a/demo-18/api/form/attachment/eb5f7188-6f3f-44ee-bebd-0fb30f643280/1581326678213.jpg"/>
    <s v="https://www.commcarehq.org/a/demo-18/api/form/attachment/eb5f7188-6f3f-44ee-bebd-0fb30f643280/1581326686799.jpg"/>
    <s v="https://www.commcarehq.org/a/demo-18/api/form/attachment/eb5f7188-6f3f-44ee-bebd-0fb30f643280/1581326698531.jpg"/>
    <s v="https://www.commcarehq.org/a/demo-18/api/form/attachment/eb5f7188-6f3f-44ee-bebd-0fb30f643280/1581326706618.jpg"/>
    <d v="2020-02-10T09:25:08"/>
    <d v="2020-02-10T09:22:56"/>
    <s v="arnold"/>
    <d v="2020-02-10T09:25:35"/>
    <s v="eb5f7188-6f3f-44ee-bebd-0fb30f643280"/>
    <s v="https://www.commcarehq.org/a/demo-18/reports/form_data/eb5f7188-6f3f-44ee-bebd-0fb30f643280/"/>
  </r>
  <r>
    <x v="23"/>
    <n v="7.1"/>
    <d v="2020-03-08T00:00:00"/>
    <d v="2020-02-07T00:00:00"/>
    <s v="no"/>
    <s v="---"/>
    <s v="---"/>
    <s v="---"/>
    <x v="9"/>
    <s v="no"/>
    <s v="---"/>
    <s v="https://www.commcarehq.org/a/demo-18/api/form/attachment/8cc3d570-0cd8-4b53-a23d-afbf6222ca25/1581058856393.jpg"/>
    <s v="https://www.commcarehq.org/a/demo-18/api/form/attachment/8cc3d570-0cd8-4b53-a23d-afbf6222ca25/1581058869593.jpg"/>
    <s v="https://www.commcarehq.org/a/demo-18/api/form/attachment/8cc3d570-0cd8-4b53-a23d-afbf6222ca25/1581058901881.jpg"/>
    <s v="https://www.commcarehq.org/a/demo-18/api/form/attachment/8cc3d570-0cd8-4b53-a23d-afbf6222ca25/1581058919859.jpg"/>
    <s v="https://www.commcarehq.org/a/demo-18/api/form/attachment/8cc3d570-0cd8-4b53-a23d-afbf6222ca25/1581058937734.jpg"/>
    <s v="https://www.commcarehq.org/a/demo-18/api/form/attachment/8cc3d570-0cd8-4b53-a23d-afbf6222ca25/1581058948117.jpg"/>
    <d v="2020-02-07T07:02:29"/>
    <d v="2020-02-07T06:57:11"/>
    <s v="arnold"/>
    <d v="2020-02-07T07:02:53"/>
    <s v="8cc3d570-0cd8-4b53-a23d-afbf6222ca25"/>
    <s v="https://www.commcarehq.org/a/demo-18/reports/form_data/8cc3d570-0cd8-4b53-a23d-afbf6222ca25/"/>
  </r>
  <r>
    <x v="24"/>
    <n v="7.8"/>
    <d v="2020-02-05T00:00:00"/>
    <d v="2020-01-06T00:00:00"/>
    <s v="no"/>
    <s v="---"/>
    <s v="---"/>
    <s v="---"/>
    <x v="10"/>
    <s v="no"/>
    <s v="---"/>
    <s v="https://www.commcarehq.org/a/demo-18/api/form/attachment/90741b47-86b9-42bc-8716-de684238e16f/1578300006379.jpg"/>
    <s v="https://www.commcarehq.org/a/demo-18/api/form/attachment/90741b47-86b9-42bc-8716-de684238e16f/1578300027920.jpg"/>
    <s v="https://www.commcarehq.org/a/demo-18/api/form/attachment/90741b47-86b9-42bc-8716-de684238e16f/1578300120908.jpg"/>
    <s v="https://www.commcarehq.org/a/demo-18/api/form/attachment/90741b47-86b9-42bc-8716-de684238e16f/1578300133256.jpg"/>
    <s v="https://www.commcarehq.org/a/demo-18/api/form/attachment/90741b47-86b9-42bc-8716-de684238e16f/1578300233705.jpg"/>
    <s v="https://www.commcarehq.org/a/demo-18/api/form/attachment/90741b47-86b9-42bc-8716-de684238e16f/1578300255694.jpg"/>
    <d v="2020-01-06T08:44:27"/>
    <d v="2020-01-06T08:38:57"/>
    <s v="arnold"/>
    <d v="2020-01-06T08:45:20"/>
    <s v="90741b47-86b9-42bc-8716-de684238e16f"/>
    <s v="https://www.commcarehq.org/a/demo-18/reports/form_data/90741b47-86b9-42bc-8716-de684238e16f/"/>
  </r>
  <r>
    <x v="25"/>
    <n v="9"/>
    <d v="2020-01-29T00:00:00"/>
    <d v="2019-12-30T00:00:00"/>
    <s v="no"/>
    <s v="---"/>
    <s v="---"/>
    <s v="---"/>
    <x v="9"/>
    <s v="no"/>
    <s v="---"/>
    <s v="https://www.commcarehq.org/a/demo-18/api/form/attachment/018ffdd7-5e6f-4bde-898d-563a800e35b3/1577697420945.jpg"/>
    <s v="https://www.commcarehq.org/a/demo-18/api/form/attachment/018ffdd7-5e6f-4bde-898d-563a800e35b3/1577697455195.jpg"/>
    <s v="https://www.commcarehq.org/a/demo-18/api/form/attachment/018ffdd7-5e6f-4bde-898d-563a800e35b3/1577697629676.jpg"/>
    <s v="https://www.commcarehq.org/a/demo-18/api/form/attachment/018ffdd7-5e6f-4bde-898d-563a800e35b3/1577697639165.jpg"/>
    <s v="https://www.commcarehq.org/a/demo-18/api/form/attachment/018ffdd7-5e6f-4bde-898d-563a800e35b3/1577697660758.jpg"/>
    <s v="https://www.commcarehq.org/a/demo-18/api/form/attachment/018ffdd7-5e6f-4bde-898d-563a800e35b3/1577697670870.jpg"/>
    <d v="2019-12-30T09:21:13"/>
    <d v="2019-12-30T09:15:38"/>
    <s v="arnold"/>
    <d v="2019-12-31T04:31:42"/>
    <s v="018ffdd7-5e6f-4bde-898d-563a800e35b3"/>
    <s v="https://www.commcarehq.org/a/demo-18/reports/form_data/018ffdd7-5e6f-4bde-898d-563a800e35b3/"/>
  </r>
  <r>
    <x v="26"/>
    <n v="7.2"/>
    <d v="2020-02-07T00:00:00"/>
    <d v="2020-01-08T00:00:00"/>
    <s v="no"/>
    <s v="---"/>
    <s v="---"/>
    <s v="---"/>
    <x v="2"/>
    <s v="no"/>
    <s v="---"/>
    <s v="https://www.commcarehq.org/a/demo-18/api/form/attachment/8b204a3b-149c-4bd9-a93f-163be5537416/1578467773389.jpg"/>
    <s v="https://www.commcarehq.org/a/demo-18/api/form/attachment/8b204a3b-149c-4bd9-a93f-163be5537416/1578467795056.jpg"/>
    <s v="https://www.commcarehq.org/a/demo-18/api/form/attachment/8b204a3b-149c-4bd9-a93f-163be5537416/1578467840796.jpg"/>
    <s v="https://www.commcarehq.org/a/demo-18/api/form/attachment/8b204a3b-149c-4bd9-a93f-163be5537416/1578467853605.jpg"/>
    <s v="https://www.commcarehq.org/a/demo-18/api/form/attachment/8b204a3b-149c-4bd9-a93f-163be5537416/1578467874185.jpg"/>
    <s v="https://www.commcarehq.org/a/demo-18/api/form/attachment/8b204a3b-149c-4bd9-a93f-163be5537416/1578467885533.jpg"/>
    <d v="2020-01-08T07:18:07"/>
    <d v="2020-01-08T07:15:36"/>
    <s v="arnold"/>
    <d v="2020-01-08T07:18:26"/>
    <s v="8b204a3b-149c-4bd9-a93f-163be5537416"/>
    <s v="https://www.commcarehq.org/a/demo-18/reports/form_data/8b204a3b-149c-4bd9-a93f-163be5537416/"/>
  </r>
  <r>
    <x v="27"/>
    <n v="6.8"/>
    <d v="2020-02-22T00:00:00"/>
    <d v="2020-01-23T00:00:00"/>
    <s v="no"/>
    <s v="---"/>
    <s v="---"/>
    <s v="---"/>
    <x v="3"/>
    <s v="no"/>
    <s v="---"/>
    <s v="https://www.commcarehq.org/a/demo-18/api/form/attachment/45c272ba-a1ae-4aef-ad63-8b2d64bd2d87/1579760697830.jpg"/>
    <s v="https://www.commcarehq.org/a/demo-18/api/form/attachment/45c272ba-a1ae-4aef-ad63-8b2d64bd2d87/1579760714353.jpg"/>
    <s v="https://www.commcarehq.org/a/demo-18/api/form/attachment/45c272ba-a1ae-4aef-ad63-8b2d64bd2d87/1579760747358.jpg"/>
    <s v="https://www.commcarehq.org/a/demo-18/api/form/attachment/45c272ba-a1ae-4aef-ad63-8b2d64bd2d87/1579760758678.jpg"/>
    <s v="https://www.commcarehq.org/a/demo-18/api/form/attachment/45c272ba-a1ae-4aef-ad63-8b2d64bd2d87/1579760793100.jpg"/>
    <s v="https://www.commcarehq.org/a/demo-18/api/form/attachment/45c272ba-a1ae-4aef-ad63-8b2d64bd2d87/1579760806267.jpg"/>
    <d v="2020-01-23T06:26:48"/>
    <d v="2020-01-23T06:24:12"/>
    <s v="arnold"/>
    <d v="2020-01-23T08:33:15"/>
    <s v="45c272ba-a1ae-4aef-ad63-8b2d64bd2d87"/>
    <s v="https://www.commcarehq.org/a/demo-18/reports/form_data/45c272ba-a1ae-4aef-ad63-8b2d64bd2d87/"/>
  </r>
  <r>
    <x v="28"/>
    <n v="7.1"/>
    <d v="2020-02-26T00:00:00"/>
    <d v="2020-01-27T00:00:00"/>
    <s v="no"/>
    <s v="---"/>
    <s v="---"/>
    <s v="---"/>
    <x v="11"/>
    <s v="no"/>
    <s v="---"/>
    <s v="https://www.commcarehq.org/a/demo-18/api/form/attachment/ed09e7c8-dc89-4f17-a965-c55ab3fe8388/1580105960676.jpg"/>
    <s v="https://www.commcarehq.org/a/demo-18/api/form/attachment/ed09e7c8-dc89-4f17-a965-c55ab3fe8388/1580105984584.jpg"/>
    <s v="https://www.commcarehq.org/a/demo-18/api/form/attachment/ed09e7c8-dc89-4f17-a965-c55ab3fe8388/1580106020992.jpg"/>
    <s v="https://www.commcarehq.org/a/demo-18/api/form/attachment/ed09e7c8-dc89-4f17-a965-c55ab3fe8388/1580106031829.jpg"/>
    <s v="https://www.commcarehq.org/a/demo-18/api/form/attachment/ed09e7c8-dc89-4f17-a965-c55ab3fe8388/1580106045970.jpg"/>
    <s v="https://www.commcarehq.org/a/demo-18/api/form/attachment/ed09e7c8-dc89-4f17-a965-c55ab3fe8388/1580106056237.jpg"/>
    <d v="2020-01-27T06:21:00"/>
    <d v="2020-01-27T06:18:14"/>
    <s v="arnold"/>
    <d v="2020-01-27T06:21:18"/>
    <s v="ed09e7c8-dc89-4f17-a965-c55ab3fe8388"/>
    <s v="https://www.commcarehq.org/a/demo-18/reports/form_data/ed09e7c8-dc89-4f17-a965-c55ab3fe8388/"/>
  </r>
  <r>
    <x v="29"/>
    <n v="7.8"/>
    <d v="2020-02-26T00:00:00"/>
    <d v="2020-01-27T00:00:00"/>
    <s v="no"/>
    <s v="---"/>
    <s v="---"/>
    <s v="---"/>
    <x v="4"/>
    <s v="no"/>
    <s v="---"/>
    <s v="https://www.commcarehq.org/a/demo-18/api/form/attachment/ef6520a8-1474-4222-8ee9-7a10008a609e/1580111371832.jpg"/>
    <s v="https://www.commcarehq.org/a/demo-18/api/form/attachment/ef6520a8-1474-4222-8ee9-7a10008a609e/1580111389083.jpg"/>
    <s v="https://www.commcarehq.org/a/demo-18/api/form/attachment/ef6520a8-1474-4222-8ee9-7a10008a609e/1580111500686.jpg"/>
    <s v="https://www.commcarehq.org/a/demo-18/api/form/attachment/ef6520a8-1474-4222-8ee9-7a10008a609e/1580111510066.jpg"/>
    <s v="https://www.commcarehq.org/a/demo-18/api/form/attachment/ef6520a8-1474-4222-8ee9-7a10008a609e/1580111523735.jpg"/>
    <s v="https://www.commcarehq.org/a/demo-18/api/form/attachment/ef6520a8-1474-4222-8ee9-7a10008a609e/1580111533062.jpg"/>
    <d v="2020-01-27T07:52:18"/>
    <d v="2020-01-27T07:48:57"/>
    <s v="arnold"/>
    <d v="2020-01-27T07:52:37"/>
    <s v="ef6520a8-1474-4222-8ee9-7a10008a609e"/>
    <s v="https://www.commcarehq.org/a/demo-18/reports/form_data/ef6520a8-1474-4222-8ee9-7a10008a609e/"/>
  </r>
  <r>
    <x v="30"/>
    <n v="8.3000000000000007"/>
    <d v="2020-02-21T00:00:00"/>
    <d v="2020-01-22T00:00:00"/>
    <s v="no"/>
    <s v="---"/>
    <s v="---"/>
    <s v="---"/>
    <x v="1"/>
    <s v="no"/>
    <s v="---"/>
    <s v="https://www.commcarehq.org/a/demo-18/api/form/attachment/91e5b131-5568-48da-a47d-cbe83ad9b036/1579677168584.jpg"/>
    <s v="https://www.commcarehq.org/a/demo-18/api/form/attachment/91e5b131-5568-48da-a47d-cbe83ad9b036/1579677180296.jpg"/>
    <s v="https://www.commcarehq.org/a/demo-18/api/form/attachment/91e5b131-5568-48da-a47d-cbe83ad9b036/1579677237175.jpg"/>
    <s v="https://www.commcarehq.org/a/demo-18/api/form/attachment/91e5b131-5568-48da-a47d-cbe83ad9b036/1579677248983.jpg"/>
    <s v="https://www.commcarehq.org/a/demo-18/api/form/attachment/91e5b131-5568-48da-a47d-cbe83ad9b036/1579677262148.jpg"/>
    <s v="https://www.commcarehq.org/a/demo-18/api/form/attachment/91e5b131-5568-48da-a47d-cbe83ad9b036/1579677271271.jpg"/>
    <d v="2020-01-22T07:14:33"/>
    <d v="2020-01-22T07:11:58"/>
    <s v="arnold"/>
    <d v="2020-01-22T07:16:08"/>
    <s v="91e5b131-5568-48da-a47d-cbe83ad9b036"/>
    <s v="https://www.commcarehq.org/a/demo-18/reports/form_data/91e5b131-5568-48da-a47d-cbe83ad9b036/"/>
  </r>
  <r>
    <x v="31"/>
    <n v="6.9"/>
    <d v="2020-02-21T00:00:00"/>
    <d v="2020-01-22T00:00:00"/>
    <s v="no"/>
    <s v="---"/>
    <s v="---"/>
    <s v="---"/>
    <x v="11"/>
    <s v="no"/>
    <s v="---"/>
    <s v="https://www.commcarehq.org/a/demo-18/api/form/attachment/5671040a-e003-49d4-befd-5c2505f7cb2f/1579677537410.jpg"/>
    <s v="https://www.commcarehq.org/a/demo-18/api/form/attachment/5671040a-e003-49d4-befd-5c2505f7cb2f/1579677550812.jpg"/>
    <s v="https://www.commcarehq.org/a/demo-18/api/form/attachment/5671040a-e003-49d4-befd-5c2505f7cb2f/1579677592231.jpg"/>
    <s v="https://www.commcarehq.org/a/demo-18/api/form/attachment/5671040a-e003-49d4-befd-5c2505f7cb2f/1579677602031.jpg"/>
    <s v="https://www.commcarehq.org/a/demo-18/api/form/attachment/5671040a-e003-49d4-befd-5c2505f7cb2f/1579677618326.jpg"/>
    <s v="https://www.commcarehq.org/a/demo-18/api/form/attachment/5671040a-e003-49d4-befd-5c2505f7cb2f/1579677628835.jpg"/>
    <d v="2020-01-22T07:20:30"/>
    <d v="2020-01-22T07:17:41"/>
    <s v="arnold"/>
    <d v="2020-01-22T07:20:50"/>
    <s v="5671040a-e003-49d4-befd-5c2505f7cb2f"/>
    <s v="https://www.commcarehq.org/a/demo-18/reports/form_data/5671040a-e003-49d4-befd-5c2505f7cb2f/"/>
  </r>
  <r>
    <x v="32"/>
    <n v="7.5"/>
    <d v="2020-02-14T00:00:00"/>
    <d v="2020-01-15T00:00:00"/>
    <s v="no"/>
    <s v="---"/>
    <s v="---"/>
    <s v="---"/>
    <x v="9"/>
    <s v="no"/>
    <s v="---"/>
    <s v="https://www.commcarehq.org/a/demo-18/api/form/attachment/ac6439b6-23fb-444f-8551-e55dde9ce736/1579081095436.jpg"/>
    <s v="https://www.commcarehq.org/a/demo-18/api/form/attachment/ac6439b6-23fb-444f-8551-e55dde9ce736/1579081112542.jpg"/>
    <s v="https://www.commcarehq.org/a/demo-18/api/form/attachment/ac6439b6-23fb-444f-8551-e55dde9ce736/1579081277779.jpg"/>
    <s v="https://www.commcarehq.org/a/demo-18/api/form/attachment/ac6439b6-23fb-444f-8551-e55dde9ce736/1579081287385.jpg"/>
    <s v="https://www.commcarehq.org/a/demo-18/api/form/attachment/ac6439b6-23fb-444f-8551-e55dde9ce736/1579081305273.jpg"/>
    <s v="https://www.commcarehq.org/a/demo-18/api/form/attachment/ac6439b6-23fb-444f-8551-e55dde9ce736/1579081316910.jpg"/>
    <d v="2020-01-15T09:41:58"/>
    <d v="2020-01-15T09:37:38"/>
    <s v="arnold"/>
    <d v="2020-01-15T09:42:22"/>
    <s v="ac6439b6-23fb-444f-8551-e55dde9ce736"/>
    <s v="https://www.commcarehq.org/a/demo-18/reports/form_data/ac6439b6-23fb-444f-8551-e55dde9ce736/"/>
  </r>
  <r>
    <x v="33"/>
    <n v="8.3000000000000007"/>
    <d v="2020-03-15T00:00:00"/>
    <d v="2020-02-14T00:00:00"/>
    <s v="no"/>
    <s v="---"/>
    <s v="---"/>
    <s v="---"/>
    <x v="12"/>
    <s v="no"/>
    <s v="---"/>
    <s v="https://www.commcarehq.org/a/demo-18/api/form/attachment/526c37cd-8c92-4acd-9aad-a75cc9dc0692/1581667072126.jpg"/>
    <s v="https://www.commcarehq.org/a/demo-18/api/form/attachment/526c37cd-8c92-4acd-9aad-a75cc9dc0692/1581667087361.jpg"/>
    <s v="https://www.commcarehq.org/a/demo-18/api/form/attachment/526c37cd-8c92-4acd-9aad-a75cc9dc0692/1581667154542.jpg"/>
    <s v="https://www.commcarehq.org/a/demo-18/api/form/attachment/526c37cd-8c92-4acd-9aad-a75cc9dc0692/1581667165986.jpg"/>
    <s v="https://www.commcarehq.org/a/demo-18/api/form/attachment/526c37cd-8c92-4acd-9aad-a75cc9dc0692/1581667189770.jpg"/>
    <s v="https://www.commcarehq.org/a/demo-18/api/form/attachment/526c37cd-8c92-4acd-9aad-a75cc9dc0692/1581667199733.jpg"/>
    <d v="2020-02-14T08:00:03"/>
    <d v="2020-02-14T07:57:28"/>
    <s v="arnold"/>
    <d v="2020-02-14T08:00:22"/>
    <s v="526c37cd-8c92-4acd-9aad-a75cc9dc0692"/>
    <s v="https://www.commcarehq.org/a/demo-18/reports/form_data/526c37cd-8c92-4acd-9aad-a75cc9dc0692/"/>
  </r>
  <r>
    <x v="34"/>
    <n v="8"/>
    <d v="2020-03-29T00:00:00"/>
    <d v="2020-02-28T00:00:00"/>
    <s v="no"/>
    <s v="---"/>
    <s v="---"/>
    <s v="---"/>
    <x v="3"/>
    <s v="no"/>
    <s v="---"/>
    <s v="https://www.commcarehq.org/a/demo-18/api/form/attachment/ac5fcbc3-e59f-4f8a-bb15-726752fd1fe0/1582876724526.jpg"/>
    <s v="https://www.commcarehq.org/a/demo-18/api/form/attachment/ac5fcbc3-e59f-4f8a-bb15-726752fd1fe0/1582876740262.jpg"/>
    <s v="https://www.commcarehq.org/a/demo-18/api/form/attachment/ac5fcbc3-e59f-4f8a-bb15-726752fd1fe0/1582876830353.jpg"/>
    <s v="https://www.commcarehq.org/a/demo-18/api/form/attachment/ac5fcbc3-e59f-4f8a-bb15-726752fd1fe0/1582876839796.jpg"/>
    <s v="https://www.commcarehq.org/a/demo-18/api/form/attachment/ac5fcbc3-e59f-4f8a-bb15-726752fd1fe0/1582876858194.jpg"/>
    <s v="https://www.commcarehq.org/a/demo-18/api/form/attachment/ac5fcbc3-e59f-4f8a-bb15-726752fd1fe0/1582876867801.jpg"/>
    <d v="2020-02-28T08:01:09"/>
    <d v="2020-02-28T07:56:23"/>
    <s v="arnold"/>
    <d v="2020-02-28T08:01:32"/>
    <s v="ac5fcbc3-e59f-4f8a-bb15-726752fd1fe0"/>
    <s v="https://www.commcarehq.org/a/demo-18/reports/form_data/ac5fcbc3-e59f-4f8a-bb15-726752fd1fe0/"/>
  </r>
  <r>
    <x v="35"/>
    <n v="6.2"/>
    <d v="2020-03-21T00:00:00"/>
    <d v="2020-02-20T00:00:00"/>
    <s v="no"/>
    <s v="---"/>
    <s v="---"/>
    <s v="---"/>
    <x v="4"/>
    <s v="no"/>
    <s v="---"/>
    <s v="https://www.commcarehq.org/a/demo-18/api/form/attachment/8fbc670e-b70b-4d39-ad9c-1ad5c479e183/1582186268503.jpg"/>
    <s v="https://www.commcarehq.org/a/demo-18/api/form/attachment/8fbc670e-b70b-4d39-ad9c-1ad5c479e183/1582186280681.jpg"/>
    <s v="https://www.commcarehq.org/a/demo-18/api/form/attachment/8fbc670e-b70b-4d39-ad9c-1ad5c479e183/1582186323056.jpg"/>
    <s v="https://www.commcarehq.org/a/demo-18/api/form/attachment/8fbc670e-b70b-4d39-ad9c-1ad5c479e183/1582186332944.jpg"/>
    <s v="https://www.commcarehq.org/a/demo-18/api/form/attachment/8fbc670e-b70b-4d39-ad9c-1ad5c479e183/1582186361950.jpg"/>
    <s v="https://www.commcarehq.org/a/demo-18/api/form/attachment/8fbc670e-b70b-4d39-ad9c-1ad5c479e183/1582186373038.jpg"/>
    <d v="2020-02-20T08:12:54"/>
    <d v="2020-02-20T08:10:25"/>
    <s v="arnold"/>
    <d v="2020-02-20T08:13:15"/>
    <s v="8fbc670e-b70b-4d39-ad9c-1ad5c479e183"/>
    <s v="https://www.commcarehq.org/a/demo-18/reports/form_data/8fbc670e-b70b-4d39-ad9c-1ad5c479e183/"/>
  </r>
  <r>
    <x v="36"/>
    <n v="7.2"/>
    <d v="2020-03-22T00:00:00"/>
    <d v="2020-02-21T00:00:00"/>
    <s v="no"/>
    <s v="---"/>
    <s v="---"/>
    <s v="---"/>
    <x v="1"/>
    <s v="no"/>
    <s v="---"/>
    <s v="https://www.commcarehq.org/a/demo-18/api/form/attachment/edd64b78-e04e-4f90-ba37-5dc55cb26818/1582270718931.jpg"/>
    <s v="https://www.commcarehq.org/a/demo-18/api/form/attachment/edd64b78-e04e-4f90-ba37-5dc55cb26818/1582270735610.jpg"/>
    <s v="https://www.commcarehq.org/a/demo-18/api/form/attachment/edd64b78-e04e-4f90-ba37-5dc55cb26818/1582270798265.jpg"/>
    <s v="https://www.commcarehq.org/a/demo-18/api/form/attachment/edd64b78-e04e-4f90-ba37-5dc55cb26818/1582270808261.jpg"/>
    <s v="https://www.commcarehq.org/a/demo-18/api/form/attachment/edd64b78-e04e-4f90-ba37-5dc55cb26818/1582270840103.jpg"/>
    <s v="https://www.commcarehq.org/a/demo-18/api/form/attachment/edd64b78-e04e-4f90-ba37-5dc55cb26818/1582270849030.jpg"/>
    <d v="2020-02-21T07:40:51"/>
    <d v="2020-02-21T07:38:12"/>
    <s v="arnold"/>
    <d v="2020-02-21T07:41:12"/>
    <s v="edd64b78-e04e-4f90-ba37-5dc55cb26818"/>
    <s v="https://www.commcarehq.org/a/demo-18/reports/form_data/edd64b78-e04e-4f90-ba37-5dc55cb26818/"/>
  </r>
  <r>
    <x v="37"/>
    <n v="8"/>
    <d v="2020-03-21T00:00:00"/>
    <d v="2020-02-20T00:00:00"/>
    <s v="no"/>
    <s v="---"/>
    <s v="---"/>
    <s v="---"/>
    <x v="1"/>
    <s v="no"/>
    <s v="---"/>
    <s v="https://www.commcarehq.org/a/demo-18/api/form/attachment/6cf71d63-d034-4b95-9b17-2732b9f3d6a7/1582188747812.jpg"/>
    <s v="https://www.commcarehq.org/a/demo-18/api/form/attachment/6cf71d63-d034-4b95-9b17-2732b9f3d6a7/1582188761842.jpg"/>
    <s v="https://www.commcarehq.org/a/demo-18/api/form/attachment/6cf71d63-d034-4b95-9b17-2732b9f3d6a7/1582188821295.jpg"/>
    <s v="https://www.commcarehq.org/a/demo-18/api/form/attachment/6cf71d63-d034-4b95-9b17-2732b9f3d6a7/1582188830601.jpg"/>
    <s v="https://www.commcarehq.org/a/demo-18/api/form/attachment/6cf71d63-d034-4b95-9b17-2732b9f3d6a7/1582188855168.jpg"/>
    <s v="https://www.commcarehq.org/a/demo-18/api/form/attachment/6cf71d63-d034-4b95-9b17-2732b9f3d6a7/1582188863797.jpg"/>
    <d v="2020-02-20T08:54:26"/>
    <d v="2020-02-20T08:51:58"/>
    <s v="arnold"/>
    <d v="2020-02-20T08:54:51"/>
    <s v="6cf71d63-d034-4b95-9b17-2732b9f3d6a7"/>
    <s v="https://www.commcarehq.org/a/demo-18/reports/form_data/6cf71d63-d034-4b95-9b17-2732b9f3d6a7/"/>
  </r>
  <r>
    <x v="38"/>
    <n v="6"/>
    <d v="2020-03-25T00:00:00"/>
    <d v="2020-02-24T00:00:00"/>
    <s v="no"/>
    <s v="---"/>
    <s v="---"/>
    <s v="---"/>
    <x v="7"/>
    <s v="no"/>
    <s v="---"/>
    <s v="https://www.commcarehq.org/a/demo-18/api/form/attachment/312044be-619b-4406-8f88-592930eb611c/1582535978131.jpg"/>
    <s v="https://www.commcarehq.org/a/demo-18/api/form/attachment/312044be-619b-4406-8f88-592930eb611c/1582535991468.jpg"/>
    <s v="https://www.commcarehq.org/a/demo-18/api/form/attachment/312044be-619b-4406-8f88-592930eb611c/1582536018528.jpg"/>
    <s v="https://www.commcarehq.org/a/demo-18/api/form/attachment/312044be-619b-4406-8f88-592930eb611c/1582536027707.jpg"/>
    <s v="https://www.commcarehq.org/a/demo-18/api/form/attachment/312044be-619b-4406-8f88-592930eb611c/1582536043030.jpg"/>
    <s v="https://www.commcarehq.org/a/demo-18/api/form/attachment/312044be-619b-4406-8f88-592930eb611c/1582536052099.jpg"/>
    <d v="2020-02-24T09:20:54"/>
    <d v="2020-02-24T09:19:05"/>
    <s v="arnold"/>
    <d v="2020-02-24T09:21:18"/>
    <s v="312044be-619b-4406-8f88-592930eb611c"/>
    <s v="https://www.commcarehq.org/a/demo-18/reports/form_data/312044be-619b-4406-8f88-592930eb611c/"/>
  </r>
  <r>
    <x v="39"/>
    <n v="7.3"/>
    <d v="2020-06-13T00:00:00"/>
    <d v="2020-05-14T00:00:00"/>
    <s v="no"/>
    <s v="---"/>
    <s v="---"/>
    <s v="---"/>
    <x v="13"/>
    <s v="no"/>
    <s v="---"/>
    <s v="https://www.commcarehq.org/a/demo-18/api/form/attachment/256c6860-8211-467c-87b1-7cdb26f8508d/1589435857100.jpg"/>
    <s v="https://www.commcarehq.org/a/demo-18/api/form/attachment/256c6860-8211-467c-87b1-7cdb26f8508d/1589435873840.jpg"/>
    <s v="https://www.commcarehq.org/a/demo-18/api/form/attachment/256c6860-8211-467c-87b1-7cdb26f8508d/1589436038664.jpg"/>
    <s v="https://www.commcarehq.org/a/demo-18/api/form/attachment/256c6860-8211-467c-87b1-7cdb26f8508d/1589436052457.jpg"/>
    <s v="https://www.commcarehq.org/a/demo-18/api/form/attachment/256c6860-8211-467c-87b1-7cdb26f8508d/1589436067503.jpg"/>
    <s v="https://www.commcarehq.org/a/demo-18/api/form/attachment/256c6860-8211-467c-87b1-7cdb26f8508d/1589436075761.jpg"/>
    <d v="2020-05-14T06:01:17"/>
    <d v="2020-05-14T05:56:34"/>
    <s v="arnold"/>
    <d v="2020-05-14T06:01:52"/>
    <s v="256c6860-8211-467c-87b1-7cdb26f8508d"/>
    <s v="https://www.commcarehq.org/a/demo-18/reports/form_data/256c6860-8211-467c-87b1-7cdb26f8508d/"/>
  </r>
  <r>
    <x v="40"/>
    <n v="7.5"/>
    <d v="2020-06-20T00:00:00"/>
    <d v="2020-05-21T00:00:00"/>
    <s v="no"/>
    <s v="---"/>
    <s v="---"/>
    <s v="---"/>
    <x v="12"/>
    <s v="no"/>
    <s v="---"/>
    <s v="https://www.commcarehq.org/a/demo-18/api/form/attachment/3c5524c0-eadd-46ca-9687-21aba8ea26e2/1590047031200.jpg"/>
    <s v="https://www.commcarehq.org/a/demo-18/api/form/attachment/3c5524c0-eadd-46ca-9687-21aba8ea26e2/1590047044469.jpg"/>
    <s v="https://www.commcarehq.org/a/demo-18/api/form/attachment/3c5524c0-eadd-46ca-9687-21aba8ea26e2/1590047095568.jpg"/>
    <s v="https://www.commcarehq.org/a/demo-18/api/form/attachment/3c5524c0-eadd-46ca-9687-21aba8ea26e2/1590047106777.jpg"/>
    <s v="https://www.commcarehq.org/a/demo-18/api/form/attachment/3c5524c0-eadd-46ca-9687-21aba8ea26e2/1590047136731.jpg"/>
    <s v="https://www.commcarehq.org/a/demo-18/api/form/attachment/3c5524c0-eadd-46ca-9687-21aba8ea26e2/1590047148159.jpg"/>
    <d v="2020-05-21T07:45:49"/>
    <d v="2020-05-21T07:43:12"/>
    <s v="arnold"/>
    <d v="2020-05-21T07:46:16"/>
    <s v="3c5524c0-eadd-46ca-9687-21aba8ea26e2"/>
    <s v="https://www.commcarehq.org/a/demo-18/reports/form_data/3c5524c0-eadd-46ca-9687-21aba8ea26e2/"/>
  </r>
  <r>
    <x v="41"/>
    <n v="8"/>
    <d v="2020-07-08T00:00:00"/>
    <d v="2020-06-08T00:00:00"/>
    <s v="no"/>
    <s v="---"/>
    <s v="---"/>
    <s v="---"/>
    <x v="7"/>
    <s v="no"/>
    <s v="---"/>
    <s v="https://www.commcarehq.org/a/demo-18/api/form/attachment/00e17bfe-6f78-435c-bc09-b944b5be25c3/1591601607874.jpg"/>
    <s v="https://www.commcarehq.org/a/demo-18/api/form/attachment/00e17bfe-6f78-435c-bc09-b944b5be25c3/1591601625350.jpg"/>
    <s v="https://www.commcarehq.org/a/demo-18/api/form/attachment/00e17bfe-6f78-435c-bc09-b944b5be25c3/1591601693151.jpg"/>
    <s v="https://www.commcarehq.org/a/demo-18/api/form/attachment/00e17bfe-6f78-435c-bc09-b944b5be25c3/1591601704192.jpg"/>
    <s v="https://www.commcarehq.org/a/demo-18/api/form/attachment/00e17bfe-6f78-435c-bc09-b944b5be25c3/1591601727502.jpg"/>
    <s v="https://www.commcarehq.org/a/demo-18/api/form/attachment/00e17bfe-6f78-435c-bc09-b944b5be25c3/1591601737320.jpg"/>
    <d v="2020-06-08T07:35:39"/>
    <d v="2020-06-08T07:32:33"/>
    <s v="arnold"/>
    <d v="2020-06-08T07:38:51"/>
    <s v="00e17bfe-6f78-435c-bc09-b944b5be25c3"/>
    <s v="https://www.commcarehq.org/a/demo-18/reports/form_data/00e17bfe-6f78-435c-bc09-b944b5be25c3/"/>
  </r>
  <r>
    <x v="42"/>
    <n v="6.1"/>
    <d v="2020-01-29T00:00:00"/>
    <d v="2019-12-30T00:00:00"/>
    <s v="no"/>
    <s v="---"/>
    <s v="---"/>
    <s v="---"/>
    <x v="1"/>
    <s v="no"/>
    <s v="---"/>
    <s v="https://www.commcarehq.org/a/demo-18/api/form/attachment/096af222-c703-4f75-9ce8-92be36b92044/1577696817494.jpg"/>
    <s v="https://www.commcarehq.org/a/demo-18/api/form/attachment/096af222-c703-4f75-9ce8-92be36b92044/1577696841856.jpg"/>
    <s v="https://www.commcarehq.org/a/demo-18/api/form/attachment/096af222-c703-4f75-9ce8-92be36b92044/1577696885046.jpg"/>
    <s v="https://www.commcarehq.org/a/demo-18/api/form/attachment/096af222-c703-4f75-9ce8-92be36b92044/1577696896341.jpg"/>
    <s v="https://www.commcarehq.org/a/demo-18/api/form/attachment/096af222-c703-4f75-9ce8-92be36b92044/1577696922007.jpg"/>
    <s v="https://www.commcarehq.org/a/demo-18/api/form/attachment/096af222-c703-4f75-9ce8-92be36b92044/1577696935173.jpg"/>
    <d v="2019-12-30T09:08:57"/>
    <d v="2019-12-30T09:05:41"/>
    <s v="arnold"/>
    <d v="2019-12-31T04:31:30"/>
    <s v="096af222-c703-4f75-9ce8-92be36b92044"/>
    <s v="https://www.commcarehq.org/a/demo-18/reports/form_data/096af222-c703-4f75-9ce8-92be36b92044/"/>
  </r>
  <r>
    <x v="43"/>
    <n v="5.8"/>
    <d v="2020-03-11T00:00:00"/>
    <d v="2020-02-10T00:00:00"/>
    <s v="no"/>
    <s v="---"/>
    <s v="---"/>
    <s v="---"/>
    <x v="11"/>
    <s v="no"/>
    <s v="---"/>
    <s v="https://www.commcarehq.org/a/demo-18/api/form/attachment/6d6d5732-19f9-4f80-8d9b-78a45366442a/1581327799770.jpg"/>
    <s v="https://www.commcarehq.org/a/demo-18/api/form/attachment/6d6d5732-19f9-4f80-8d9b-78a45366442a/1581327816386.jpg"/>
    <s v="https://www.commcarehq.org/a/demo-18/api/form/attachment/6d6d5732-19f9-4f80-8d9b-78a45366442a/1581327853332.jpg"/>
    <s v="https://www.commcarehq.org/a/demo-18/api/form/attachment/6d6d5732-19f9-4f80-8d9b-78a45366442a/1581327862690.jpg"/>
    <s v="https://www.commcarehq.org/a/demo-18/api/form/attachment/6d6d5732-19f9-4f80-8d9b-78a45366442a/1581327877612.jpg"/>
    <s v="https://www.commcarehq.org/a/demo-18/api/form/attachment/6d6d5732-19f9-4f80-8d9b-78a45366442a/1581327887687.jpg"/>
    <d v="2020-02-10T09:44:49"/>
    <d v="2020-02-10T09:42:38"/>
    <s v="arnold"/>
    <d v="2020-02-10T09:45:17"/>
    <s v="6d6d5732-19f9-4f80-8d9b-78a45366442a"/>
    <s v="https://www.commcarehq.org/a/demo-18/reports/form_data/6d6d5732-19f9-4f80-8d9b-78a45366442a/"/>
  </r>
  <r>
    <x v="44"/>
    <n v="6.6"/>
    <d v="2020-03-22T00:00:00"/>
    <d v="2020-02-21T00:00:00"/>
    <s v="no"/>
    <s v="---"/>
    <s v="---"/>
    <s v="---"/>
    <x v="1"/>
    <s v="no"/>
    <s v="---"/>
    <s v="https://www.commcarehq.org/a/demo-18/api/form/attachment/fdd938ab-d506-44f4-8d80-cd4cab586d7e/1582276627180.jpg"/>
    <s v="https://www.commcarehq.org/a/demo-18/api/form/attachment/fdd938ab-d506-44f4-8d80-cd4cab586d7e/1582276646661.jpg"/>
    <s v="https://www.commcarehq.org/a/demo-18/api/form/attachment/fdd938ab-d506-44f4-8d80-cd4cab586d7e/1582276687806.jpg"/>
    <s v="https://www.commcarehq.org/a/demo-18/api/form/attachment/fdd938ab-d506-44f4-8d80-cd4cab586d7e/1582276696726.jpg"/>
    <s v="https://www.commcarehq.org/a/demo-18/api/form/attachment/fdd938ab-d506-44f4-8d80-cd4cab586d7e/1582276723208.jpg"/>
    <s v="https://www.commcarehq.org/a/demo-18/api/form/attachment/fdd938ab-d506-44f4-8d80-cd4cab586d7e/1582276732708.jpg"/>
    <d v="2020-02-21T09:18:54"/>
    <d v="2020-02-21T09:16:35"/>
    <s v="arnold"/>
    <d v="2020-02-21T09:19:15"/>
    <s v="fdd938ab-d506-44f4-8d80-cd4cab586d7e"/>
    <s v="https://www.commcarehq.org/a/demo-18/reports/form_data/fdd938ab-d506-44f4-8d80-cd4cab586d7e/"/>
  </r>
  <r>
    <x v="45"/>
    <n v="7.3"/>
    <d v="2020-02-19T00:00:00"/>
    <d v="2020-01-20T00:00:00"/>
    <s v="no"/>
    <s v="---"/>
    <s v="---"/>
    <s v="---"/>
    <x v="9"/>
    <s v="no"/>
    <s v="---"/>
    <s v="https://www.commcarehq.org/a/demo-18/api/form/attachment/f2675d63-e412-48e9-8fa8-53070c93c746/1579506853717.jpg"/>
    <s v="https://www.commcarehq.org/a/demo-18/api/form/attachment/f2675d63-e412-48e9-8fa8-53070c93c746/1579506868581.jpg"/>
    <s v="https://www.commcarehq.org/a/demo-18/api/form/attachment/f2675d63-e412-48e9-8fa8-53070c93c746/1579506897240.jpg"/>
    <s v="https://www.commcarehq.org/a/demo-18/api/form/attachment/f2675d63-e412-48e9-8fa8-53070c93c746/1579506905612.jpg"/>
    <s v="https://www.commcarehq.org/a/demo-18/api/form/attachment/f2675d63-e412-48e9-8fa8-53070c93c746/1579506919615.jpg"/>
    <s v="https://www.commcarehq.org/a/demo-18/api/form/attachment/f2675d63-e412-48e9-8fa8-53070c93c746/1579506929368.jpg"/>
    <d v="2020-01-20T07:55:30"/>
    <d v="2020-01-20T07:53:31"/>
    <s v="arnold"/>
    <d v="2020-01-20T07:55:49"/>
    <s v="f2675d63-e412-48e9-8fa8-53070c93c746"/>
    <s v="https://www.commcarehq.org/a/demo-18/reports/form_data/f2675d63-e412-48e9-8fa8-53070c93c746/"/>
  </r>
  <r>
    <x v="46"/>
    <n v="6.4"/>
    <d v="2020-02-19T00:00:00"/>
    <d v="2020-01-20T00:00:00"/>
    <s v="no"/>
    <s v="---"/>
    <s v="---"/>
    <s v="---"/>
    <x v="5"/>
    <s v="no"/>
    <s v="---"/>
    <s v="https://www.commcarehq.org/a/demo-18/api/form/attachment/6e6caf14-b734-422d-b1d1-732c23fb67e3/1579508578159.jpg"/>
    <s v="https://www.commcarehq.org/a/demo-18/api/form/attachment/6e6caf14-b734-422d-b1d1-732c23fb67e3/1579508589285.jpg"/>
    <s v="https://www.commcarehq.org/a/demo-18/api/form/attachment/6e6caf14-b734-422d-b1d1-732c23fb67e3/1579508619358.jpg"/>
    <s v="https://www.commcarehq.org/a/demo-18/api/form/attachment/6e6caf14-b734-422d-b1d1-732c23fb67e3/1579508629071.jpg"/>
    <s v="https://www.commcarehq.org/a/demo-18/api/form/attachment/6e6caf14-b734-422d-b1d1-732c23fb67e3/1579508647248.jpg"/>
    <s v="https://www.commcarehq.org/a/demo-18/api/form/attachment/6e6caf14-b734-422d-b1d1-732c23fb67e3/1579508655934.jpg"/>
    <d v="2020-01-20T08:24:18"/>
    <d v="2020-01-20T08:22:23"/>
    <s v="arnold"/>
    <d v="2020-01-20T08:24:34"/>
    <s v="6e6caf14-b734-422d-b1d1-732c23fb67e3"/>
    <s v="https://www.commcarehq.org/a/demo-18/reports/form_data/6e6caf14-b734-422d-b1d1-732c23fb67e3/"/>
  </r>
  <r>
    <x v="47"/>
    <n v="5.7"/>
    <d v="2020-02-22T00:00:00"/>
    <d v="2020-01-23T00:00:00"/>
    <s v="no"/>
    <s v="---"/>
    <s v="---"/>
    <s v="---"/>
    <x v="3"/>
    <s v="no"/>
    <s v="---"/>
    <s v="https://www.commcarehq.org/a/demo-18/api/form/attachment/1c3a6760-e2bc-49b6-9936-9a63dce43d9a/1579762732566.jpg"/>
    <s v="https://www.commcarehq.org/a/demo-18/api/form/attachment/1c3a6760-e2bc-49b6-9936-9a63dce43d9a/1579762746888.jpg"/>
    <s v="https://www.commcarehq.org/a/demo-18/api/form/attachment/1c3a6760-e2bc-49b6-9936-9a63dce43d9a/1579762862062.jpg"/>
    <s v="https://www.commcarehq.org/a/demo-18/api/form/attachment/1c3a6760-e2bc-49b6-9936-9a63dce43d9a/1579762872001.jpg"/>
    <s v="https://www.commcarehq.org/a/demo-18/api/form/attachment/1c3a6760-e2bc-49b6-9936-9a63dce43d9a/1579762884235.jpg"/>
    <s v="https://www.commcarehq.org/a/demo-18/api/form/attachment/1c3a6760-e2bc-49b6-9936-9a63dce43d9a/1579762892700.jpg"/>
    <d v="2020-01-23T07:01:34"/>
    <d v="2020-01-23T06:58:16"/>
    <s v="arnold"/>
    <d v="2020-01-23T08:35:25"/>
    <s v="1c3a6760-e2bc-49b6-9936-9a63dce43d9a"/>
    <s v="https://www.commcarehq.org/a/demo-18/reports/form_data/1c3a6760-e2bc-49b6-9936-9a63dce43d9a/"/>
  </r>
  <r>
    <x v="48"/>
    <n v="6.2"/>
    <d v="2020-02-22T00:00:00"/>
    <d v="2020-01-23T00:00:00"/>
    <s v="no"/>
    <s v="---"/>
    <s v="---"/>
    <s v="---"/>
    <x v="1"/>
    <s v="no"/>
    <s v="---"/>
    <s v="https://www.commcarehq.org/a/demo-18/api/form/attachment/16087406-44a5-4f09-9f0e-46c664c2f4b0/1579760373191.jpg"/>
    <s v="https://www.commcarehq.org/a/demo-18/api/form/attachment/16087406-44a5-4f09-9f0e-46c664c2f4b0/1579760386187.jpg"/>
    <s v="https://www.commcarehq.org/a/demo-18/api/form/attachment/16087406-44a5-4f09-9f0e-46c664c2f4b0/1579760433571.jpg"/>
    <s v="https://www.commcarehq.org/a/demo-18/api/form/attachment/16087406-44a5-4f09-9f0e-46c664c2f4b0/1579760443872.jpg"/>
    <s v="https://www.commcarehq.org/a/demo-18/api/form/attachment/16087406-44a5-4f09-9f0e-46c664c2f4b0/1579760456127.jpg"/>
    <s v="https://www.commcarehq.org/a/demo-18/api/form/attachment/16087406-44a5-4f09-9f0e-46c664c2f4b0/1579760464482.jpg"/>
    <d v="2020-01-23T06:21:06"/>
    <d v="2020-01-23T06:18:59"/>
    <s v="arnold"/>
    <d v="2020-01-23T08:33:01"/>
    <s v="16087406-44a5-4f09-9f0e-46c664c2f4b0"/>
    <s v="https://www.commcarehq.org/a/demo-18/reports/form_data/16087406-44a5-4f09-9f0e-46c664c2f4b0/"/>
  </r>
  <r>
    <x v="49"/>
    <n v="7"/>
    <d v="2020-02-07T00:00:00"/>
    <d v="2020-01-08T00:00:00"/>
    <s v="no"/>
    <s v="---"/>
    <s v="---"/>
    <s v="---"/>
    <x v="14"/>
    <s v="no"/>
    <s v="---"/>
    <s v="https://www.commcarehq.org/a/demo-18/api/form/attachment/a23cd493-65bf-4db9-a88e-debb5a414c9c/1578469896886.jpg"/>
    <s v="https://www.commcarehq.org/a/demo-18/api/form/attachment/a23cd493-65bf-4db9-a88e-debb5a414c9c/1578469916757.jpg"/>
    <s v="https://www.commcarehq.org/a/demo-18/api/form/attachment/a23cd493-65bf-4db9-a88e-debb5a414c9c/1578469988077.jpg"/>
    <s v="https://www.commcarehq.org/a/demo-18/api/form/attachment/a23cd493-65bf-4db9-a88e-debb5a414c9c/1578470007499.jpg"/>
    <s v="https://www.commcarehq.org/a/demo-18/api/form/attachment/a23cd493-65bf-4db9-a88e-debb5a414c9c/1578470039695.jpg"/>
    <s v="https://www.commcarehq.org/a/demo-18/api/form/attachment/a23cd493-65bf-4db9-a88e-debb5a414c9c/1578470052880.jpg"/>
    <d v="2020-01-08T07:54:15"/>
    <d v="2020-01-08T07:50:55"/>
    <s v="arnold"/>
    <d v="2020-01-08T07:54:34"/>
    <s v="a23cd493-65bf-4db9-a88e-debb5a414c9c"/>
    <s v="https://www.commcarehq.org/a/demo-18/reports/form_data/a23cd493-65bf-4db9-a88e-debb5a414c9c/"/>
  </r>
  <r>
    <x v="50"/>
    <n v="6.5"/>
    <d v="2020-02-07T00:00:00"/>
    <d v="2020-01-08T00:00:00"/>
    <s v="no"/>
    <s v="---"/>
    <s v="---"/>
    <s v="---"/>
    <x v="1"/>
    <s v="no"/>
    <s v="---"/>
    <s v="https://www.commcarehq.org/a/demo-18/api/form/attachment/05783d3b-3e96-44d5-9a10-8edcadf16926/1578467384691.jpg"/>
    <s v="https://www.commcarehq.org/a/demo-18/api/form/attachment/05783d3b-3e96-44d5-9a10-8edcadf16926/1578467409695.jpg"/>
    <s v="https://www.commcarehq.org/a/demo-18/api/form/attachment/05783d3b-3e96-44d5-9a10-8edcadf16926/1578467491822.jpg"/>
    <s v="https://www.commcarehq.org/a/demo-18/api/form/attachment/05783d3b-3e96-44d5-9a10-8edcadf16926/1578467501472.jpg"/>
    <s v="https://www.commcarehq.org/a/demo-18/api/form/attachment/05783d3b-3e96-44d5-9a10-8edcadf16926/1578467516281.jpg"/>
    <s v="https://www.commcarehq.org/a/demo-18/api/form/attachment/05783d3b-3e96-44d5-9a10-8edcadf16926/1578467528526.jpg"/>
    <d v="2020-01-08T07:12:11"/>
    <d v="2020-01-08T07:09:07"/>
    <s v="arnold"/>
    <d v="2020-01-08T07:12:44"/>
    <s v="05783d3b-3e96-44d5-9a10-8edcadf16926"/>
    <s v="https://www.commcarehq.org/a/demo-18/reports/form_data/05783d3b-3e96-44d5-9a10-8edcadf16926/"/>
  </r>
  <r>
    <x v="51"/>
    <n v="8.1999999999999993"/>
    <d v="2020-02-26T00:00:00"/>
    <d v="2020-01-27T00:00:00"/>
    <s v="no"/>
    <s v="---"/>
    <s v="---"/>
    <s v="---"/>
    <x v="1"/>
    <s v="no"/>
    <s v="---"/>
    <s v="https://www.commcarehq.org/a/demo-18/api/form/attachment/8fb172b3-8465-47d2-b14a-0269072661a6/1580112200493.jpg"/>
    <s v="https://www.commcarehq.org/a/demo-18/api/form/attachment/8fb172b3-8465-47d2-b14a-0269072661a6/1580112218276.jpg"/>
    <s v="https://www.commcarehq.org/a/demo-18/api/form/attachment/8fb172b3-8465-47d2-b14a-0269072661a6/1580112245419.jpg"/>
    <s v="https://www.commcarehq.org/a/demo-18/api/form/attachment/8fb172b3-8465-47d2-b14a-0269072661a6/1580112255287.jpg"/>
    <s v="https://www.commcarehq.org/a/demo-18/api/form/attachment/8fb172b3-8465-47d2-b14a-0269072661a6/1580112270876.jpg"/>
    <s v="https://www.commcarehq.org/a/demo-18/api/form/attachment/8fb172b3-8465-47d2-b14a-0269072661a6/1580112281214.jpg"/>
    <d v="2020-01-27T08:04:42"/>
    <d v="2020-01-27T08:02:25"/>
    <s v="arnold"/>
    <d v="2020-01-27T08:05:05"/>
    <s v="8fb172b3-8465-47d2-b14a-0269072661a6"/>
    <s v="https://www.commcarehq.org/a/demo-18/reports/form_data/8fb172b3-8465-47d2-b14a-0269072661a6/"/>
  </r>
  <r>
    <x v="52"/>
    <n v="8.3000000000000007"/>
    <d v="2020-06-28T00:00:00"/>
    <d v="2020-05-29T00:00:00"/>
    <s v="no"/>
    <s v="---"/>
    <s v="---"/>
    <s v="---"/>
    <x v="8"/>
    <s v="no"/>
    <s v="---"/>
    <s v="https://www.commcarehq.org/a/demo-18/api/form/attachment/9f8afcd1-7b2b-459a-89df-1a4b9a7af48a/1590737988596.jpg"/>
    <s v="https://www.commcarehq.org/a/demo-18/api/form/attachment/9f8afcd1-7b2b-459a-89df-1a4b9a7af48a/1590738003089.jpg"/>
    <s v="https://www.commcarehq.org/a/demo-18/api/form/attachment/9f8afcd1-7b2b-459a-89df-1a4b9a7af48a/1590738027621.jpg"/>
    <s v="https://www.commcarehq.org/a/demo-18/api/form/attachment/9f8afcd1-7b2b-459a-89df-1a4b9a7af48a/1590738038334.jpg"/>
    <s v="https://www.commcarehq.org/a/demo-18/api/form/attachment/9f8afcd1-7b2b-459a-89df-1a4b9a7af48a/1590738070294.jpg"/>
    <s v="https://www.commcarehq.org/a/demo-18/api/form/attachment/9f8afcd1-7b2b-459a-89df-1a4b9a7af48a/1590738085689.jpg"/>
    <d v="2020-05-29T07:41:27"/>
    <d v="2020-05-29T07:38:02"/>
    <s v="arnold"/>
    <d v="2020-05-29T07:42:48"/>
    <s v="9f8afcd1-7b2b-459a-89df-1a4b9a7af48a"/>
    <s v="https://www.commcarehq.org/a/demo-18/reports/form_data/9f8afcd1-7b2b-459a-89df-1a4b9a7af48a/"/>
  </r>
  <r>
    <x v="53"/>
    <n v="7.3"/>
    <d v="2020-06-14T00:00:00"/>
    <d v="2020-05-15T00:00:00"/>
    <s v="no"/>
    <s v="---"/>
    <s v="---"/>
    <s v="---"/>
    <x v="7"/>
    <s v="no"/>
    <s v="---"/>
    <s v="https://www.commcarehq.org/a/demo-18/api/form/attachment/c6072725-c5d0-4cc1-96b5-b0e440a7cf9b/1589526452043.jpg"/>
    <s v="https://www.commcarehq.org/a/demo-18/api/form/attachment/c6072725-c5d0-4cc1-96b5-b0e440a7cf9b/1589526467490.jpg"/>
    <s v="https://www.commcarehq.org/a/demo-18/api/form/attachment/c6072725-c5d0-4cc1-96b5-b0e440a7cf9b/1589526506687.jpg"/>
    <s v="https://www.commcarehq.org/a/demo-18/api/form/attachment/c6072725-c5d0-4cc1-96b5-b0e440a7cf9b/1589526516251.jpg"/>
    <s v="https://www.commcarehq.org/a/demo-18/api/form/attachment/c6072725-c5d0-4cc1-96b5-b0e440a7cf9b/1589526539481.jpg"/>
    <s v="https://www.commcarehq.org/a/demo-18/api/form/attachment/c6072725-c5d0-4cc1-96b5-b0e440a7cf9b/1589526550186.jpg"/>
    <d v="2020-05-15T07:09:12"/>
    <d v="2020-05-15T07:06:42"/>
    <s v="arnold"/>
    <d v="2020-05-15T07:13:26"/>
    <s v="c6072725-c5d0-4cc1-96b5-b0e440a7cf9b"/>
    <s v="https://www.commcarehq.org/a/demo-18/reports/form_data/c6072725-c5d0-4cc1-96b5-b0e440a7cf9b/"/>
  </r>
  <r>
    <x v="54"/>
    <n v="8.1"/>
    <d v="2020-07-08T00:00:00"/>
    <d v="2020-06-08T00:00:00"/>
    <s v="no"/>
    <s v="---"/>
    <s v="---"/>
    <s v="---"/>
    <x v="8"/>
    <s v="no"/>
    <s v="---"/>
    <s v="https://www.commcarehq.org/a/demo-18/api/form/attachment/85f072c5-8b5e-4dcc-a48d-a286bdc55adf/1591600215612.jpg"/>
    <s v="https://www.commcarehq.org/a/demo-18/api/form/attachment/85f072c5-8b5e-4dcc-a48d-a286bdc55adf/1591600230208.jpg"/>
    <s v="https://www.commcarehq.org/a/demo-18/api/form/attachment/85f072c5-8b5e-4dcc-a48d-a286bdc55adf/1591600275830.jpg"/>
    <s v="https://www.commcarehq.org/a/demo-18/api/form/attachment/85f072c5-8b5e-4dcc-a48d-a286bdc55adf/1591600284425.jpg"/>
    <s v="https://www.commcarehq.org/a/demo-18/api/form/attachment/85f072c5-8b5e-4dcc-a48d-a286bdc55adf/1591600297056.jpg"/>
    <s v="https://www.commcarehq.org/a/demo-18/api/form/attachment/85f072c5-8b5e-4dcc-a48d-a286bdc55adf/1591600307558.jpg"/>
    <d v="2020-06-08T07:11:49"/>
    <d v="2020-06-08T07:09:53"/>
    <s v="arnold"/>
    <d v="2020-06-08T07:13:11"/>
    <s v="85f072c5-8b5e-4dcc-a48d-a286bdc55adf"/>
    <s v="https://www.commcarehq.org/a/demo-18/reports/form_data/85f072c5-8b5e-4dcc-a48d-a286bdc55adf/"/>
  </r>
  <r>
    <x v="55"/>
    <n v="7"/>
    <d v="2020-01-05T00:00:00"/>
    <d v="2019-12-06T00:00:00"/>
    <s v="no"/>
    <s v="---"/>
    <s v="---"/>
    <s v="---"/>
    <x v="1"/>
    <s v="no"/>
    <s v="---"/>
    <s v="https://www.commcarehq.org/a/demo-18/api/form/attachment/ab798861-1596-4aa6-b63c-2397b511dc66/1575619970057.jpg"/>
    <s v="https://www.commcarehq.org/a/demo-18/api/form/attachment/ab798861-1596-4aa6-b63c-2397b511dc66/1575619989418.jpg"/>
    <s v="https://www.commcarehq.org/a/demo-18/api/form/attachment/ab798861-1596-4aa6-b63c-2397b511dc66/1575620066697.jpg"/>
    <s v="https://www.commcarehq.org/a/demo-18/api/form/attachment/ab798861-1596-4aa6-b63c-2397b511dc66/1575620077943.jpg"/>
    <s v="https://www.commcarehq.org/a/demo-18/api/form/attachment/ab798861-1596-4aa6-b63c-2397b511dc66/1575620115591.jpg"/>
    <s v="https://www.commcarehq.org/a/demo-18/api/form/attachment/ab798861-1596-4aa6-b63c-2397b511dc66/1575620136281.jpg"/>
    <d v="2019-12-06T08:15:38"/>
    <d v="2019-12-06T08:11:58"/>
    <s v="arnold"/>
    <d v="2019-12-06T08:16:00"/>
    <s v="ab798861-1596-4aa6-b63c-2397b511dc66"/>
    <s v="https://www.commcarehq.org/a/demo-18/reports/form_data/ab798861-1596-4aa6-b63c-2397b511dc66/"/>
  </r>
  <r>
    <x v="56"/>
    <n v="7.5"/>
    <d v="2020-01-08T00:00:00"/>
    <d v="2019-12-09T00:00:00"/>
    <s v="no"/>
    <s v="---"/>
    <s v="---"/>
    <s v="---"/>
    <x v="3"/>
    <s v="no"/>
    <s v="---"/>
    <s v="https://www.commcarehq.org/a/demo-18/api/form/attachment/5c352b59-b046-4f03-b29a-632c8ec40d88/1575877371072.jpg"/>
    <s v="https://www.commcarehq.org/a/demo-18/api/form/attachment/5c352b59-b046-4f03-b29a-632c8ec40d88/1575877389820.jpg"/>
    <s v="https://www.commcarehq.org/a/demo-18/api/form/attachment/5c352b59-b046-4f03-b29a-632c8ec40d88/1575877431259.jpg"/>
    <s v="https://www.commcarehq.org/a/demo-18/api/form/attachment/5c352b59-b046-4f03-b29a-632c8ec40d88/1575877439698.jpg"/>
    <s v="https://www.commcarehq.org/a/demo-18/api/form/attachment/5c352b59-b046-4f03-b29a-632c8ec40d88/1575877486388.jpg"/>
    <s v="https://www.commcarehq.org/a/demo-18/api/form/attachment/5c352b59-b046-4f03-b29a-632c8ec40d88/1575877496012.jpg"/>
    <d v="2019-12-09T07:44:57"/>
    <d v="2019-12-09T07:42:10"/>
    <s v="arnold"/>
    <d v="2019-12-09T10:04:43"/>
    <s v="5c352b59-b046-4f03-b29a-632c8ec40d88"/>
    <s v="https://www.commcarehq.org/a/demo-18/reports/form_data/5c352b59-b046-4f03-b29a-632c8ec40d88/"/>
  </r>
  <r>
    <x v="57"/>
    <n v="7.3"/>
    <d v="2020-01-25T00:00:00"/>
    <d v="2019-12-26T00:00:00"/>
    <s v="no"/>
    <s v="---"/>
    <s v="---"/>
    <s v="---"/>
    <x v="1"/>
    <s v="no"/>
    <s v="---"/>
    <s v="https://www.commcarehq.org/a/demo-18/api/form/attachment/2b969e79-7d9f-4a65-b4a4-3357e6ac59df/1577349009624.jpg"/>
    <s v="https://www.commcarehq.org/a/demo-18/api/form/attachment/2b969e79-7d9f-4a65-b4a4-3357e6ac59df/1577349028875.jpg"/>
    <s v="https://www.commcarehq.org/a/demo-18/api/form/attachment/2b969e79-7d9f-4a65-b4a4-3357e6ac59df/1577349129477.jpg"/>
    <s v="https://www.commcarehq.org/a/demo-18/api/form/attachment/2b969e79-7d9f-4a65-b4a4-3357e6ac59df/1577349140043.jpg"/>
    <s v="https://www.commcarehq.org/a/demo-18/api/form/attachment/2b969e79-7d9f-4a65-b4a4-3357e6ac59df/1577349163331.jpg"/>
    <s v="https://www.commcarehq.org/a/demo-18/api/form/attachment/2b969e79-7d9f-4a65-b4a4-3357e6ac59df/1577349172367.jpg"/>
    <d v="2019-12-26T08:32:54"/>
    <d v="2019-12-26T08:29:27"/>
    <s v="arnold"/>
    <d v="2019-12-26T18:13:42"/>
    <s v="2b969e79-7d9f-4a65-b4a4-3357e6ac59df"/>
    <s v="https://www.commcarehq.org/a/demo-18/reports/form_data/2b969e79-7d9f-4a65-b4a4-3357e6ac59df/"/>
  </r>
  <r>
    <x v="58"/>
    <n v="8.4"/>
    <d v="2020-02-21T00:00:00"/>
    <d v="2020-01-22T00:00:00"/>
    <s v="no"/>
    <s v="---"/>
    <s v="---"/>
    <s v="---"/>
    <x v="4"/>
    <s v="no"/>
    <s v="---"/>
    <s v="https://www.commcarehq.org/a/demo-18/api/form/attachment/9af902d0-3a2f-4832-b0fe-9093a20e4d5f/1579686451835.jpg"/>
    <s v="https://www.commcarehq.org/a/demo-18/api/form/attachment/9af902d0-3a2f-4832-b0fe-9093a20e4d5f/1579686473050.jpg"/>
    <s v="https://www.commcarehq.org/a/demo-18/api/form/attachment/9af902d0-3a2f-4832-b0fe-9093a20e4d5f/1579686527820.jpg"/>
    <s v="https://www.commcarehq.org/a/demo-18/api/form/attachment/9af902d0-3a2f-4832-b0fe-9093a20e4d5f/1579686537332.jpg"/>
    <s v="https://www.commcarehq.org/a/demo-18/api/form/attachment/9af902d0-3a2f-4832-b0fe-9093a20e4d5f/1579686556816.jpg"/>
    <s v="https://www.commcarehq.org/a/demo-18/api/form/attachment/9af902d0-3a2f-4832-b0fe-9093a20e4d5f/1579686566090.jpg"/>
    <d v="2020-01-22T09:49:31"/>
    <d v="2020-01-22T09:46:51"/>
    <s v="arnold"/>
    <d v="2020-01-22T09:49:48"/>
    <s v="9af902d0-3a2f-4832-b0fe-9093a20e4d5f"/>
    <s v="https://www.commcarehq.org/a/demo-18/reports/form_data/9af902d0-3a2f-4832-b0fe-9093a20e4d5f/"/>
  </r>
  <r>
    <x v="59"/>
    <n v="8"/>
    <d v="2020-02-14T00:00:00"/>
    <d v="2020-01-15T00:00:00"/>
    <s v="no"/>
    <s v="---"/>
    <s v="---"/>
    <s v="---"/>
    <x v="14"/>
    <s v="no"/>
    <s v="---"/>
    <s v="https://www.commcarehq.org/a/demo-18/api/form/attachment/3a8202e9-8e8a-4f1e-968e-58cc21a5522c/1579071296691.jpg"/>
    <s v="https://www.commcarehq.org/a/demo-18/api/form/attachment/3a8202e9-8e8a-4f1e-968e-58cc21a5522c/1579071320318.jpg"/>
    <s v="https://www.commcarehq.org/a/demo-18/api/form/attachment/3a8202e9-8e8a-4f1e-968e-58cc21a5522c/1579071443337.jpg"/>
    <s v="https://www.commcarehq.org/a/demo-18/api/form/attachment/3a8202e9-8e8a-4f1e-968e-58cc21a5522c/1579071453822.jpg"/>
    <s v="https://www.commcarehq.org/a/demo-18/api/form/attachment/3a8202e9-8e8a-4f1e-968e-58cc21a5522c/1579071475448.jpg"/>
    <s v="https://www.commcarehq.org/a/demo-18/api/form/attachment/3a8202e9-8e8a-4f1e-968e-58cc21a5522c/1579071487431.jpg"/>
    <d v="2020-01-15T06:58:15"/>
    <d v="2020-01-15T06:54:00"/>
    <s v="arnold"/>
    <d v="2020-01-15T06:58:36"/>
    <s v="3a8202e9-8e8a-4f1e-968e-58cc21a5522c"/>
    <s v="https://www.commcarehq.org/a/demo-18/reports/form_data/3a8202e9-8e8a-4f1e-968e-58cc21a5522c/"/>
  </r>
  <r>
    <x v="60"/>
    <n v="6.4"/>
    <d v="2020-02-05T00:00:00"/>
    <d v="2020-01-06T00:00:00"/>
    <s v="no"/>
    <s v="---"/>
    <s v="---"/>
    <s v="---"/>
    <x v="2"/>
    <s v="no"/>
    <s v="---"/>
    <s v="https://www.commcarehq.org/a/demo-18/api/form/attachment/b224cee9-1d49-4286-9733-4736fc19e924/1578299036342.jpg"/>
    <s v="https://www.commcarehq.org/a/demo-18/api/form/attachment/b224cee9-1d49-4286-9733-4736fc19e924/1578299056512.jpg"/>
    <s v="https://www.commcarehq.org/a/demo-18/api/form/attachment/b224cee9-1d49-4286-9733-4736fc19e924/1578299617750.jpg"/>
    <s v="https://www.commcarehq.org/a/demo-18/api/form/attachment/b224cee9-1d49-4286-9733-4736fc19e924/1578299628349.jpg"/>
    <s v="https://www.commcarehq.org/a/demo-18/api/form/attachment/b224cee9-1d49-4286-9733-4736fc19e924/1578299656745.jpg"/>
    <s v="https://www.commcarehq.org/a/demo-18/api/form/attachment/b224cee9-1d49-4286-9733-4736fc19e924/1578299672053.jpg"/>
    <d v="2020-01-06T08:34:34"/>
    <d v="2020-01-06T08:22:56"/>
    <s v="arnold"/>
    <d v="2020-01-06T08:44:44"/>
    <s v="b224cee9-1d49-4286-9733-4736fc19e924"/>
    <s v="https://www.commcarehq.org/a/demo-18/reports/form_data/b224cee9-1d49-4286-9733-4736fc19e924/"/>
  </r>
  <r>
    <x v="61"/>
    <n v="6.3"/>
    <d v="2020-02-22T00:00:00"/>
    <d v="2020-01-23T00:00:00"/>
    <s v="no"/>
    <s v="---"/>
    <s v="---"/>
    <s v="---"/>
    <x v="3"/>
    <s v="no"/>
    <s v="---"/>
    <s v="https://www.commcarehq.org/a/demo-18/api/form/attachment/d7292136-f46a-487e-a87d-2f3f5a8102cf/1579762520507.jpg"/>
    <s v="https://www.commcarehq.org/a/demo-18/api/form/attachment/d7292136-f46a-487e-a87d-2f3f5a8102cf/1579762535704.jpg"/>
    <s v="https://www.commcarehq.org/a/demo-18/api/form/attachment/d7292136-f46a-487e-a87d-2f3f5a8102cf/1579762593327.jpg"/>
    <s v="https://www.commcarehq.org/a/demo-18/api/form/attachment/d7292136-f46a-487e-a87d-2f3f5a8102cf/1579762602775.jpg"/>
    <s v="https://www.commcarehq.org/a/demo-18/api/form/attachment/d7292136-f46a-487e-a87d-2f3f5a8102cf/1579762623597.jpg"/>
    <s v="https://www.commcarehq.org/a/demo-18/api/form/attachment/d7292136-f46a-487e-a87d-2f3f5a8102cf/1579762634077.jpg"/>
    <d v="2020-01-23T06:57:15"/>
    <d v="2020-01-23T06:54:49"/>
    <s v="arnold"/>
    <d v="2020-01-23T08:35:02"/>
    <s v="d7292136-f46a-487e-a87d-2f3f5a8102cf"/>
    <s v="https://www.commcarehq.org/a/demo-18/reports/form_data/d7292136-f46a-487e-a87d-2f3f5a8102cf/"/>
  </r>
  <r>
    <x v="62"/>
    <n v="8.9"/>
    <d v="2020-07-08T00:00:00"/>
    <d v="2020-06-08T00:00:00"/>
    <s v="no"/>
    <s v="---"/>
    <s v="---"/>
    <s v="---"/>
    <x v="7"/>
    <s v="no"/>
    <s v="---"/>
    <s v="https://www.commcarehq.org/a/demo-18/api/form/attachment/86c232f4-efb9-43d0-a9ed-9209464d1b04/1591598972962.jpg"/>
    <s v="https://www.commcarehq.org/a/demo-18/api/form/attachment/86c232f4-efb9-43d0-a9ed-9209464d1b04/1591598988683.jpg"/>
    <s v="https://www.commcarehq.org/a/demo-18/api/form/attachment/86c232f4-efb9-43d0-a9ed-9209464d1b04/1591599020522.jpg"/>
    <s v="https://www.commcarehq.org/a/demo-18/api/form/attachment/86c232f4-efb9-43d0-a9ed-9209464d1b04/1591599028745.jpg"/>
    <s v="https://www.commcarehq.org/a/demo-18/api/form/attachment/86c232f4-efb9-43d0-a9ed-9209464d1b04/1591599047423.jpg"/>
    <s v="https://www.commcarehq.org/a/demo-18/api/form/attachment/86c232f4-efb9-43d0-a9ed-9209464d1b04/1591599057146.jpg"/>
    <d v="2020-06-08T06:51:06"/>
    <d v="2020-06-08T06:48:52"/>
    <s v="arnold"/>
    <d v="2020-06-08T06:52:32"/>
    <s v="86c232f4-efb9-43d0-a9ed-9209464d1b04"/>
    <s v="https://www.commcarehq.org/a/demo-18/reports/form_data/86c232f4-efb9-43d0-a9ed-9209464d1b04/"/>
  </r>
  <r>
    <x v="63"/>
    <n v="7.3"/>
    <d v="2020-07-08T00:00:00"/>
    <d v="2020-06-08T00:00:00"/>
    <s v="no"/>
    <s v="---"/>
    <s v="---"/>
    <s v="---"/>
    <x v="7"/>
    <s v="no"/>
    <s v="---"/>
    <s v="https://www.commcarehq.org/a/demo-18/api/form/attachment/ed884cea-0b60-4942-a3ee-ab79ed3c5ff5/1591599270346.jpg"/>
    <s v="https://www.commcarehq.org/a/demo-18/api/form/attachment/ed884cea-0b60-4942-a3ee-ab79ed3c5ff5/1591599289096.jpg"/>
    <s v="https://www.commcarehq.org/a/demo-18/api/form/attachment/ed884cea-0b60-4942-a3ee-ab79ed3c5ff5/1591599318866.jpg"/>
    <s v="https://www.commcarehq.org/a/demo-18/api/form/attachment/ed884cea-0b60-4942-a3ee-ab79ed3c5ff5/1591599326512.jpg"/>
    <s v="https://www.commcarehq.org/a/demo-18/api/form/attachment/ed884cea-0b60-4942-a3ee-ab79ed3c5ff5/1591599341529.jpg"/>
    <s v="https://www.commcarehq.org/a/demo-18/api/form/attachment/ed884cea-0b60-4942-a3ee-ab79ed3c5ff5/1591599352224.jpg"/>
    <d v="2020-06-08T06:55:53"/>
    <d v="2020-06-08T06:53:52"/>
    <s v="arnold"/>
    <d v="2020-06-08T06:57:20"/>
    <s v="ed884cea-0b60-4942-a3ee-ab79ed3c5ff5"/>
    <s v="https://www.commcarehq.org/a/demo-18/reports/form_data/ed884cea-0b60-4942-a3ee-ab79ed3c5ff5/"/>
  </r>
  <r>
    <x v="64"/>
    <n v="6.2"/>
    <d v="2020-03-07T00:00:00"/>
    <d v="2020-02-06T00:00:00"/>
    <s v="no"/>
    <s v="---"/>
    <s v="---"/>
    <s v="---"/>
    <x v="1"/>
    <s v="no"/>
    <s v="---"/>
    <s v="https://www.commcarehq.org/a/demo-18/api/form/attachment/e8da5d8e-2b65-427e-8bcd-7561ec2500a6/1580970278621.jpg"/>
    <s v="https://www.commcarehq.org/a/demo-18/api/form/attachment/e8da5d8e-2b65-427e-8bcd-7561ec2500a6/1580970294314.jpg"/>
    <s v="https://www.commcarehq.org/a/demo-18/api/form/attachment/e8da5d8e-2b65-427e-8bcd-7561ec2500a6/1580970356629.jpg"/>
    <s v="https://www.commcarehq.org/a/demo-18/api/form/attachment/e8da5d8e-2b65-427e-8bcd-7561ec2500a6/1580970365849.jpg"/>
    <s v="https://www.commcarehq.org/a/demo-18/api/form/attachment/e8da5d8e-2b65-427e-8bcd-7561ec2500a6/1580970378619.jpg"/>
    <s v="https://www.commcarehq.org/a/demo-18/api/form/attachment/e8da5d8e-2b65-427e-8bcd-7561ec2500a6/1580970387938.jpg"/>
    <d v="2020-02-06T06:26:30"/>
    <d v="2020-02-06T06:23:55"/>
    <s v="arnold"/>
    <d v="2020-02-06T06:26:47"/>
    <s v="e8da5d8e-2b65-427e-8bcd-7561ec2500a6"/>
    <s v="https://www.commcarehq.org/a/demo-18/reports/form_data/e8da5d8e-2b65-427e-8bcd-7561ec2500a6/"/>
  </r>
  <r>
    <x v="65"/>
    <n v="8.1999999999999993"/>
    <d v="2020-02-19T00:00:00"/>
    <d v="2020-01-20T00:00:00"/>
    <s v="no"/>
    <s v="---"/>
    <s v="---"/>
    <s v="---"/>
    <x v="1"/>
    <s v="no"/>
    <s v="---"/>
    <s v="https://www.commcarehq.org/a/demo-18/api/form/attachment/ff1ff339-1b38-4a65-b869-3f989f35091d/1579502446185.jpg"/>
    <s v="https://www.commcarehq.org/a/demo-18/api/form/attachment/ff1ff339-1b38-4a65-b869-3f989f35091d/1579502460993.jpg"/>
    <s v="https://www.commcarehq.org/a/demo-18/api/form/attachment/ff1ff339-1b38-4a65-b869-3f989f35091d/1579502510112.jpg"/>
    <s v="https://www.commcarehq.org/a/demo-18/api/form/attachment/ff1ff339-1b38-4a65-b869-3f989f35091d/1579502524850.jpg"/>
    <s v="https://www.commcarehq.org/a/demo-18/api/form/attachment/ff1ff339-1b38-4a65-b869-3f989f35091d/1579502539165.jpg"/>
    <s v="https://www.commcarehq.org/a/demo-18/api/form/attachment/ff1ff339-1b38-4a65-b869-3f989f35091d/1579502552876.jpg"/>
    <d v="2020-01-20T06:42:35"/>
    <d v="2020-01-20T06:40:00"/>
    <s v="arnold"/>
    <d v="2020-01-20T06:42:51"/>
    <s v="ff1ff339-1b38-4a65-b869-3f989f35091d"/>
    <s v="https://www.commcarehq.org/a/demo-18/reports/form_data/ff1ff339-1b38-4a65-b869-3f989f35091d/"/>
  </r>
  <r>
    <x v="66"/>
    <n v="8.4"/>
    <d v="2020-02-16T00:00:00"/>
    <d v="2020-01-17T00:00:00"/>
    <s v="no"/>
    <s v="---"/>
    <s v="---"/>
    <s v="---"/>
    <x v="15"/>
    <s v="no"/>
    <s v="---"/>
    <s v="https://www.commcarehq.org/a/demo-18/api/form/attachment/e17b42cf-397e-4994-934e-7185ba1b09b4/1579254290881.jpg"/>
    <s v="https://www.commcarehq.org/a/demo-18/api/form/attachment/e17b42cf-397e-4994-934e-7185ba1b09b4/1579254308889.jpg"/>
    <s v="https://www.commcarehq.org/a/demo-18/api/form/attachment/e17b42cf-397e-4994-934e-7185ba1b09b4/1579254352502.jpg"/>
    <s v="https://www.commcarehq.org/a/demo-18/api/form/attachment/e17b42cf-397e-4994-934e-7185ba1b09b4/1579254364997.jpg"/>
    <s v="https://www.commcarehq.org/a/demo-18/api/form/attachment/e17b42cf-397e-4994-934e-7185ba1b09b4/1579254379297.jpg"/>
    <s v="https://www.commcarehq.org/a/demo-18/api/form/attachment/e17b42cf-397e-4994-934e-7185ba1b09b4/1579254394347.jpg"/>
    <d v="2020-01-17T09:46:36"/>
    <d v="2020-01-17T09:43:41"/>
    <s v="arnold"/>
    <d v="2020-01-17T09:46:55"/>
    <s v="e17b42cf-397e-4994-934e-7185ba1b09b4"/>
    <s v="https://www.commcarehq.org/a/demo-18/reports/form_data/e17b42cf-397e-4994-934e-7185ba1b09b4/"/>
  </r>
  <r>
    <x v="67"/>
    <n v="7.2"/>
    <d v="2020-03-07T00:00:00"/>
    <d v="2020-02-06T00:00:00"/>
    <s v="no"/>
    <s v="---"/>
    <s v="---"/>
    <s v="---"/>
    <x v="1"/>
    <s v="no"/>
    <s v="---"/>
    <s v="https://www.commcarehq.org/a/demo-18/api/form/attachment/977b9ec0-1f73-4279-8b45-79ec006d8a72/1580981407552.jpg"/>
    <s v="https://www.commcarehq.org/a/demo-18/api/form/attachment/977b9ec0-1f73-4279-8b45-79ec006d8a72/1580981426268.jpg"/>
    <s v="https://www.commcarehq.org/a/demo-18/api/form/attachment/977b9ec0-1f73-4279-8b45-79ec006d8a72/1580981676424.jpg"/>
    <s v="https://www.commcarehq.org/a/demo-18/api/form/attachment/977b9ec0-1f73-4279-8b45-79ec006d8a72/1580981684482.jpg"/>
    <s v="https://www.commcarehq.org/a/demo-18/api/form/attachment/977b9ec0-1f73-4279-8b45-79ec006d8a72/1580981704579.jpg"/>
    <s v="https://www.commcarehq.org/a/demo-18/api/form/attachment/977b9ec0-1f73-4279-8b45-79ec006d8a72/1580981712409.jpg"/>
    <d v="2020-02-06T09:35:14"/>
    <d v="2020-02-06T09:29:21"/>
    <s v="arnold"/>
    <d v="2020-02-07T05:00:13"/>
    <s v="977b9ec0-1f73-4279-8b45-79ec006d8a72"/>
    <s v="https://www.commcarehq.org/a/demo-18/reports/form_data/977b9ec0-1f73-4279-8b45-79ec006d8a72/"/>
  </r>
  <r>
    <x v="68"/>
    <n v="8.1999999999999993"/>
    <d v="2020-02-05T00:00:00"/>
    <d v="2020-01-06T00:00:00"/>
    <s v="no"/>
    <s v="---"/>
    <s v="---"/>
    <s v="---"/>
    <x v="2"/>
    <s v="no"/>
    <s v="---"/>
    <s v="https://www.commcarehq.org/a/demo-18/api/form/attachment/6e2d9c7b-fea9-47c8-b43b-fe2095f50725/1578296539406.jpg"/>
    <s v="https://www.commcarehq.org/a/demo-18/api/form/attachment/6e2d9c7b-fea9-47c8-b43b-fe2095f50725/1578296557325.jpg"/>
    <s v="https://www.commcarehq.org/a/demo-18/api/form/attachment/6e2d9c7b-fea9-47c8-b43b-fe2095f50725/1578296586070.jpg"/>
    <s v="https://www.commcarehq.org/a/demo-18/api/form/attachment/6e2d9c7b-fea9-47c8-b43b-fe2095f50725/1578296631619.jpg"/>
    <s v="https://www.commcarehq.org/a/demo-18/api/form/attachment/6e2d9c7b-fea9-47c8-b43b-fe2095f50725/1578296646150.jpg"/>
    <s v="https://www.commcarehq.org/a/demo-18/api/form/attachment/6e2d9c7b-fea9-47c8-b43b-fe2095f50725/1578296656315.jpg"/>
    <d v="2020-01-06T07:44:18"/>
    <d v="2020-01-06T07:41:33"/>
    <s v="arnold"/>
    <d v="2020-01-06T07:54:53"/>
    <s v="6e2d9c7b-fea9-47c8-b43b-fe2095f50725"/>
    <s v="https://www.commcarehq.org/a/demo-18/reports/form_data/6e2d9c7b-fea9-47c8-b43b-fe2095f50725/"/>
  </r>
  <r>
    <x v="69"/>
    <n v="7.6"/>
    <d v="2020-02-07T00:00:00"/>
    <d v="2020-01-08T00:00:00"/>
    <s v="no"/>
    <s v="---"/>
    <s v="---"/>
    <s v="---"/>
    <x v="10"/>
    <s v="no"/>
    <s v="---"/>
    <s v="https://www.commcarehq.org/a/demo-18/api/form/attachment/15750c0f-5702-4b1b-b98c-cce14ea694b9/1578468318020.jpg"/>
    <s v="https://www.commcarehq.org/a/demo-18/api/form/attachment/15750c0f-5702-4b1b-b98c-cce14ea694b9/1578468342966.jpg"/>
    <s v="https://www.commcarehq.org/a/demo-18/api/form/attachment/15750c0f-5702-4b1b-b98c-cce14ea694b9/1578468491383.jpg"/>
    <s v="https://www.commcarehq.org/a/demo-18/api/form/attachment/15750c0f-5702-4b1b-b98c-cce14ea694b9/1578468501231.jpg"/>
    <s v="https://www.commcarehq.org/a/demo-18/api/form/attachment/15750c0f-5702-4b1b-b98c-cce14ea694b9/1578468518139.jpg"/>
    <s v="https://www.commcarehq.org/a/demo-18/api/form/attachment/15750c0f-5702-4b1b-b98c-cce14ea694b9/1578468529867.jpg"/>
    <d v="2020-01-08T07:28:52"/>
    <d v="2020-01-08T07:24:18"/>
    <s v="arnold"/>
    <d v="2020-01-08T07:29:09"/>
    <s v="15750c0f-5702-4b1b-b98c-cce14ea694b9"/>
    <s v="https://www.commcarehq.org/a/demo-18/reports/form_data/15750c0f-5702-4b1b-b98c-cce14ea694b9/"/>
  </r>
  <r>
    <x v="70"/>
    <n v="7.7"/>
    <d v="2020-02-14T00:00:00"/>
    <d v="2020-01-15T00:00:00"/>
    <s v="no"/>
    <s v="---"/>
    <s v="---"/>
    <s v="---"/>
    <x v="1"/>
    <s v="no"/>
    <s v="---"/>
    <s v="https://www.commcarehq.org/a/demo-18/api/form/attachment/7a958ab4-3e4b-4f2b-9dbe-ff30b59adb87/1579071621032.jpg"/>
    <s v="https://www.commcarehq.org/a/demo-18/api/form/attachment/7a958ab4-3e4b-4f2b-9dbe-ff30b59adb87/1579071646337.jpg"/>
    <s v="https://www.commcarehq.org/a/demo-18/api/form/attachment/7a958ab4-3e4b-4f2b-9dbe-ff30b59adb87/1579071698211.jpg"/>
    <s v="https://www.commcarehq.org/a/demo-18/api/form/attachment/7a958ab4-3e4b-4f2b-9dbe-ff30b59adb87/1579071709284.jpg"/>
    <s v="https://www.commcarehq.org/a/demo-18/api/form/attachment/7a958ab4-3e4b-4f2b-9dbe-ff30b59adb87/1579071725298.jpg"/>
    <s v="https://www.commcarehq.org/a/demo-18/api/form/attachment/7a958ab4-3e4b-4f2b-9dbe-ff30b59adb87/1579071734822.jpg"/>
    <d v="2020-01-15T07:02:18"/>
    <d v="2020-01-15T06:59:36"/>
    <s v="arnold"/>
    <d v="2020-01-15T07:02:38"/>
    <s v="7a958ab4-3e4b-4f2b-9dbe-ff30b59adb87"/>
    <s v="https://www.commcarehq.org/a/demo-18/reports/form_data/7a958ab4-3e4b-4f2b-9dbe-ff30b59adb87/"/>
  </r>
  <r>
    <x v="71"/>
    <n v="7.6"/>
    <d v="2020-02-23T00:00:00"/>
    <d v="2020-01-24T00:00:00"/>
    <s v="no"/>
    <s v="---"/>
    <s v="---"/>
    <s v="---"/>
    <x v="9"/>
    <s v="no"/>
    <s v="---"/>
    <s v="https://www.commcarehq.org/a/demo-18/api/form/attachment/a12891db-347c-425d-8366-931590710143/1579852130367.jpg"/>
    <s v="https://www.commcarehq.org/a/demo-18/api/form/attachment/a12891db-347c-425d-8366-931590710143/1579852148844.jpg"/>
    <s v="https://www.commcarehq.org/a/demo-18/api/form/attachment/a12891db-347c-425d-8366-931590710143/1579852190530.jpg"/>
    <s v="https://www.commcarehq.org/a/demo-18/api/form/attachment/a12891db-347c-425d-8366-931590710143/1579852200264.jpg"/>
    <s v="https://www.commcarehq.org/a/demo-18/api/form/attachment/a12891db-347c-425d-8366-931590710143/1579852216323.jpg"/>
    <s v="https://www.commcarehq.org/a/demo-18/api/form/attachment/a12891db-347c-425d-8366-931590710143/1579852226516.jpg"/>
    <d v="2020-01-24T07:50:28"/>
    <d v="2020-01-24T07:48:14"/>
    <s v="arnold"/>
    <d v="2020-01-24T07:50:55"/>
    <s v="a12891db-347c-425d-8366-931590710143"/>
    <s v="https://www.commcarehq.org/a/demo-18/reports/form_data/a12891db-347c-425d-8366-931590710143/"/>
  </r>
  <r>
    <x v="72"/>
    <n v="6.2"/>
    <d v="2020-03-21T00:00:00"/>
    <d v="2020-02-20T00:00:00"/>
    <s v="no"/>
    <s v="---"/>
    <s v="---"/>
    <s v="---"/>
    <x v="16"/>
    <s v="no"/>
    <s v="---"/>
    <s v="https://www.commcarehq.org/a/demo-18/api/form/attachment/a8300ede-931a-49b3-a8c5-4b955d7f6a2c/1582189821695.jpg"/>
    <s v="https://www.commcarehq.org/a/demo-18/api/form/attachment/a8300ede-931a-49b3-a8c5-4b955d7f6a2c/1582189837043.jpg"/>
    <s v="https://www.commcarehq.org/a/demo-18/api/form/attachment/a8300ede-931a-49b3-a8c5-4b955d7f6a2c/1582189876612.jpg"/>
    <s v="https://www.commcarehq.org/a/demo-18/api/form/attachment/a8300ede-931a-49b3-a8c5-4b955d7f6a2c/1582189885628.jpg"/>
    <s v="https://www.commcarehq.org/a/demo-18/api/form/attachment/a8300ede-931a-49b3-a8c5-4b955d7f6a2c/1582189903323.jpg"/>
    <s v="https://www.commcarehq.org/a/demo-18/api/form/attachment/a8300ede-931a-49b3-a8c5-4b955d7f6a2c/1582189912295.jpg"/>
    <d v="2020-02-20T09:11:54"/>
    <d v="2020-02-20T09:09:34"/>
    <s v="arnold"/>
    <d v="2020-02-20T09:12:26"/>
    <s v="a8300ede-931a-49b3-a8c5-4b955d7f6a2c"/>
    <s v="https://www.commcarehq.org/a/demo-18/reports/form_data/a8300ede-931a-49b3-a8c5-4b955d7f6a2c/"/>
  </r>
  <r>
    <x v="73"/>
    <n v="6.9"/>
    <d v="2020-03-27T00:00:00"/>
    <d v="2020-02-26T00:00:00"/>
    <s v="no"/>
    <s v="---"/>
    <s v="---"/>
    <s v="---"/>
    <x v="8"/>
    <s v="no"/>
    <s v="---"/>
    <s v="https://www.commcarehq.org/a/demo-18/api/form/attachment/06ef3e81-ec19-4ba6-bc53-fd0d8f8a87cc/1582705242806.jpg"/>
    <s v="https://www.commcarehq.org/a/demo-18/api/form/attachment/06ef3e81-ec19-4ba6-bc53-fd0d8f8a87cc/1582705256230.jpg"/>
    <s v="https://www.commcarehq.org/a/demo-18/api/form/attachment/06ef3e81-ec19-4ba6-bc53-fd0d8f8a87cc/1582705331279.jpg"/>
    <s v="https://www.commcarehq.org/a/demo-18/api/form/attachment/06ef3e81-ec19-4ba6-bc53-fd0d8f8a87cc/1582705340363.jpg"/>
    <s v="https://www.commcarehq.org/a/demo-18/api/form/attachment/06ef3e81-ec19-4ba6-bc53-fd0d8f8a87cc/1582705352701.jpg"/>
    <s v="https://www.commcarehq.org/a/demo-18/api/form/attachment/06ef3e81-ec19-4ba6-bc53-fd0d8f8a87cc/1582705363180.jpg"/>
    <d v="2020-02-26T08:22:45"/>
    <d v="2020-02-26T08:19:50"/>
    <s v="arnold"/>
    <d v="2020-02-26T11:20:18"/>
    <s v="06ef3e81-ec19-4ba6-bc53-fd0d8f8a87cc"/>
    <s v="https://www.commcarehq.org/a/demo-18/reports/form_data/06ef3e81-ec19-4ba6-bc53-fd0d8f8a87cc/"/>
  </r>
  <r>
    <x v="74"/>
    <n v="7.1"/>
    <d v="2020-03-25T00:00:00"/>
    <d v="2020-02-24T00:00:00"/>
    <s v="no"/>
    <s v="---"/>
    <s v="---"/>
    <s v="---"/>
    <x v="4"/>
    <s v="no"/>
    <s v="---"/>
    <s v="https://www.commcarehq.org/a/demo-18/api/form/attachment/72e7a26f-fbc7-4c78-a3dc-fa11be4faf41/1582537831485.jpg"/>
    <s v="https://www.commcarehq.org/a/demo-18/api/form/attachment/72e7a26f-fbc7-4c78-a3dc-fa11be4faf41/1582537846534.jpg"/>
    <s v="https://www.commcarehq.org/a/demo-18/api/form/attachment/72e7a26f-fbc7-4c78-a3dc-fa11be4faf41/1582537878843.jpg"/>
    <s v="https://www.commcarehq.org/a/demo-18/api/form/attachment/72e7a26f-fbc7-4c78-a3dc-fa11be4faf41/1582537887970.jpg"/>
    <s v="https://www.commcarehq.org/a/demo-18/api/form/attachment/72e7a26f-fbc7-4c78-a3dc-fa11be4faf41/1582537909171.jpg"/>
    <s v="https://www.commcarehq.org/a/demo-18/api/form/attachment/72e7a26f-fbc7-4c78-a3dc-fa11be4faf41/1582537926768.jpg"/>
    <d v="2020-02-24T09:52:08"/>
    <d v="2020-02-24T09:49:49"/>
    <s v="arnold"/>
    <d v="2020-02-24T09:52:27"/>
    <s v="72e7a26f-fbc7-4c78-a3dc-fa11be4faf41"/>
    <s v="https://www.commcarehq.org/a/demo-18/reports/form_data/72e7a26f-fbc7-4c78-a3dc-fa11be4faf41/"/>
  </r>
  <r>
    <x v="75"/>
    <n v="7.5"/>
    <d v="2020-03-25T00:00:00"/>
    <d v="2020-02-24T00:00:00"/>
    <s v="no"/>
    <s v="---"/>
    <s v="---"/>
    <s v="---"/>
    <x v="4"/>
    <s v="no"/>
    <s v="---"/>
    <s v="https://www.commcarehq.org/a/demo-18/api/form/attachment/e2ffeadc-b8af-42b2-b3a0-b1596d4c8782/1582527997503.jpg"/>
    <s v="https://www.commcarehq.org/a/demo-18/api/form/attachment/e2ffeadc-b8af-42b2-b3a0-b1596d4c8782/1582528013330.jpg"/>
    <s v="https://www.commcarehq.org/a/demo-18/api/form/attachment/e2ffeadc-b8af-42b2-b3a0-b1596d4c8782/1582528061401.jpg"/>
    <s v="https://www.commcarehq.org/a/demo-18/api/form/attachment/e2ffeadc-b8af-42b2-b3a0-b1596d4c8782/1582528079234.jpg"/>
    <s v="https://www.commcarehq.org/a/demo-18/api/form/attachment/e2ffeadc-b8af-42b2-b3a0-b1596d4c8782/1582528092827.jpg"/>
    <s v="https://www.commcarehq.org/a/demo-18/api/form/attachment/e2ffeadc-b8af-42b2-b3a0-b1596d4c8782/1582528102843.jpg"/>
    <d v="2020-02-24T07:08:24"/>
    <d v="2020-02-24T07:05:55"/>
    <s v="arnold"/>
    <d v="2020-02-24T07:08:42"/>
    <s v="e2ffeadc-b8af-42b2-b3a0-b1596d4c8782"/>
    <s v="https://www.commcarehq.org/a/demo-18/reports/form_data/e2ffeadc-b8af-42b2-b3a0-b1596d4c8782/"/>
  </r>
  <r>
    <x v="76"/>
    <n v="7.8"/>
    <d v="2020-03-15T00:00:00"/>
    <d v="2020-02-14T00:00:00"/>
    <s v="no"/>
    <s v="---"/>
    <s v="---"/>
    <s v="---"/>
    <x v="9"/>
    <s v="no"/>
    <s v="---"/>
    <s v="https://www.commcarehq.org/a/demo-18/api/form/attachment/1c07bf5d-5f69-4686-9e97-dd37a3fc7fca/1581666686848.jpg"/>
    <s v="https://www.commcarehq.org/a/demo-18/api/form/attachment/1c07bf5d-5f69-4686-9e97-dd37a3fc7fca/1581666700439.jpg"/>
    <s v="https://www.commcarehq.org/a/demo-18/api/form/attachment/1c07bf5d-5f69-4686-9e97-dd37a3fc7fca/1581666759955.jpg"/>
    <s v="https://www.commcarehq.org/a/demo-18/api/form/attachment/1c07bf5d-5f69-4686-9e97-dd37a3fc7fca/1581666769417.jpg"/>
    <s v="https://www.commcarehq.org/a/demo-18/api/form/attachment/1c07bf5d-5f69-4686-9e97-dd37a3fc7fca/1581666794144.jpg"/>
    <s v="https://www.commcarehq.org/a/demo-18/api/form/attachment/1c07bf5d-5f69-4686-9e97-dd37a3fc7fca/1581666803388.jpg"/>
    <d v="2020-02-14T07:53:25"/>
    <d v="2020-02-14T07:50:22"/>
    <s v="arnold"/>
    <d v="2020-02-14T07:53:50"/>
    <s v="1c07bf5d-5f69-4686-9e97-dd37a3fc7fca"/>
    <s v="https://www.commcarehq.org/a/demo-18/reports/form_data/1c07bf5d-5f69-4686-9e97-dd37a3fc7fca/"/>
  </r>
  <r>
    <x v="77"/>
    <n v="5.6"/>
    <d v="2020-06-13T00:00:00"/>
    <d v="2020-05-14T00:00:00"/>
    <s v="no"/>
    <s v="---"/>
    <s v="---"/>
    <s v="---"/>
    <x v="8"/>
    <s v="no"/>
    <s v="---"/>
    <s v="https://www.commcarehq.org/a/demo-18/api/form/attachment/4f0dff3d-251b-40bd-ae81-8602d95d9b40/1589439908052.jpg"/>
    <s v="https://www.commcarehq.org/a/demo-18/api/form/attachment/4f0dff3d-251b-40bd-ae81-8602d95d9b40/1589439923569.jpg"/>
    <s v="https://www.commcarehq.org/a/demo-18/api/form/attachment/4f0dff3d-251b-40bd-ae81-8602d95d9b40/1589439968688.jpg"/>
    <s v="https://www.commcarehq.org/a/demo-18/api/form/attachment/4f0dff3d-251b-40bd-ae81-8602d95d9b40/1589439978684.jpg"/>
    <s v="https://www.commcarehq.org/a/demo-18/api/form/attachment/4f0dff3d-251b-40bd-ae81-8602d95d9b40/1589440011970.jpg"/>
    <s v="https://www.commcarehq.org/a/demo-18/api/form/attachment/4f0dff3d-251b-40bd-ae81-8602d95d9b40/1589440026198.jpg"/>
    <d v="2020-05-14T07:07:08"/>
    <d v="2020-05-14T07:04:24"/>
    <s v="arnold"/>
    <d v="2020-05-14T07:08:09"/>
    <s v="4f0dff3d-251b-40bd-ae81-8602d95d9b40"/>
    <s v="https://www.commcarehq.org/a/demo-18/reports/form_data/4f0dff3d-251b-40bd-ae81-8602d95d9b40/"/>
  </r>
  <r>
    <x v="78"/>
    <n v="6.8"/>
    <d v="2020-06-14T00:00:00"/>
    <d v="2020-05-15T00:00:00"/>
    <s v="no"/>
    <s v="---"/>
    <s v="---"/>
    <s v="---"/>
    <x v="4"/>
    <s v="no"/>
    <s v="---"/>
    <s v="https://www.commcarehq.org/a/demo-18/api/form/attachment/da43925b-59e4-4297-aa7f-ddad3e5fe54b/1589524276132.jpg"/>
    <s v="https://www.commcarehq.org/a/demo-18/api/form/attachment/da43925b-59e4-4297-aa7f-ddad3e5fe54b/1589524289732.jpg"/>
    <s v="https://www.commcarehq.org/a/demo-18/api/form/attachment/da43925b-59e4-4297-aa7f-ddad3e5fe54b/1589524350534.jpg"/>
    <s v="https://www.commcarehq.org/a/demo-18/api/form/attachment/da43925b-59e4-4297-aa7f-ddad3e5fe54b/1589524362882.jpg"/>
    <s v="https://www.commcarehq.org/a/demo-18/api/form/attachment/da43925b-59e4-4297-aa7f-ddad3e5fe54b/1589524377834.jpg"/>
    <s v="https://www.commcarehq.org/a/demo-18/api/form/attachment/da43925b-59e4-4297-aa7f-ddad3e5fe54b/1589524392464.jpg"/>
    <d v="2020-05-15T06:33:14"/>
    <d v="2020-05-15T06:30:34"/>
    <s v="arnold"/>
    <d v="2020-05-15T07:11:01"/>
    <s v="da43925b-59e4-4297-aa7f-ddad3e5fe54b"/>
    <s v="https://www.commcarehq.org/a/demo-18/reports/form_data/da43925b-59e4-4297-aa7f-ddad3e5fe54b/"/>
  </r>
  <r>
    <x v="79"/>
    <n v="13"/>
    <d v="2020-06-20T00:00:00"/>
    <d v="2020-05-21T00:00:00"/>
    <s v="no"/>
    <s v="---"/>
    <s v="---"/>
    <s v="---"/>
    <x v="7"/>
    <s v="no"/>
    <s v="---"/>
    <s v="https://www.commcarehq.org/a/demo-18/api/form/attachment/2b8ac6cd-0041-4219-8cd7-ae157962905e/1590047440075.jpg"/>
    <s v="https://www.commcarehq.org/a/demo-18/api/form/attachment/2b8ac6cd-0041-4219-8cd7-ae157962905e/1590047457622.jpg"/>
    <s v="https://www.commcarehq.org/a/demo-18/api/form/attachment/2b8ac6cd-0041-4219-8cd7-ae157962905e/1590047530498.jpg"/>
    <s v="https://www.commcarehq.org/a/demo-18/api/form/attachment/2b8ac6cd-0041-4219-8cd7-ae157962905e/1590047540335.jpg"/>
    <s v="https://www.commcarehq.org/a/demo-18/api/form/attachment/2b8ac6cd-0041-4219-8cd7-ae157962905e/1590047556238.jpg"/>
    <s v="https://www.commcarehq.org/a/demo-18/api/form/attachment/2b8ac6cd-0041-4219-8cd7-ae157962905e/1590047570186.jpg"/>
    <d v="2020-05-21T07:52:51"/>
    <d v="2020-05-21T07:49:33"/>
    <s v="arnold"/>
    <d v="2020-05-21T07:53:08"/>
    <s v="2b8ac6cd-0041-4219-8cd7-ae157962905e"/>
    <s v="https://www.commcarehq.org/a/demo-18/reports/form_data/2b8ac6cd-0041-4219-8cd7-ae157962905e/"/>
  </r>
  <r>
    <x v="80"/>
    <m/>
    <m/>
    <m/>
    <m/>
    <m/>
    <m/>
    <m/>
    <x v="17"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5000000}" name="PivotTable6" cacheId="3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UFC Condition">
  <location ref="P1:Q17" firstHeaderRow="1" firstDataRow="1" firstDataCol="1"/>
  <pivotFields count="23">
    <pivotField axis="axisRow" dataField="1" showAll="0">
      <items count="56">
        <item x="28"/>
        <item x="2"/>
        <item x="11"/>
        <item x="21"/>
        <item x="18"/>
        <item x="7"/>
        <item x="10"/>
        <item x="20"/>
        <item x="45"/>
        <item x="1"/>
        <item x="22"/>
        <item x="30"/>
        <item x="43"/>
        <item x="42"/>
        <item x="44"/>
        <item x="29"/>
        <item x="54"/>
        <item x="12"/>
        <item x="16"/>
        <item x="15"/>
        <item x="17"/>
        <item x="31"/>
        <item x="52"/>
        <item x="19"/>
        <item x="34"/>
        <item x="33"/>
        <item x="37"/>
        <item x="35"/>
        <item x="9"/>
        <item x="36"/>
        <item x="0"/>
        <item x="4"/>
        <item x="25"/>
        <item x="48"/>
        <item x="8"/>
        <item x="32"/>
        <item x="46"/>
        <item x="3"/>
        <item x="6"/>
        <item x="24"/>
        <item x="23"/>
        <item x="26"/>
        <item x="47"/>
        <item x="50"/>
        <item x="51"/>
        <item x="49"/>
        <item x="5"/>
        <item x="13"/>
        <item x="14"/>
        <item x="27"/>
        <item x="38"/>
        <item x="39"/>
        <item x="40"/>
        <item x="41"/>
        <item x="5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17">
        <item sd="0" x="1"/>
        <item sd="0" x="3"/>
        <item sd="0" x="4"/>
        <item sd="0" x="0"/>
        <item h="1" sd="0" x="15"/>
        <item sd="0" x="2"/>
        <item sd="0" x="10"/>
        <item sd="0" x="9"/>
        <item sd="0" x="7"/>
        <item sd="0" x="8"/>
        <item sd="0" x="14"/>
        <item sd="0" x="5"/>
        <item sd="0" x="6"/>
        <item sd="0" x="11"/>
        <item sd="0" x="12"/>
        <item sd="0"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8"/>
    <field x="0"/>
  </rowFields>
  <rowItems count="16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5M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6000000}" name="PivotTable7" cacheId="3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UFC Condition">
  <location ref="S1:T18" firstHeaderRow="1" firstDataRow="1" firstDataCol="1"/>
  <pivotFields count="23">
    <pivotField axis="axisRow" dataField="1" showAll="0">
      <items count="82">
        <item x="56"/>
        <item x="0"/>
        <item x="3"/>
        <item x="55"/>
        <item x="80"/>
        <item x="1"/>
        <item x="2"/>
        <item x="25"/>
        <item x="42"/>
        <item x="57"/>
        <item x="24"/>
        <item x="26"/>
        <item x="49"/>
        <item x="50"/>
        <item x="60"/>
        <item x="68"/>
        <item x="69"/>
        <item x="4"/>
        <item x="5"/>
        <item x="32"/>
        <item x="59"/>
        <item x="70"/>
        <item x="45"/>
        <item x="46"/>
        <item x="66"/>
        <item x="65"/>
        <item x="9"/>
        <item x="11"/>
        <item x="7"/>
        <item x="10"/>
        <item x="8"/>
        <item x="28"/>
        <item x="27"/>
        <item x="29"/>
        <item x="31"/>
        <item x="30"/>
        <item x="51"/>
        <item x="47"/>
        <item x="48"/>
        <item x="61"/>
        <item x="58"/>
        <item x="71"/>
        <item x="14"/>
        <item x="6"/>
        <item x="12"/>
        <item x="13"/>
        <item x="21"/>
        <item x="23"/>
        <item x="33"/>
        <item x="22"/>
        <item x="35"/>
        <item x="37"/>
        <item x="36"/>
        <item x="38"/>
        <item x="43"/>
        <item x="44"/>
        <item x="67"/>
        <item x="64"/>
        <item x="76"/>
        <item x="72"/>
        <item x="75"/>
        <item x="74"/>
        <item x="73"/>
        <item x="15"/>
        <item x="16"/>
        <item x="17"/>
        <item x="18"/>
        <item x="19"/>
        <item x="20"/>
        <item x="34"/>
        <item x="39"/>
        <item x="40"/>
        <item x="41"/>
        <item x="52"/>
        <item x="53"/>
        <item x="54"/>
        <item x="62"/>
        <item x="63"/>
        <item x="77"/>
        <item x="78"/>
        <item x="7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19">
        <item sd="0" x="1"/>
        <item sd="0" x="3"/>
        <item sd="0" x="0"/>
        <item sd="0" x="2"/>
        <item h="1" sd="0" x="17"/>
        <item sd="0" x="9"/>
        <item sd="0" x="10"/>
        <item sd="0" x="14"/>
        <item sd="0" x="5"/>
        <item sd="0" x="15"/>
        <item sd="0" x="4"/>
        <item sd="0" x="11"/>
        <item h="1" x="6"/>
        <item sd="0" x="12"/>
        <item sd="0" x="8"/>
        <item sd="0" x="7"/>
        <item sd="0" x="16"/>
        <item sd="0"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8"/>
    <field x="0"/>
  </rowFields>
  <rowItems count="17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6M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4000000}" name="PivotTable5" cacheId="3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UFC Condition">
  <location ref="M1:N18" firstHeaderRow="1" firstDataRow="1" firstDataCol="1"/>
  <pivotFields count="23">
    <pivotField axis="axisRow" dataField="1" showAll="0">
      <items count="113">
        <item x="88"/>
        <item x="5"/>
        <item x="20"/>
        <item x="26"/>
        <item x="21"/>
        <item x="25"/>
        <item x="2"/>
        <item x="75"/>
        <item x="74"/>
        <item x="72"/>
        <item x="52"/>
        <item x="53"/>
        <item x="92"/>
        <item x="0"/>
        <item x="94"/>
        <item x="54"/>
        <item x="96"/>
        <item x="79"/>
        <item x="95"/>
        <item x="28"/>
        <item x="80"/>
        <item x="27"/>
        <item x="4"/>
        <item x="91"/>
        <item x="89"/>
        <item x="90"/>
        <item x="55"/>
        <item x="22"/>
        <item x="56"/>
        <item x="3"/>
        <item x="23"/>
        <item x="24"/>
        <item x="73"/>
        <item x="93"/>
        <item x="1"/>
        <item x="29"/>
        <item x="97"/>
        <item x="111"/>
        <item x="76"/>
        <item x="77"/>
        <item x="78"/>
        <item x="30"/>
        <item x="51"/>
        <item x="50"/>
        <item x="6"/>
        <item x="7"/>
        <item x="57"/>
        <item x="58"/>
        <item x="87"/>
        <item x="10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81"/>
        <item x="82"/>
        <item x="83"/>
        <item x="84"/>
        <item x="85"/>
        <item x="86"/>
        <item x="98"/>
        <item x="99"/>
        <item x="100"/>
        <item x="101"/>
        <item x="102"/>
        <item x="103"/>
        <item x="104"/>
        <item x="105"/>
        <item x="106"/>
        <item x="108"/>
        <item x="109"/>
        <item x="1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18">
        <item sd="0" x="2"/>
        <item sd="0" x="0"/>
        <item sd="0" x="9"/>
        <item sd="0" x="3"/>
        <item sd="0" x="13"/>
        <item sd="0" x="10"/>
        <item sd="0" x="1"/>
        <item h="1" sd="0" x="16"/>
        <item sd="0" x="15"/>
        <item sd="0" x="4"/>
        <item sd="0" x="8"/>
        <item sd="0" x="5"/>
        <item sd="0" x="6"/>
        <item sd="0" x="7"/>
        <item sd="0" x="11"/>
        <item sd="0" x="12"/>
        <item sd="0" x="1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8"/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4M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UFC Issued">
  <location ref="A1:B3" firstHeaderRow="1" firstDataRow="1" firstDataCol="1"/>
  <pivotFields count="18">
    <pivotField axis="axisRow" dataField="1" showAll="0">
      <items count="135">
        <item x="47"/>
        <item x="19"/>
        <item x="100"/>
        <item x="120"/>
        <item x="17"/>
        <item x="46"/>
        <item x="94"/>
        <item x="18"/>
        <item x="121"/>
        <item x="70"/>
        <item x="44"/>
        <item x="59"/>
        <item x="122"/>
        <item x="45"/>
        <item x="69"/>
        <item x="123"/>
        <item x="124"/>
        <item x="80"/>
        <item x="73"/>
        <item x="25"/>
        <item x="24"/>
        <item x="72"/>
        <item x="3"/>
        <item x="97"/>
        <item x="50"/>
        <item x="43"/>
        <item x="20"/>
        <item x="21"/>
        <item x="96"/>
        <item x="129"/>
        <item x="98"/>
        <item x="128"/>
        <item x="99"/>
        <item x="30"/>
        <item x="76"/>
        <item x="79"/>
        <item x="22"/>
        <item x="48"/>
        <item x="78"/>
        <item x="77"/>
        <item x="86"/>
        <item x="75"/>
        <item x="130"/>
        <item x="49"/>
        <item x="1"/>
        <item x="131"/>
        <item x="74"/>
        <item x="87"/>
        <item x="88"/>
        <item x="132"/>
        <item x="26"/>
        <item x="2"/>
        <item x="28"/>
        <item x="29"/>
        <item x="111"/>
        <item x="84"/>
        <item x="108"/>
        <item x="107"/>
        <item x="4"/>
        <item x="85"/>
        <item x="5"/>
        <item x="110"/>
        <item x="66"/>
        <item x="27"/>
        <item x="109"/>
        <item x="13"/>
        <item x="60"/>
        <item x="103"/>
        <item x="104"/>
        <item x="35"/>
        <item x="61"/>
        <item x="102"/>
        <item x="36"/>
        <item x="62"/>
        <item x="63"/>
        <item x="37"/>
        <item x="82"/>
        <item x="105"/>
        <item x="11"/>
        <item x="32"/>
        <item x="10"/>
        <item x="31"/>
        <item x="64"/>
        <item x="83"/>
        <item x="6"/>
        <item x="7"/>
        <item x="8"/>
        <item x="106"/>
        <item x="65"/>
        <item x="9"/>
        <item x="89"/>
        <item x="90"/>
        <item x="101"/>
        <item x="33"/>
        <item x="113"/>
        <item x="91"/>
        <item x="51"/>
        <item x="14"/>
        <item x="34"/>
        <item x="112"/>
        <item x="15"/>
        <item x="56"/>
        <item x="81"/>
        <item x="117"/>
        <item x="55"/>
        <item x="58"/>
        <item x="92"/>
        <item x="40"/>
        <item x="57"/>
        <item x="38"/>
        <item x="118"/>
        <item x="39"/>
        <item x="119"/>
        <item x="23"/>
        <item x="12"/>
        <item x="115"/>
        <item x="52"/>
        <item x="116"/>
        <item x="16"/>
        <item x="114"/>
        <item x="54"/>
        <item x="53"/>
        <item x="0"/>
        <item x="67"/>
        <item x="68"/>
        <item x="41"/>
        <item x="93"/>
        <item x="42"/>
        <item x="71"/>
        <item x="125"/>
        <item x="95"/>
        <item x="127"/>
        <item x="126"/>
        <item x="133"/>
        <item t="default"/>
      </items>
    </pivotField>
    <pivotField axis="axisRow" showAll="0">
      <items count="3">
        <item sd="0" x="0"/>
        <item h="1" sd="0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0"/>
  </rowFields>
  <rowItems count="2">
    <i>
      <x/>
    </i>
    <i t="grand">
      <x/>
    </i>
  </rowItems>
  <colItems count="1">
    <i/>
  </colItems>
  <dataFields count="1">
    <dataField name="6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3000000}" name="PivotTable4" cacheId="2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UFC Condition">
  <location ref="J1:K17" firstHeaderRow="1" firstDataRow="1" firstDataCol="1"/>
  <pivotFields count="23">
    <pivotField axis="axisRow" dataField="1" showAll="0">
      <items count="115">
        <item x="44"/>
        <item x="1"/>
        <item x="99"/>
        <item x="43"/>
        <item x="0"/>
        <item x="45"/>
        <item x="58"/>
        <item x="59"/>
        <item x="98"/>
        <item x="17"/>
        <item x="2"/>
        <item x="70"/>
        <item x="23"/>
        <item x="3"/>
        <item x="95"/>
        <item x="94"/>
        <item x="24"/>
        <item x="71"/>
        <item x="4"/>
        <item x="25"/>
        <item x="63"/>
        <item x="96"/>
        <item x="89"/>
        <item x="19"/>
        <item x="90"/>
        <item x="68"/>
        <item x="20"/>
        <item x="62"/>
        <item x="21"/>
        <item x="61"/>
        <item x="87"/>
        <item x="88"/>
        <item x="42"/>
        <item x="18"/>
        <item x="14"/>
        <item x="60"/>
        <item x="97"/>
        <item x="92"/>
        <item x="91"/>
        <item x="66"/>
        <item x="7"/>
        <item x="40"/>
        <item x="37"/>
        <item x="64"/>
        <item x="6"/>
        <item x="93"/>
        <item x="38"/>
        <item x="65"/>
        <item x="39"/>
        <item x="41"/>
        <item x="5"/>
        <item x="67"/>
        <item x="22"/>
        <item x="113"/>
        <item x="8"/>
        <item x="69"/>
        <item x="100"/>
        <item x="10"/>
        <item x="13"/>
        <item x="11"/>
        <item x="9"/>
        <item x="12"/>
        <item x="15"/>
        <item x="16"/>
        <item x="26"/>
        <item x="27"/>
        <item x="28"/>
        <item x="32"/>
        <item x="33"/>
        <item x="34"/>
        <item x="29"/>
        <item x="30"/>
        <item x="31"/>
        <item x="35"/>
        <item x="51"/>
        <item x="50"/>
        <item x="47"/>
        <item x="46"/>
        <item x="48"/>
        <item x="49"/>
        <item x="54"/>
        <item x="52"/>
        <item x="55"/>
        <item x="53"/>
        <item x="72"/>
        <item x="73"/>
        <item x="82"/>
        <item x="83"/>
        <item x="81"/>
        <item x="80"/>
        <item x="75"/>
        <item x="78"/>
        <item x="76"/>
        <item x="74"/>
        <item x="79"/>
        <item x="77"/>
        <item x="106"/>
        <item x="101"/>
        <item x="102"/>
        <item x="103"/>
        <item x="108"/>
        <item x="107"/>
        <item x="104"/>
        <item x="109"/>
        <item x="105"/>
        <item x="110"/>
        <item x="36"/>
        <item x="56"/>
        <item x="57"/>
        <item x="84"/>
        <item x="85"/>
        <item x="86"/>
        <item x="111"/>
        <item x="1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17">
        <item sd="0" x="0"/>
        <item sd="0" x="6"/>
        <item sd="0" x="11"/>
        <item sd="0" x="2"/>
        <item sd="0" x="5"/>
        <item sd="0" x="7"/>
        <item sd="0" x="8"/>
        <item sd="0" x="9"/>
        <item sd="0" x="1"/>
        <item h="1" sd="0" x="15"/>
        <item sd="0" x="3"/>
        <item sd="0" x="4"/>
        <item sd="0" x="10"/>
        <item sd="0" x="13"/>
        <item sd="0" x="14"/>
        <item sd="0"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8"/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14W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2000000}" name="PivotTable3" cacheId="2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UFC Condition">
  <location ref="G1:H12" firstHeaderRow="1" firstDataRow="1" firstDataCol="1"/>
  <pivotFields count="23">
    <pivotField axis="axisRow" dataField="1" showAll="0">
      <items count="109">
        <item x="70"/>
        <item x="107"/>
        <item x="48"/>
        <item x="49"/>
        <item x="79"/>
        <item x="93"/>
        <item x="91"/>
        <item x="0"/>
        <item x="1"/>
        <item x="2"/>
        <item x="23"/>
        <item x="38"/>
        <item x="41"/>
        <item x="40"/>
        <item x="63"/>
        <item x="64"/>
        <item x="65"/>
        <item x="66"/>
        <item x="77"/>
        <item x="94"/>
        <item x="20"/>
        <item x="21"/>
        <item x="22"/>
        <item x="39"/>
        <item x="33"/>
        <item x="57"/>
        <item x="71"/>
        <item x="86"/>
        <item x="73"/>
        <item x="74"/>
        <item x="75"/>
        <item x="72"/>
        <item x="92"/>
        <item x="96"/>
        <item x="5"/>
        <item x="6"/>
        <item x="7"/>
        <item x="8"/>
        <item x="9"/>
        <item x="10"/>
        <item x="3"/>
        <item x="4"/>
        <item x="31"/>
        <item x="29"/>
        <item x="30"/>
        <item x="32"/>
        <item x="36"/>
        <item x="37"/>
        <item x="34"/>
        <item x="35"/>
        <item x="58"/>
        <item x="59"/>
        <item x="69"/>
        <item x="60"/>
        <item x="61"/>
        <item x="62"/>
        <item x="68"/>
        <item x="67"/>
        <item x="50"/>
        <item x="85"/>
        <item x="87"/>
        <item x="88"/>
        <item x="89"/>
        <item x="90"/>
        <item x="76"/>
        <item x="78"/>
        <item x="95"/>
        <item x="97"/>
        <item x="98"/>
        <item x="99"/>
        <item x="17"/>
        <item x="18"/>
        <item x="19"/>
        <item x="11"/>
        <item x="12"/>
        <item x="13"/>
        <item x="14"/>
        <item x="15"/>
        <item x="16"/>
        <item x="24"/>
        <item x="25"/>
        <item x="26"/>
        <item x="27"/>
        <item x="28"/>
        <item x="42"/>
        <item x="43"/>
        <item x="44"/>
        <item x="45"/>
        <item x="46"/>
        <item x="47"/>
        <item x="52"/>
        <item x="51"/>
        <item x="54"/>
        <item x="53"/>
        <item x="55"/>
        <item x="56"/>
        <item x="80"/>
        <item x="81"/>
        <item x="82"/>
        <item x="83"/>
        <item x="84"/>
        <item x="100"/>
        <item x="106"/>
        <item x="102"/>
        <item x="103"/>
        <item x="104"/>
        <item x="105"/>
        <item x="10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12">
        <item sd="0" x="5"/>
        <item h="1" sd="0" x="10"/>
        <item sd="0" x="1"/>
        <item sd="0" x="0"/>
        <item sd="0" x="7"/>
        <item sd="0" x="4"/>
        <item sd="0" x="9"/>
        <item sd="0" x="6"/>
        <item sd="0" x="2"/>
        <item sd="0" x="3"/>
        <item sd="0"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8"/>
    <field x="0"/>
  </rowFields>
  <rowItems count="11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10W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PivotTable2" cacheId="2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UFC Condition">
  <location ref="D1:E8" firstHeaderRow="1" firstDataRow="1" firstDataCol="1"/>
  <pivotFields count="22">
    <pivotField axis="axisRow" dataField="1" showAll="0">
      <items count="112">
        <item x="0"/>
        <item x="1"/>
        <item x="2"/>
        <item x="18"/>
        <item x="25"/>
        <item x="34"/>
        <item x="40"/>
        <item x="41"/>
        <item x="42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8"/>
        <item x="59"/>
        <item x="60"/>
        <item x="61"/>
        <item x="63"/>
        <item x="64"/>
        <item x="65"/>
        <item x="66"/>
        <item x="67"/>
        <item x="70"/>
        <item x="73"/>
        <item x="91"/>
        <item x="99"/>
        <item x="109"/>
        <item x="57"/>
        <item x="79"/>
        <item x="78"/>
        <item x="77"/>
        <item x="76"/>
        <item x="74"/>
        <item x="43"/>
        <item x="90"/>
        <item x="85"/>
        <item x="75"/>
        <item x="100"/>
        <item x="103"/>
        <item x="104"/>
        <item x="92"/>
        <item x="83"/>
        <item x="102"/>
        <item x="80"/>
        <item x="81"/>
        <item x="93"/>
        <item x="88"/>
        <item x="71"/>
        <item x="72"/>
        <item x="86"/>
        <item x="87"/>
        <item x="62"/>
        <item x="89"/>
        <item x="84"/>
        <item x="97"/>
        <item x="69"/>
        <item x="96"/>
        <item x="82"/>
        <item x="68"/>
        <item x="95"/>
        <item x="98"/>
        <item x="101"/>
        <item x="107"/>
        <item x="7"/>
        <item x="10"/>
        <item x="9"/>
        <item x="106"/>
        <item x="4"/>
        <item x="105"/>
        <item x="8"/>
        <item m="1" x="110"/>
        <item x="94"/>
        <item x="16"/>
        <item x="108"/>
        <item x="5"/>
        <item x="15"/>
        <item x="12"/>
        <item x="13"/>
        <item x="20"/>
        <item x="17"/>
        <item x="21"/>
        <item x="19"/>
        <item x="11"/>
        <item x="3"/>
        <item x="27"/>
        <item x="22"/>
        <item x="14"/>
        <item x="23"/>
        <item x="30"/>
        <item x="26"/>
        <item x="31"/>
        <item x="28"/>
        <item x="24"/>
        <item x="36"/>
        <item x="37"/>
        <item x="32"/>
        <item x="33"/>
        <item x="38"/>
        <item x="29"/>
        <item x="39"/>
        <item x="35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8">
        <item sd="0" x="2"/>
        <item sd="0" x="3"/>
        <item sd="0" x="4"/>
        <item sd="0" x="1"/>
        <item sd="0" x="0"/>
        <item h="1" sd="0" x="6"/>
        <item sd="0"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7"/>
    <field x="0"/>
  </rowFields>
  <rowItems count="7">
    <i>
      <x/>
    </i>
    <i>
      <x v="1"/>
    </i>
    <i>
      <x v="2"/>
    </i>
    <i>
      <x v="3"/>
    </i>
    <i>
      <x v="4"/>
    </i>
    <i>
      <x v="6"/>
    </i>
    <i t="grand">
      <x/>
    </i>
  </rowItems>
  <colItems count="1">
    <i/>
  </colItems>
  <dataFields count="1">
    <dataField name="6W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y6" growShrinkType="overwriteClear" fillFormulas="1" connectionId="1" xr16:uid="{00000000-0016-0000-01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W" growShrinkType="overwriteClear" fillFormulas="1" connectionId="2" xr16:uid="{00000000-0016-0000-02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0W" growShrinkType="overwriteClear" fillFormulas="1" connectionId="3" xr16:uid="{00000000-0016-0000-03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4W" growShrinkType="overwriteClear" fillFormulas="1" connectionId="4" xr16:uid="{00000000-0016-0000-04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4M" growShrinkType="overwriteClear" fillFormulas="1" connectionId="5" xr16:uid="{00000000-0016-0000-0500-000004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5M" growShrinkType="overwriteClear" fillFormulas="1" connectionId="6" xr16:uid="{00000000-0016-0000-0600-00000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6M" growShrinkType="overwriteClear" fillFormulas="1" connectionId="7" xr16:uid="{00000000-0016-0000-0700-000006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2"/>
  <sheetViews>
    <sheetView tabSelected="1" workbookViewId="0">
      <selection activeCell="S25" sqref="S25"/>
    </sheetView>
  </sheetViews>
  <sheetFormatPr defaultColWidth="8.796875" defaultRowHeight="14.25" x14ac:dyDescent="0.45"/>
  <cols>
    <col min="1" max="1" width="13" customWidth="1"/>
    <col min="2" max="2" width="6.46484375" customWidth="1"/>
    <col min="3" max="3" width="9.33203125" customWidth="1"/>
    <col min="4" max="4" width="17.33203125" bestFit="1" customWidth="1"/>
    <col min="5" max="5" width="12.1328125" customWidth="1"/>
    <col min="6" max="6" width="8.6640625" customWidth="1"/>
    <col min="7" max="7" width="22.46484375" customWidth="1"/>
    <col min="8" max="8" width="4.796875" bestFit="1" customWidth="1"/>
    <col min="9" max="9" width="10.46484375" customWidth="1"/>
    <col min="10" max="10" width="70" bestFit="1" customWidth="1"/>
    <col min="11" max="11" width="5" bestFit="1" customWidth="1"/>
    <col min="12" max="12" width="1.796875" customWidth="1"/>
    <col min="13" max="13" width="60.796875" bestFit="1" customWidth="1"/>
    <col min="14" max="14" width="4.1328125" bestFit="1" customWidth="1"/>
    <col min="15" max="15" width="4.46484375" customWidth="1"/>
    <col min="16" max="16" width="48.33203125" bestFit="1" customWidth="1"/>
    <col min="17" max="17" width="3.796875" bestFit="1" customWidth="1"/>
    <col min="18" max="18" width="12.46484375" customWidth="1"/>
    <col min="19" max="19" width="41.46484375" bestFit="1" customWidth="1"/>
    <col min="20" max="20" width="3.796875" customWidth="1"/>
  </cols>
  <sheetData>
    <row r="1" spans="1:20" x14ac:dyDescent="0.45">
      <c r="A1" s="4" t="s">
        <v>508</v>
      </c>
      <c r="B1" t="s">
        <v>0</v>
      </c>
      <c r="D1" s="4" t="s">
        <v>425</v>
      </c>
      <c r="E1" t="s">
        <v>507</v>
      </c>
      <c r="G1" s="4" t="s">
        <v>425</v>
      </c>
      <c r="H1" t="s">
        <v>514</v>
      </c>
      <c r="J1" s="4" t="s">
        <v>425</v>
      </c>
      <c r="K1" t="s">
        <v>680</v>
      </c>
      <c r="M1" s="4" t="s">
        <v>425</v>
      </c>
      <c r="N1" t="s">
        <v>785</v>
      </c>
      <c r="P1" s="4" t="s">
        <v>425</v>
      </c>
      <c r="Q1" t="s">
        <v>830</v>
      </c>
      <c r="S1" s="4" t="s">
        <v>425</v>
      </c>
      <c r="T1" t="s">
        <v>840</v>
      </c>
    </row>
    <row r="2" spans="1:20" x14ac:dyDescent="0.45">
      <c r="A2" s="5" t="s">
        <v>20</v>
      </c>
      <c r="B2" s="6">
        <v>133</v>
      </c>
      <c r="D2" s="5" t="s">
        <v>447</v>
      </c>
      <c r="E2" s="6">
        <v>17</v>
      </c>
      <c r="G2" s="5" t="s">
        <v>430</v>
      </c>
      <c r="H2" s="6">
        <v>10</v>
      </c>
      <c r="J2" s="5" t="s">
        <v>447</v>
      </c>
      <c r="K2" s="6">
        <v>41</v>
      </c>
      <c r="M2" s="5" t="s">
        <v>447</v>
      </c>
      <c r="N2" s="6">
        <v>24</v>
      </c>
      <c r="P2" s="5" t="s">
        <v>447</v>
      </c>
      <c r="Q2" s="6">
        <v>20</v>
      </c>
      <c r="S2" s="5" t="s">
        <v>447</v>
      </c>
      <c r="T2" s="6">
        <v>16</v>
      </c>
    </row>
    <row r="3" spans="1:20" x14ac:dyDescent="0.45">
      <c r="A3" s="5" t="s">
        <v>421</v>
      </c>
      <c r="B3" s="6">
        <v>133</v>
      </c>
      <c r="D3" s="5" t="s">
        <v>484</v>
      </c>
      <c r="E3" s="6">
        <v>1</v>
      </c>
      <c r="G3" s="5" t="s">
        <v>447</v>
      </c>
      <c r="H3" s="6">
        <v>41</v>
      </c>
      <c r="J3" s="5" t="s">
        <v>484</v>
      </c>
      <c r="K3" s="6">
        <v>6</v>
      </c>
      <c r="M3" s="5" t="s">
        <v>484</v>
      </c>
      <c r="N3" s="6">
        <v>5</v>
      </c>
      <c r="P3" s="5" t="s">
        <v>484</v>
      </c>
      <c r="Q3" s="6">
        <v>2</v>
      </c>
      <c r="S3" s="5" t="s">
        <v>484</v>
      </c>
      <c r="T3" s="6">
        <v>7</v>
      </c>
    </row>
    <row r="4" spans="1:20" x14ac:dyDescent="0.45">
      <c r="D4" s="5" t="s">
        <v>468</v>
      </c>
      <c r="E4" s="6">
        <v>2</v>
      </c>
      <c r="G4" s="5" t="s">
        <v>498</v>
      </c>
      <c r="H4" s="6">
        <v>46</v>
      </c>
      <c r="J4" s="5" t="s">
        <v>601</v>
      </c>
      <c r="K4" s="6">
        <v>2</v>
      </c>
      <c r="M4" s="5" t="s">
        <v>702</v>
      </c>
      <c r="N4" s="6">
        <v>1</v>
      </c>
      <c r="P4" s="5" t="s">
        <v>796</v>
      </c>
      <c r="Q4" s="6">
        <v>3</v>
      </c>
      <c r="S4" s="5" t="s">
        <v>702</v>
      </c>
      <c r="T4" s="6">
        <v>2</v>
      </c>
    </row>
    <row r="5" spans="1:20" x14ac:dyDescent="0.45">
      <c r="D5" s="5" t="s">
        <v>498</v>
      </c>
      <c r="E5" s="6">
        <v>7</v>
      </c>
      <c r="G5" s="5" t="s">
        <v>1055</v>
      </c>
      <c r="H5" s="6">
        <v>1</v>
      </c>
      <c r="J5" s="5" t="s">
        <v>498</v>
      </c>
      <c r="K5" s="6">
        <v>18</v>
      </c>
      <c r="M5" s="5" t="s">
        <v>498</v>
      </c>
      <c r="N5" s="6">
        <v>16</v>
      </c>
      <c r="P5" s="5" t="s">
        <v>430</v>
      </c>
      <c r="Q5" s="6">
        <v>13</v>
      </c>
      <c r="S5" s="5" t="s">
        <v>430</v>
      </c>
      <c r="T5" s="6">
        <v>4</v>
      </c>
    </row>
    <row r="6" spans="1:20" x14ac:dyDescent="0.45">
      <c r="D6" s="5" t="s">
        <v>430</v>
      </c>
      <c r="E6" s="6">
        <v>81</v>
      </c>
      <c r="G6" s="5" t="s">
        <v>1110</v>
      </c>
      <c r="H6" s="6">
        <v>1</v>
      </c>
      <c r="J6" s="5" t="s">
        <v>626</v>
      </c>
      <c r="K6" s="6">
        <v>3</v>
      </c>
      <c r="M6" s="5" t="s">
        <v>544</v>
      </c>
      <c r="N6" s="6">
        <v>2</v>
      </c>
      <c r="P6" s="5" t="s">
        <v>569</v>
      </c>
      <c r="Q6" s="6">
        <v>3</v>
      </c>
      <c r="S6" s="5" t="s">
        <v>569</v>
      </c>
      <c r="T6" s="6">
        <v>7</v>
      </c>
    </row>
    <row r="7" spans="1:20" x14ac:dyDescent="0.45">
      <c r="D7" s="5" t="s">
        <v>878</v>
      </c>
      <c r="E7" s="6">
        <v>1</v>
      </c>
      <c r="G7" s="5" t="s">
        <v>1127</v>
      </c>
      <c r="H7" s="6">
        <v>1</v>
      </c>
      <c r="J7" s="5" t="s">
        <v>569</v>
      </c>
      <c r="K7" s="6">
        <v>3</v>
      </c>
      <c r="M7" s="5" t="s">
        <v>706</v>
      </c>
      <c r="N7" s="6">
        <v>1</v>
      </c>
      <c r="P7" s="5" t="s">
        <v>601</v>
      </c>
      <c r="Q7" s="6">
        <v>1</v>
      </c>
      <c r="S7" s="5" t="s">
        <v>544</v>
      </c>
      <c r="T7" s="6">
        <v>2</v>
      </c>
    </row>
    <row r="8" spans="1:20" x14ac:dyDescent="0.45">
      <c r="D8" s="5" t="s">
        <v>421</v>
      </c>
      <c r="E8" s="6">
        <v>109</v>
      </c>
      <c r="G8" s="5" t="s">
        <v>1183</v>
      </c>
      <c r="H8" s="6">
        <v>1</v>
      </c>
      <c r="J8" s="5" t="s">
        <v>544</v>
      </c>
      <c r="K8" s="6">
        <v>2</v>
      </c>
      <c r="M8" s="5" t="s">
        <v>430</v>
      </c>
      <c r="N8" s="6">
        <v>17</v>
      </c>
      <c r="P8" s="5" t="s">
        <v>1110</v>
      </c>
      <c r="Q8" s="6">
        <v>1</v>
      </c>
      <c r="S8" s="5" t="s">
        <v>601</v>
      </c>
      <c r="T8" s="6">
        <v>2</v>
      </c>
    </row>
    <row r="9" spans="1:20" x14ac:dyDescent="0.45">
      <c r="G9" s="5" t="s">
        <v>1321</v>
      </c>
      <c r="H9" s="6">
        <v>4</v>
      </c>
      <c r="J9" s="5" t="s">
        <v>579</v>
      </c>
      <c r="K9" s="6">
        <v>5</v>
      </c>
      <c r="M9" s="5" t="s">
        <v>601</v>
      </c>
      <c r="N9" s="6">
        <v>1</v>
      </c>
      <c r="P9" s="5" t="s">
        <v>626</v>
      </c>
      <c r="Q9" s="6">
        <v>2</v>
      </c>
      <c r="S9" s="5" t="s">
        <v>626</v>
      </c>
      <c r="T9" s="6">
        <v>2</v>
      </c>
    </row>
    <row r="10" spans="1:20" x14ac:dyDescent="0.45">
      <c r="G10" s="5" t="s">
        <v>569</v>
      </c>
      <c r="H10" s="6">
        <v>1</v>
      </c>
      <c r="J10" s="5" t="s">
        <v>430</v>
      </c>
      <c r="K10" s="6">
        <v>19</v>
      </c>
      <c r="M10" s="5" t="s">
        <v>626</v>
      </c>
      <c r="N10" s="6">
        <v>2</v>
      </c>
      <c r="P10" s="5" t="s">
        <v>498</v>
      </c>
      <c r="Q10" s="6">
        <v>1</v>
      </c>
      <c r="S10" s="5" t="s">
        <v>1142</v>
      </c>
      <c r="T10" s="6">
        <v>1</v>
      </c>
    </row>
    <row r="11" spans="1:20" x14ac:dyDescent="0.45">
      <c r="G11" s="5" t="s">
        <v>702</v>
      </c>
      <c r="H11" s="6">
        <v>1</v>
      </c>
      <c r="J11" s="5" t="s">
        <v>1349</v>
      </c>
      <c r="K11" s="6">
        <v>1</v>
      </c>
      <c r="M11" s="5" t="s">
        <v>579</v>
      </c>
      <c r="N11" s="6">
        <v>18</v>
      </c>
      <c r="P11" s="5" t="s">
        <v>1251</v>
      </c>
      <c r="Q11" s="6">
        <v>1</v>
      </c>
      <c r="S11" s="5" t="s">
        <v>498</v>
      </c>
      <c r="T11" s="6">
        <v>13</v>
      </c>
    </row>
    <row r="12" spans="1:20" x14ac:dyDescent="0.45">
      <c r="G12" s="5" t="s">
        <v>421</v>
      </c>
      <c r="H12" s="6">
        <v>107</v>
      </c>
      <c r="J12" s="5" t="s">
        <v>1354</v>
      </c>
      <c r="K12" s="6">
        <v>1</v>
      </c>
      <c r="M12" s="5" t="s">
        <v>1321</v>
      </c>
      <c r="N12" s="6">
        <v>18</v>
      </c>
      <c r="P12" s="5" t="s">
        <v>1321</v>
      </c>
      <c r="Q12" s="6">
        <v>2</v>
      </c>
      <c r="S12" s="5" t="s">
        <v>1110</v>
      </c>
      <c r="T12" s="6">
        <v>3</v>
      </c>
    </row>
    <row r="13" spans="1:20" x14ac:dyDescent="0.45">
      <c r="J13" s="5" t="s">
        <v>1321</v>
      </c>
      <c r="K13" s="6">
        <v>9</v>
      </c>
      <c r="M13" s="5" t="s">
        <v>1639</v>
      </c>
      <c r="N13" s="6">
        <v>1</v>
      </c>
      <c r="P13" s="5" t="s">
        <v>1310</v>
      </c>
      <c r="Q13" s="6">
        <v>1</v>
      </c>
      <c r="S13" s="5" t="s">
        <v>1310</v>
      </c>
      <c r="T13" s="6">
        <v>2</v>
      </c>
    </row>
    <row r="14" spans="1:20" x14ac:dyDescent="0.45">
      <c r="J14" s="5" t="s">
        <v>1310</v>
      </c>
      <c r="K14" s="6">
        <v>1</v>
      </c>
      <c r="M14" s="5" t="s">
        <v>1310</v>
      </c>
      <c r="N14" s="6">
        <v>2</v>
      </c>
      <c r="P14" s="5" t="s">
        <v>1760</v>
      </c>
      <c r="Q14" s="6">
        <v>1</v>
      </c>
      <c r="S14" s="5" t="s">
        <v>579</v>
      </c>
      <c r="T14" s="6">
        <v>8</v>
      </c>
    </row>
    <row r="15" spans="1:20" x14ac:dyDescent="0.45">
      <c r="J15" s="5" t="s">
        <v>1142</v>
      </c>
      <c r="K15" s="6">
        <v>1</v>
      </c>
      <c r="M15" s="5" t="s">
        <v>1660</v>
      </c>
      <c r="N15" s="6">
        <v>1</v>
      </c>
      <c r="P15" s="5" t="s">
        <v>579</v>
      </c>
      <c r="Q15" s="6">
        <v>3</v>
      </c>
      <c r="S15" s="5" t="s">
        <v>1321</v>
      </c>
      <c r="T15" s="6">
        <v>8</v>
      </c>
    </row>
    <row r="16" spans="1:20" x14ac:dyDescent="0.45">
      <c r="J16" s="5" t="s">
        <v>702</v>
      </c>
      <c r="K16" s="6">
        <v>1</v>
      </c>
      <c r="M16" s="5" t="s">
        <v>1354</v>
      </c>
      <c r="N16" s="6">
        <v>1</v>
      </c>
      <c r="P16" s="5" t="s">
        <v>1709</v>
      </c>
      <c r="Q16" s="6">
        <v>1</v>
      </c>
      <c r="S16" s="5" t="s">
        <v>1334</v>
      </c>
      <c r="T16" s="6">
        <v>1</v>
      </c>
    </row>
    <row r="17" spans="10:20" x14ac:dyDescent="0.45">
      <c r="J17" s="5" t="s">
        <v>421</v>
      </c>
      <c r="K17" s="6">
        <v>113</v>
      </c>
      <c r="M17" s="5" t="s">
        <v>1709</v>
      </c>
      <c r="N17" s="6">
        <v>1</v>
      </c>
      <c r="P17" s="5" t="s">
        <v>421</v>
      </c>
      <c r="Q17" s="6">
        <v>55</v>
      </c>
      <c r="S17" s="5" t="s">
        <v>1785</v>
      </c>
      <c r="T17" s="6">
        <v>1</v>
      </c>
    </row>
    <row r="18" spans="10:20" x14ac:dyDescent="0.45">
      <c r="M18" s="5" t="s">
        <v>421</v>
      </c>
      <c r="N18" s="6">
        <v>111</v>
      </c>
      <c r="S18" s="5" t="s">
        <v>421</v>
      </c>
      <c r="T18" s="6">
        <v>79</v>
      </c>
    </row>
    <row r="21" spans="10:20" x14ac:dyDescent="0.45">
      <c r="P21" t="s">
        <v>844</v>
      </c>
      <c r="Q21" t="s">
        <v>845</v>
      </c>
    </row>
    <row r="22" spans="10:20" x14ac:dyDescent="0.45">
      <c r="O22" t="s">
        <v>507</v>
      </c>
      <c r="P22">
        <f>GETPIVOTDATA("Study ID",$D$1)-GETPIVOTDATA("Study ID",$D$1,"UFC Condition","likenew")</f>
        <v>28</v>
      </c>
      <c r="Q22">
        <f>GETPIVOTDATA("Study ID",$D$1,"UFC Condition","likenew")</f>
        <v>81</v>
      </c>
    </row>
    <row r="23" spans="10:20" x14ac:dyDescent="0.45">
      <c r="O23" t="s">
        <v>514</v>
      </c>
      <c r="P23">
        <f>GETPIVOTDATA("Study ID",$G$1)-GETPIVOTDATA("Study ID",$G$1,"UFC Condition","likenew")</f>
        <v>97</v>
      </c>
      <c r="Q23">
        <f>GETPIVOTDATA("Study ID",$G$1,"UFC Condition","likenew")</f>
        <v>10</v>
      </c>
    </row>
    <row r="24" spans="10:20" x14ac:dyDescent="0.45">
      <c r="O24" t="s">
        <v>680</v>
      </c>
      <c r="P24">
        <f>GETPIVOTDATA("Study ID",$J$1)-GETPIVOTDATA("Study ID",$J$1,"UFC Condition","likenew")</f>
        <v>94</v>
      </c>
      <c r="Q24">
        <f>GETPIVOTDATA("Study ID",$J$1,"UFC Condition","likenew")</f>
        <v>19</v>
      </c>
    </row>
    <row r="25" spans="10:20" x14ac:dyDescent="0.45">
      <c r="O25" t="s">
        <v>785</v>
      </c>
      <c r="P25">
        <f>GETPIVOTDATA("Study ID",$M$1)-GETPIVOTDATA("Study ID",$M$1,"UFC Condition","likenew")</f>
        <v>94</v>
      </c>
      <c r="Q25">
        <f>GETPIVOTDATA("Study ID",$M$1,"UFC Condition","likenew")</f>
        <v>17</v>
      </c>
    </row>
    <row r="26" spans="10:20" x14ac:dyDescent="0.45">
      <c r="O26" t="s">
        <v>830</v>
      </c>
      <c r="P26">
        <f>GETPIVOTDATA("Study ID",$P$1)-GETPIVOTDATA("Study ID",$P$1,"UFC Condition","likenew")</f>
        <v>42</v>
      </c>
      <c r="Q26">
        <f>GETPIVOTDATA("Study ID",$P$1,"UFC Condition","likenew")</f>
        <v>13</v>
      </c>
    </row>
    <row r="27" spans="10:20" x14ac:dyDescent="0.45">
      <c r="O27" t="s">
        <v>840</v>
      </c>
      <c r="P27">
        <f>GETPIVOTDATA("Study ID",$S$1)-GETPIVOTDATA("Study ID",$S$1,"UFC Condition","likenew")</f>
        <v>75</v>
      </c>
      <c r="Q27">
        <f>GETPIVOTDATA("Study ID",$S$1,"UFC Condition","likenew")</f>
        <v>4</v>
      </c>
    </row>
    <row r="28" spans="10:20" x14ac:dyDescent="0.45">
      <c r="O28" t="s">
        <v>841</v>
      </c>
    </row>
    <row r="29" spans="10:20" x14ac:dyDescent="0.45">
      <c r="O29" t="s">
        <v>842</v>
      </c>
    </row>
    <row r="30" spans="10:20" x14ac:dyDescent="0.45">
      <c r="O30" t="s">
        <v>843</v>
      </c>
    </row>
    <row r="37" spans="1:8" x14ac:dyDescent="0.45">
      <c r="A37" t="s">
        <v>1290</v>
      </c>
      <c r="C37" t="s">
        <v>507</v>
      </c>
      <c r="D37" t="s">
        <v>514</v>
      </c>
      <c r="E37" t="s">
        <v>680</v>
      </c>
      <c r="F37" t="s">
        <v>785</v>
      </c>
      <c r="G37" t="s">
        <v>830</v>
      </c>
      <c r="H37" t="s">
        <v>840</v>
      </c>
    </row>
    <row r="38" spans="1:8" x14ac:dyDescent="0.45">
      <c r="B38" t="s">
        <v>845</v>
      </c>
      <c r="C38">
        <f>GETPIVOTDATA("Study ID",$D$1,"UFC Condition","likenew")</f>
        <v>81</v>
      </c>
      <c r="D38">
        <f>GETPIVOTDATA("Study ID",$G$1,"UFC Condition","likenew")</f>
        <v>10</v>
      </c>
      <c r="E38">
        <f>GETPIVOTDATA("Study ID",$J$1,"UFC Condition","likenew")</f>
        <v>19</v>
      </c>
      <c r="F38">
        <f>SUM(N8)</f>
        <v>17</v>
      </c>
      <c r="G38">
        <f>GETPIVOTDATA("Study ID",$P$1,"UFC Condition","likenew")</f>
        <v>13</v>
      </c>
      <c r="H38">
        <f>GETPIVOTDATA("Study ID",$S$1,"UFC Condition","likenew")</f>
        <v>4</v>
      </c>
    </row>
    <row r="39" spans="1:8" x14ac:dyDescent="0.45">
      <c r="A39" t="s">
        <v>1526</v>
      </c>
      <c r="B39" t="s">
        <v>1292</v>
      </c>
      <c r="C39">
        <f>GETPIVOTDATA("Study ID",$D$1,"UFC Condition","cracked")+GETPIVOTDATA("Study ID",$D$1,"UFC Condition","crinkled")</f>
        <v>19</v>
      </c>
      <c r="D39">
        <f>GETPIVOTDATA("Study ID",$G$1,"UFC Condition","cracked")</f>
        <v>41</v>
      </c>
      <c r="E39">
        <f>SUM(K2,K8)</f>
        <v>43</v>
      </c>
      <c r="F39">
        <f>SUM(N2,N6)</f>
        <v>26</v>
      </c>
      <c r="G39">
        <f>GETPIVOTDATA("Study ID",$P$1,"UFC Condition","cracked")</f>
        <v>20</v>
      </c>
      <c r="H39">
        <f>GETPIVOTDATA("Study ID",$S$1,"UFC Condition","cracked")+GETPIVOTDATA("Study ID",$S$1,"UFC Condition","faded")</f>
        <v>18</v>
      </c>
    </row>
    <row r="40" spans="1:8" x14ac:dyDescent="0.45">
      <c r="A40" t="s">
        <v>1527</v>
      </c>
      <c r="B40" t="s">
        <v>1293</v>
      </c>
      <c r="C40">
        <f>GETPIVOTDATA("Study ID",$D$1,"UFC Condition","cracked faded")+GETPIVOTDATA("Study ID",$D$1,"UFC Condition","crinkled cracked")+GETPIVOTDATA("Study ID",$D$1,"UFC Condition","crinkled stained")</f>
        <v>9</v>
      </c>
      <c r="D40">
        <f>GETPIVOTDATA("Study ID",$G$1,"UFC Condition","crinkled cracked")+GETPIVOTDATA("Study ID",$G$1,"UFC Condition","cracked stained")</f>
        <v>47</v>
      </c>
      <c r="E40">
        <f>SUM(K3,K4,K5,K9,K16)</f>
        <v>32</v>
      </c>
      <c r="F40">
        <f>SUM(N3,N4,N5,N7,N9,N11)</f>
        <v>42</v>
      </c>
      <c r="G40">
        <f>SUM(Q3,Q10,Q15,Q7)</f>
        <v>7</v>
      </c>
      <c r="H40">
        <f>SUM(T3,T4,T8,T11,T14)</f>
        <v>32</v>
      </c>
    </row>
    <row r="41" spans="1:8" x14ac:dyDescent="0.45">
      <c r="A41" t="s">
        <v>1291</v>
      </c>
      <c r="B41" t="s">
        <v>1294</v>
      </c>
      <c r="C41">
        <f>0</f>
        <v>0</v>
      </c>
      <c r="D41">
        <f>SUM(H5,H6,H7,H8,H9,H10)</f>
        <v>9</v>
      </c>
      <c r="E41">
        <f>SUM(K6,K7,K11,K12,K13,K14,K15)</f>
        <v>19</v>
      </c>
      <c r="F41">
        <f>SUM(N10, N12,N13,N14,N15,N16,N17)</f>
        <v>26</v>
      </c>
      <c r="G41">
        <f>SUM(Q4,Q6,Q8,Q9,Q11,Q12,Q13,Q14,Q16)</f>
        <v>15</v>
      </c>
      <c r="H41">
        <f>SUM(T16,T15,T13,T12,T10,T9,T6,T17)</f>
        <v>25</v>
      </c>
    </row>
    <row r="42" spans="1:8" x14ac:dyDescent="0.45">
      <c r="B42" t="s">
        <v>1525</v>
      </c>
      <c r="C42">
        <f>SUM(C38:C41)</f>
        <v>109</v>
      </c>
      <c r="D42">
        <f t="shared" ref="D42:H42" si="0">SUM(D38:D41)</f>
        <v>107</v>
      </c>
      <c r="E42">
        <f t="shared" si="0"/>
        <v>113</v>
      </c>
      <c r="F42">
        <f t="shared" si="0"/>
        <v>111</v>
      </c>
      <c r="G42">
        <f t="shared" si="0"/>
        <v>55</v>
      </c>
      <c r="H42">
        <f t="shared" si="0"/>
        <v>79</v>
      </c>
    </row>
  </sheetData>
  <pageMargins left="0.7" right="0.7" top="0.75" bottom="0.75" header="0.3" footer="0.3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34"/>
  <sheetViews>
    <sheetView workbookViewId="0">
      <selection activeCell="H23" sqref="H23"/>
    </sheetView>
  </sheetViews>
  <sheetFormatPr defaultColWidth="8.796875" defaultRowHeight="14.25" x14ac:dyDescent="0.45"/>
  <cols>
    <col min="1" max="1" width="10" bestFit="1" customWidth="1"/>
    <col min="2" max="2" width="15.6640625" bestFit="1" customWidth="1"/>
    <col min="3" max="3" width="15.46484375" bestFit="1" customWidth="1"/>
    <col min="4" max="4" width="8.46484375" bestFit="1" customWidth="1"/>
    <col min="5" max="5" width="19.46484375" bestFit="1" customWidth="1"/>
    <col min="6" max="6" width="12.1328125" bestFit="1" customWidth="1"/>
    <col min="7" max="7" width="11.1328125" bestFit="1" customWidth="1"/>
    <col min="8" max="8" width="10.46484375" bestFit="1" customWidth="1"/>
    <col min="9" max="9" width="6.46484375" bestFit="1" customWidth="1"/>
    <col min="10" max="10" width="9.33203125" bestFit="1" customWidth="1"/>
    <col min="11" max="11" width="7.6640625" bestFit="1" customWidth="1"/>
    <col min="12" max="12" width="10.46484375" bestFit="1" customWidth="1"/>
    <col min="13" max="13" width="16" bestFit="1" customWidth="1"/>
    <col min="14" max="14" width="13.33203125" bestFit="1" customWidth="1"/>
    <col min="15" max="15" width="14.46484375" bestFit="1" customWidth="1"/>
    <col min="16" max="16" width="14.1328125" bestFit="1" customWidth="1"/>
    <col min="17" max="17" width="80.6640625" bestFit="1" customWidth="1"/>
    <col min="18" max="18" width="35.33203125" bestFit="1" customWidth="1"/>
  </cols>
  <sheetData>
    <row r="1" spans="1:18" x14ac:dyDescent="0.4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</row>
    <row r="2" spans="1:18" x14ac:dyDescent="0.45">
      <c r="A2" t="s">
        <v>19</v>
      </c>
      <c r="B2" t="s">
        <v>20</v>
      </c>
      <c r="C2" s="1">
        <v>43775</v>
      </c>
      <c r="D2" s="1">
        <v>43813</v>
      </c>
      <c r="E2" t="s">
        <v>21</v>
      </c>
      <c r="F2">
        <v>3.1</v>
      </c>
      <c r="G2" t="str">
        <f>HYPERLINK("https://www.commcarehq.org/a/demo-18/api/form/attachment/a87c69ec-c2a7-4ae2-8a17-325cd8867bf1/1573026489758.jpg")</f>
        <v>https://www.commcarehq.org/a/demo-18/api/form/attachment/a87c69ec-c2a7-4ae2-8a17-325cd8867bf1/1573026489758.jpg</v>
      </c>
      <c r="H2" t="str">
        <f>HYPERLINK("https://www.commcarehq.org/a/demo-18/api/form/attachment/a87c69ec-c2a7-4ae2-8a17-325cd8867bf1/1573026510650.jpg")</f>
        <v>https://www.commcarehq.org/a/demo-18/api/form/attachment/a87c69ec-c2a7-4ae2-8a17-325cd8867bf1/1573026510650.jpg</v>
      </c>
      <c r="I2" t="str">
        <f>HYPERLINK("https://www.commcarehq.org/a/demo-18/api/form/attachment/a87c69ec-c2a7-4ae2-8a17-325cd8867bf1/1573026586256.jpg")</f>
        <v>https://www.commcarehq.org/a/demo-18/api/form/attachment/a87c69ec-c2a7-4ae2-8a17-325cd8867bf1/1573026586256.jpg</v>
      </c>
      <c r="J2" t="str">
        <f>HYPERLINK("https://www.commcarehq.org/a/demo-18/api/form/attachment/a87c69ec-c2a7-4ae2-8a17-325cd8867bf1/1573026608928.jpg")</f>
        <v>https://www.commcarehq.org/a/demo-18/api/form/attachment/a87c69ec-c2a7-4ae2-8a17-325cd8867bf1/1573026608928.jpg</v>
      </c>
      <c r="K2" t="str">
        <f>HYPERLINK("https://www.commcarehq.org/a/demo-18/api/form/attachment/a87c69ec-c2a7-4ae2-8a17-325cd8867bf1/1573026650431.jpg")</f>
        <v>https://www.commcarehq.org/a/demo-18/api/form/attachment/a87c69ec-c2a7-4ae2-8a17-325cd8867bf1/1573026650431.jpg</v>
      </c>
      <c r="L2" t="str">
        <f>HYPERLINK("https://www.commcarehq.org/a/demo-18/api/form/attachment/a87c69ec-c2a7-4ae2-8a17-325cd8867bf1/1573026674733.jpg")</f>
        <v>https://www.commcarehq.org/a/demo-18/api/form/attachment/a87c69ec-c2a7-4ae2-8a17-325cd8867bf1/1573026674733.jpg</v>
      </c>
      <c r="M2" s="2">
        <v>43775.327430555553</v>
      </c>
      <c r="N2" s="2">
        <v>43775.324745370373</v>
      </c>
      <c r="O2" t="s">
        <v>22</v>
      </c>
      <c r="P2" s="2">
        <v>43775.3278125</v>
      </c>
      <c r="Q2" t="s">
        <v>23</v>
      </c>
      <c r="R2" t="s">
        <v>24</v>
      </c>
    </row>
    <row r="3" spans="1:18" x14ac:dyDescent="0.45">
      <c r="A3" t="s">
        <v>25</v>
      </c>
      <c r="B3" t="s">
        <v>20</v>
      </c>
      <c r="C3" s="1">
        <v>43775</v>
      </c>
      <c r="D3" s="1">
        <v>43813</v>
      </c>
      <c r="E3" t="s">
        <v>21</v>
      </c>
      <c r="F3">
        <v>3.4</v>
      </c>
      <c r="G3" t="str">
        <f>HYPERLINK("https://www.commcarehq.org/a/demo-18/api/form/attachment/1fd9bfe5-7604-4203-8da7-36ea943256f8/1573029610169.jpg")</f>
        <v>https://www.commcarehq.org/a/demo-18/api/form/attachment/1fd9bfe5-7604-4203-8da7-36ea943256f8/1573029610169.jpg</v>
      </c>
      <c r="H3" t="str">
        <f>HYPERLINK("https://www.commcarehq.org/a/demo-18/api/form/attachment/1fd9bfe5-7604-4203-8da7-36ea943256f8/1573029629670.jpg")</f>
        <v>https://www.commcarehq.org/a/demo-18/api/form/attachment/1fd9bfe5-7604-4203-8da7-36ea943256f8/1573029629670.jpg</v>
      </c>
      <c r="I3" t="str">
        <f>HYPERLINK("https://www.commcarehq.org/a/demo-18/api/form/attachment/1fd9bfe5-7604-4203-8da7-36ea943256f8/1573029687657.jpg")</f>
        <v>https://www.commcarehq.org/a/demo-18/api/form/attachment/1fd9bfe5-7604-4203-8da7-36ea943256f8/1573029687657.jpg</v>
      </c>
      <c r="J3" t="str">
        <f>HYPERLINK("https://www.commcarehq.org/a/demo-18/api/form/attachment/1fd9bfe5-7604-4203-8da7-36ea943256f8/1573029706821.jpg")</f>
        <v>https://www.commcarehq.org/a/demo-18/api/form/attachment/1fd9bfe5-7604-4203-8da7-36ea943256f8/1573029706821.jpg</v>
      </c>
      <c r="K3" t="str">
        <f>HYPERLINK("https://www.commcarehq.org/a/demo-18/api/form/attachment/1fd9bfe5-7604-4203-8da7-36ea943256f8/1573029743363.jpg")</f>
        <v>https://www.commcarehq.org/a/demo-18/api/form/attachment/1fd9bfe5-7604-4203-8da7-36ea943256f8/1573029743363.jpg</v>
      </c>
      <c r="L3" t="str">
        <f>HYPERLINK("https://www.commcarehq.org/a/demo-18/api/form/attachment/1fd9bfe5-7604-4203-8da7-36ea943256f8/1573029757660.jpg")</f>
        <v>https://www.commcarehq.org/a/demo-18/api/form/attachment/1fd9bfe5-7604-4203-8da7-36ea943256f8/1573029757660.jpg</v>
      </c>
      <c r="M3" s="2">
        <v>43775.362951388888</v>
      </c>
      <c r="N3" s="2">
        <v>43775.360243055555</v>
      </c>
      <c r="O3" t="s">
        <v>22</v>
      </c>
      <c r="P3" s="2">
        <v>43775.36755787037</v>
      </c>
      <c r="Q3" t="s">
        <v>26</v>
      </c>
      <c r="R3" t="s">
        <v>27</v>
      </c>
    </row>
    <row r="4" spans="1:18" x14ac:dyDescent="0.45">
      <c r="A4" t="s">
        <v>28</v>
      </c>
      <c r="B4" t="s">
        <v>20</v>
      </c>
      <c r="C4" s="1">
        <v>43775</v>
      </c>
      <c r="D4" s="1">
        <v>43813</v>
      </c>
      <c r="E4" t="s">
        <v>21</v>
      </c>
      <c r="F4">
        <v>3</v>
      </c>
      <c r="G4" t="str">
        <f>HYPERLINK("https://www.commcarehq.org/a/demo-18/api/form/attachment/82bdbd8e-9aac-4b69-8273-7021f61ca109/1573030138746.jpg")</f>
        <v>https://www.commcarehq.org/a/demo-18/api/form/attachment/82bdbd8e-9aac-4b69-8273-7021f61ca109/1573030138746.jpg</v>
      </c>
      <c r="H4" t="str">
        <f>HYPERLINK("https://www.commcarehq.org/a/demo-18/api/form/attachment/82bdbd8e-9aac-4b69-8273-7021f61ca109/1573030166650.jpg")</f>
        <v>https://www.commcarehq.org/a/demo-18/api/form/attachment/82bdbd8e-9aac-4b69-8273-7021f61ca109/1573030166650.jpg</v>
      </c>
      <c r="I4" t="str">
        <f>HYPERLINK("https://www.commcarehq.org/a/demo-18/api/form/attachment/82bdbd8e-9aac-4b69-8273-7021f61ca109/1573030385474.jpg")</f>
        <v>https://www.commcarehq.org/a/demo-18/api/form/attachment/82bdbd8e-9aac-4b69-8273-7021f61ca109/1573030385474.jpg</v>
      </c>
      <c r="J4" t="str">
        <f>HYPERLINK("https://www.commcarehq.org/a/demo-18/api/form/attachment/82bdbd8e-9aac-4b69-8273-7021f61ca109/1573030402963.jpg")</f>
        <v>https://www.commcarehq.org/a/demo-18/api/form/attachment/82bdbd8e-9aac-4b69-8273-7021f61ca109/1573030402963.jpg</v>
      </c>
      <c r="K4" t="str">
        <f>HYPERLINK("https://www.commcarehq.org/a/demo-18/api/form/attachment/82bdbd8e-9aac-4b69-8273-7021f61ca109/1573030436656.jpg")</f>
        <v>https://www.commcarehq.org/a/demo-18/api/form/attachment/82bdbd8e-9aac-4b69-8273-7021f61ca109/1573030436656.jpg</v>
      </c>
      <c r="L4" t="str">
        <f>HYPERLINK("https://www.commcarehq.org/a/demo-18/api/form/attachment/82bdbd8e-9aac-4b69-8273-7021f61ca109/1573030455101.jpg")</f>
        <v>https://www.commcarehq.org/a/demo-18/api/form/attachment/82bdbd8e-9aac-4b69-8273-7021f61ca109/1573030455101.jpg</v>
      </c>
      <c r="M4" s="2">
        <v>43775.371192129627</v>
      </c>
      <c r="N4" s="2">
        <v>43775.367025462961</v>
      </c>
      <c r="O4" t="s">
        <v>22</v>
      </c>
      <c r="P4" s="2">
        <v>43775.376493055555</v>
      </c>
      <c r="Q4" t="s">
        <v>29</v>
      </c>
      <c r="R4" t="s">
        <v>30</v>
      </c>
    </row>
    <row r="5" spans="1:18" x14ac:dyDescent="0.45">
      <c r="A5" t="s">
        <v>31</v>
      </c>
      <c r="B5" t="s">
        <v>20</v>
      </c>
      <c r="C5" s="1">
        <v>43775</v>
      </c>
      <c r="D5" s="1">
        <v>43813</v>
      </c>
      <c r="E5" t="s">
        <v>21</v>
      </c>
      <c r="F5">
        <v>3</v>
      </c>
      <c r="G5" t="str">
        <f>HYPERLINK("https://www.commcarehq.org/a/demo-18/api/form/attachment/2ac9befa-0601-4595-80af-acb856411929/1573028101765.jpg")</f>
        <v>https://www.commcarehq.org/a/demo-18/api/form/attachment/2ac9befa-0601-4595-80af-acb856411929/1573028101765.jpg</v>
      </c>
      <c r="H5" t="str">
        <f>HYPERLINK("https://www.commcarehq.org/a/demo-18/api/form/attachment/2ac9befa-0601-4595-80af-acb856411929/1573028119371.jpg")</f>
        <v>https://www.commcarehq.org/a/demo-18/api/form/attachment/2ac9befa-0601-4595-80af-acb856411929/1573028119371.jpg</v>
      </c>
      <c r="I5" t="str">
        <f>HYPERLINK("https://www.commcarehq.org/a/demo-18/api/form/attachment/2ac9befa-0601-4595-80af-acb856411929/1573028183394.jpg")</f>
        <v>https://www.commcarehq.org/a/demo-18/api/form/attachment/2ac9befa-0601-4595-80af-acb856411929/1573028183394.jpg</v>
      </c>
      <c r="J5" t="str">
        <f>HYPERLINK("https://www.commcarehq.org/a/demo-18/api/form/attachment/2ac9befa-0601-4595-80af-acb856411929/1573028197961.jpg")</f>
        <v>https://www.commcarehq.org/a/demo-18/api/form/attachment/2ac9befa-0601-4595-80af-acb856411929/1573028197961.jpg</v>
      </c>
      <c r="K5" t="str">
        <f>HYPERLINK("https://www.commcarehq.org/a/demo-18/api/form/attachment/2ac9befa-0601-4595-80af-acb856411929/1573028232900.jpg")</f>
        <v>https://www.commcarehq.org/a/demo-18/api/form/attachment/2ac9befa-0601-4595-80af-acb856411929/1573028232900.jpg</v>
      </c>
      <c r="L5" t="str">
        <f>HYPERLINK("https://www.commcarehq.org/a/demo-18/api/form/attachment/2ac9befa-0601-4595-80af-acb856411929/1573028248986.jpg")</f>
        <v>https://www.commcarehq.org/a/demo-18/api/form/attachment/2ac9befa-0601-4595-80af-acb856411929/1573028248986.jpg</v>
      </c>
      <c r="M5" s="2">
        <v>43775.345497685186</v>
      </c>
      <c r="N5" s="2">
        <v>43775.343402777777</v>
      </c>
      <c r="O5" t="s">
        <v>32</v>
      </c>
      <c r="P5" s="2">
        <v>43775.393449074072</v>
      </c>
      <c r="Q5" t="s">
        <v>33</v>
      </c>
      <c r="R5" t="s">
        <v>34</v>
      </c>
    </row>
    <row r="6" spans="1:18" x14ac:dyDescent="0.45">
      <c r="A6" t="s">
        <v>35</v>
      </c>
      <c r="B6" t="s">
        <v>20</v>
      </c>
      <c r="C6" s="1">
        <v>43777</v>
      </c>
      <c r="D6" s="1">
        <v>43815</v>
      </c>
      <c r="E6" t="s">
        <v>21</v>
      </c>
      <c r="F6">
        <v>3</v>
      </c>
      <c r="G6" t="str">
        <f>HYPERLINK("https://www.commcarehq.org/a/demo-18/api/form/attachment/1daedf5f-1c50-4ff0-a60d-8a856f2cb3fa/1573198308950.jpg")</f>
        <v>https://www.commcarehq.org/a/demo-18/api/form/attachment/1daedf5f-1c50-4ff0-a60d-8a856f2cb3fa/1573198308950.jpg</v>
      </c>
      <c r="H6" t="str">
        <f>HYPERLINK("https://www.commcarehq.org/a/demo-18/api/form/attachment/1daedf5f-1c50-4ff0-a60d-8a856f2cb3fa/1573198330245.jpg")</f>
        <v>https://www.commcarehq.org/a/demo-18/api/form/attachment/1daedf5f-1c50-4ff0-a60d-8a856f2cb3fa/1573198330245.jpg</v>
      </c>
      <c r="I6" t="str">
        <f>HYPERLINK("https://www.commcarehq.org/a/demo-18/api/form/attachment/1daedf5f-1c50-4ff0-a60d-8a856f2cb3fa/1573198509157.jpg")</f>
        <v>https://www.commcarehq.org/a/demo-18/api/form/attachment/1daedf5f-1c50-4ff0-a60d-8a856f2cb3fa/1573198509157.jpg</v>
      </c>
      <c r="J6" t="str">
        <f>HYPERLINK("https://www.commcarehq.org/a/demo-18/api/form/attachment/1daedf5f-1c50-4ff0-a60d-8a856f2cb3fa/1573198525150.jpg")</f>
        <v>https://www.commcarehq.org/a/demo-18/api/form/attachment/1daedf5f-1c50-4ff0-a60d-8a856f2cb3fa/1573198525150.jpg</v>
      </c>
      <c r="K6" t="str">
        <f>HYPERLINK("https://www.commcarehq.org/a/demo-18/api/form/attachment/1daedf5f-1c50-4ff0-a60d-8a856f2cb3fa/1573198606273.jpg")</f>
        <v>https://www.commcarehq.org/a/demo-18/api/form/attachment/1daedf5f-1c50-4ff0-a60d-8a856f2cb3fa/1573198606273.jpg</v>
      </c>
      <c r="L6" t="str">
        <f>HYPERLINK("https://www.commcarehq.org/a/demo-18/api/form/attachment/1daedf5f-1c50-4ff0-a60d-8a856f2cb3fa/1573198621963.jpg")</f>
        <v>https://www.commcarehq.org/a/demo-18/api/form/attachment/1daedf5f-1c50-4ff0-a60d-8a856f2cb3fa/1573198621963.jpg</v>
      </c>
      <c r="M6" s="2">
        <v>43777.317430555559</v>
      </c>
      <c r="N6" s="2">
        <v>43777.313414351855</v>
      </c>
      <c r="O6" t="s">
        <v>22</v>
      </c>
      <c r="P6" s="2">
        <v>43777.627557870372</v>
      </c>
      <c r="Q6" t="s">
        <v>36</v>
      </c>
      <c r="R6" t="s">
        <v>37</v>
      </c>
    </row>
    <row r="7" spans="1:18" x14ac:dyDescent="0.45">
      <c r="A7" t="s">
        <v>38</v>
      </c>
      <c r="B7" t="s">
        <v>20</v>
      </c>
      <c r="C7" s="1">
        <v>43777</v>
      </c>
      <c r="D7" s="1">
        <v>43815</v>
      </c>
      <c r="E7" t="s">
        <v>21</v>
      </c>
      <c r="F7">
        <v>3.1</v>
      </c>
      <c r="G7" t="str">
        <f>HYPERLINK("https://www.commcarehq.org/a/demo-18/api/form/attachment/f7099ec0-9da6-4ad5-9762-0ad6cfcc8892/1573200656197.jpg")</f>
        <v>https://www.commcarehq.org/a/demo-18/api/form/attachment/f7099ec0-9da6-4ad5-9762-0ad6cfcc8892/1573200656197.jpg</v>
      </c>
      <c r="H7" t="str">
        <f>HYPERLINK("https://www.commcarehq.org/a/demo-18/api/form/attachment/f7099ec0-9da6-4ad5-9762-0ad6cfcc8892/1573200674952.jpg")</f>
        <v>https://www.commcarehq.org/a/demo-18/api/form/attachment/f7099ec0-9da6-4ad5-9762-0ad6cfcc8892/1573200674952.jpg</v>
      </c>
      <c r="I7" t="str">
        <f>HYPERLINK("https://www.commcarehq.org/a/demo-18/api/form/attachment/f7099ec0-9da6-4ad5-9762-0ad6cfcc8892/1573200749705.jpg")</f>
        <v>https://www.commcarehq.org/a/demo-18/api/form/attachment/f7099ec0-9da6-4ad5-9762-0ad6cfcc8892/1573200749705.jpg</v>
      </c>
      <c r="J7" t="str">
        <f>HYPERLINK("https://www.commcarehq.org/a/demo-18/api/form/attachment/f7099ec0-9da6-4ad5-9762-0ad6cfcc8892/1573200764517.jpg")</f>
        <v>https://www.commcarehq.org/a/demo-18/api/form/attachment/f7099ec0-9da6-4ad5-9762-0ad6cfcc8892/1573200764517.jpg</v>
      </c>
      <c r="K7" t="str">
        <f>HYPERLINK("https://www.commcarehq.org/a/demo-18/api/form/attachment/f7099ec0-9da6-4ad5-9762-0ad6cfcc8892/1573200792773.jpg")</f>
        <v>https://www.commcarehq.org/a/demo-18/api/form/attachment/f7099ec0-9da6-4ad5-9762-0ad6cfcc8892/1573200792773.jpg</v>
      </c>
      <c r="L7" t="str">
        <f>HYPERLINK("https://www.commcarehq.org/a/demo-18/api/form/attachment/f7099ec0-9da6-4ad5-9762-0ad6cfcc8892/1573200804132.jpg")</f>
        <v>https://www.commcarehq.org/a/demo-18/api/form/attachment/f7099ec0-9da6-4ad5-9762-0ad6cfcc8892/1573200804132.jpg</v>
      </c>
      <c r="M7" s="2">
        <v>43777.342789351853</v>
      </c>
      <c r="N7" s="2">
        <v>43777.340208333335</v>
      </c>
      <c r="O7" t="s">
        <v>22</v>
      </c>
      <c r="P7" s="2">
        <v>43777.628032407411</v>
      </c>
      <c r="Q7" t="s">
        <v>39</v>
      </c>
      <c r="R7" t="s">
        <v>40</v>
      </c>
    </row>
    <row r="8" spans="1:18" x14ac:dyDescent="0.45">
      <c r="A8" t="s">
        <v>41</v>
      </c>
      <c r="B8" t="s">
        <v>20</v>
      </c>
      <c r="C8" s="1">
        <v>43784</v>
      </c>
      <c r="D8" s="1">
        <v>43822</v>
      </c>
      <c r="E8" t="s">
        <v>21</v>
      </c>
      <c r="F8">
        <v>3</v>
      </c>
      <c r="G8" t="str">
        <f>HYPERLINK("https://www.commcarehq.org/a/demo-18/api/form/attachment/c489ef63-68e4-4192-a6cb-e5b9019c22d8/1573800835312.jpg")</f>
        <v>https://www.commcarehq.org/a/demo-18/api/form/attachment/c489ef63-68e4-4192-a6cb-e5b9019c22d8/1573800835312.jpg</v>
      </c>
      <c r="H8" t="str">
        <f>HYPERLINK("https://www.commcarehq.org/a/demo-18/api/form/attachment/c489ef63-68e4-4192-a6cb-e5b9019c22d8/1573800850296.jpg")</f>
        <v>https://www.commcarehq.org/a/demo-18/api/form/attachment/c489ef63-68e4-4192-a6cb-e5b9019c22d8/1573800850296.jpg</v>
      </c>
      <c r="I8" t="str">
        <f>HYPERLINK("https://www.commcarehq.org/a/demo-18/api/form/attachment/c489ef63-68e4-4192-a6cb-e5b9019c22d8/1573800891196.jpg")</f>
        <v>https://www.commcarehq.org/a/demo-18/api/form/attachment/c489ef63-68e4-4192-a6cb-e5b9019c22d8/1573800891196.jpg</v>
      </c>
      <c r="J8" t="str">
        <f>HYPERLINK("https://www.commcarehq.org/a/demo-18/api/form/attachment/c489ef63-68e4-4192-a6cb-e5b9019c22d8/1573800903594.jpg")</f>
        <v>https://www.commcarehq.org/a/demo-18/api/form/attachment/c489ef63-68e4-4192-a6cb-e5b9019c22d8/1573800903594.jpg</v>
      </c>
      <c r="K8" t="str">
        <f>HYPERLINK("https://www.commcarehq.org/a/demo-18/api/form/attachment/c489ef63-68e4-4192-a6cb-e5b9019c22d8/1573800935057.jpg")</f>
        <v>https://www.commcarehq.org/a/demo-18/api/form/attachment/c489ef63-68e4-4192-a6cb-e5b9019c22d8/1573800935057.jpg</v>
      </c>
      <c r="L8" t="str">
        <f>HYPERLINK("https://www.commcarehq.org/a/demo-18/api/form/attachment/c489ef63-68e4-4192-a6cb-e5b9019c22d8/1573800946751.jpg")</f>
        <v>https://www.commcarehq.org/a/demo-18/api/form/attachment/c489ef63-68e4-4192-a6cb-e5b9019c22d8/1573800946751.jpg</v>
      </c>
      <c r="M8" s="2">
        <v>43784.288807870369</v>
      </c>
      <c r="N8" s="2">
        <v>43784.286863425928</v>
      </c>
      <c r="O8" t="s">
        <v>32</v>
      </c>
      <c r="P8" s="2">
        <v>43784.288981481484</v>
      </c>
      <c r="Q8" t="s">
        <v>42</v>
      </c>
      <c r="R8" t="s">
        <v>43</v>
      </c>
    </row>
    <row r="9" spans="1:18" x14ac:dyDescent="0.45">
      <c r="A9" t="s">
        <v>44</v>
      </c>
      <c r="B9" t="s">
        <v>20</v>
      </c>
      <c r="C9" s="1">
        <v>43784</v>
      </c>
      <c r="D9" s="1">
        <v>43822</v>
      </c>
      <c r="E9" t="s">
        <v>21</v>
      </c>
      <c r="F9">
        <v>2.7</v>
      </c>
      <c r="G9" t="str">
        <f>HYPERLINK("https://www.commcarehq.org/a/demo-18/api/form/attachment/b9f9d039-ed58-4944-b117-278fb59dac9d/1573801226992.jpg")</f>
        <v>https://www.commcarehq.org/a/demo-18/api/form/attachment/b9f9d039-ed58-4944-b117-278fb59dac9d/1573801226992.jpg</v>
      </c>
      <c r="H9" t="str">
        <f>HYPERLINK("https://www.commcarehq.org/a/demo-18/api/form/attachment/b9f9d039-ed58-4944-b117-278fb59dac9d/1573801243613.jpg")</f>
        <v>https://www.commcarehq.org/a/demo-18/api/form/attachment/b9f9d039-ed58-4944-b117-278fb59dac9d/1573801243613.jpg</v>
      </c>
      <c r="I9" t="str">
        <f>HYPERLINK("https://www.commcarehq.org/a/demo-18/api/form/attachment/b9f9d039-ed58-4944-b117-278fb59dac9d/1573801339455.jpg")</f>
        <v>https://www.commcarehq.org/a/demo-18/api/form/attachment/b9f9d039-ed58-4944-b117-278fb59dac9d/1573801339455.jpg</v>
      </c>
      <c r="J9" t="str">
        <f>HYPERLINK("https://www.commcarehq.org/a/demo-18/api/form/attachment/b9f9d039-ed58-4944-b117-278fb59dac9d/1573801350472.jpg")</f>
        <v>https://www.commcarehq.org/a/demo-18/api/form/attachment/b9f9d039-ed58-4944-b117-278fb59dac9d/1573801350472.jpg</v>
      </c>
      <c r="K9" t="str">
        <f>HYPERLINK("https://www.commcarehq.org/a/demo-18/api/form/attachment/b9f9d039-ed58-4944-b117-278fb59dac9d/1573801372593.jpg")</f>
        <v>https://www.commcarehq.org/a/demo-18/api/form/attachment/b9f9d039-ed58-4944-b117-278fb59dac9d/1573801372593.jpg</v>
      </c>
      <c r="L9" t="str">
        <f>HYPERLINK("https://www.commcarehq.org/a/demo-18/api/form/attachment/b9f9d039-ed58-4944-b117-278fb59dac9d/1573801383986.jpg")</f>
        <v>https://www.commcarehq.org/a/demo-18/api/form/attachment/b9f9d039-ed58-4944-b117-278fb59dac9d/1573801383986.jpg</v>
      </c>
      <c r="M9" s="2">
        <v>43784.293807870374</v>
      </c>
      <c r="N9" s="2">
        <v>43784.291562500002</v>
      </c>
      <c r="O9" t="s">
        <v>32</v>
      </c>
      <c r="P9" s="2">
        <v>43784.294004629628</v>
      </c>
      <c r="Q9" t="s">
        <v>45</v>
      </c>
      <c r="R9" t="s">
        <v>46</v>
      </c>
    </row>
    <row r="10" spans="1:18" x14ac:dyDescent="0.45">
      <c r="A10" t="s">
        <v>47</v>
      </c>
      <c r="B10" t="s">
        <v>20</v>
      </c>
      <c r="C10" s="1">
        <v>43784</v>
      </c>
      <c r="D10" s="1">
        <v>43822</v>
      </c>
      <c r="E10" t="s">
        <v>21</v>
      </c>
      <c r="F10">
        <v>3</v>
      </c>
      <c r="G10" t="str">
        <f>HYPERLINK("https://www.commcarehq.org/a/demo-18/api/form/attachment/e3ec82e9-09bd-4340-93d3-0d39dd6cdca3/1573801738536.jpg")</f>
        <v>https://www.commcarehq.org/a/demo-18/api/form/attachment/e3ec82e9-09bd-4340-93d3-0d39dd6cdca3/1573801738536.jpg</v>
      </c>
      <c r="H10" t="str">
        <f>HYPERLINK("https://www.commcarehq.org/a/demo-18/api/form/attachment/e3ec82e9-09bd-4340-93d3-0d39dd6cdca3/1573801758424.jpg")</f>
        <v>https://www.commcarehq.org/a/demo-18/api/form/attachment/e3ec82e9-09bd-4340-93d3-0d39dd6cdca3/1573801758424.jpg</v>
      </c>
      <c r="I10" t="str">
        <f>HYPERLINK("https://www.commcarehq.org/a/demo-18/api/form/attachment/e3ec82e9-09bd-4340-93d3-0d39dd6cdca3/1573801812273.jpg")</f>
        <v>https://www.commcarehq.org/a/demo-18/api/form/attachment/e3ec82e9-09bd-4340-93d3-0d39dd6cdca3/1573801812273.jpg</v>
      </c>
      <c r="J10" t="str">
        <f>HYPERLINK("https://www.commcarehq.org/a/demo-18/api/form/attachment/e3ec82e9-09bd-4340-93d3-0d39dd6cdca3/1573801824660.jpg")</f>
        <v>https://www.commcarehq.org/a/demo-18/api/form/attachment/e3ec82e9-09bd-4340-93d3-0d39dd6cdca3/1573801824660.jpg</v>
      </c>
      <c r="K10" t="str">
        <f>HYPERLINK("https://www.commcarehq.org/a/demo-18/api/form/attachment/e3ec82e9-09bd-4340-93d3-0d39dd6cdca3/1573801847504.jpg")</f>
        <v>https://www.commcarehq.org/a/demo-18/api/form/attachment/e3ec82e9-09bd-4340-93d3-0d39dd6cdca3/1573801847504.jpg</v>
      </c>
      <c r="L10" t="str">
        <f>HYPERLINK("https://www.commcarehq.org/a/demo-18/api/form/attachment/e3ec82e9-09bd-4340-93d3-0d39dd6cdca3/1573801861085.jpg")</f>
        <v>https://www.commcarehq.org/a/demo-18/api/form/attachment/e3ec82e9-09bd-4340-93d3-0d39dd6cdca3/1573801861085.jpg</v>
      </c>
      <c r="M10" s="2">
        <v>43784.299340277779</v>
      </c>
      <c r="N10" s="2">
        <v>43784.297280092593</v>
      </c>
      <c r="O10" t="s">
        <v>32</v>
      </c>
      <c r="P10" s="2">
        <v>43784.299537037034</v>
      </c>
      <c r="Q10" t="s">
        <v>48</v>
      </c>
      <c r="R10" s="3" t="s">
        <v>49</v>
      </c>
    </row>
    <row r="11" spans="1:18" x14ac:dyDescent="0.45">
      <c r="A11" t="s">
        <v>50</v>
      </c>
      <c r="B11" t="s">
        <v>20</v>
      </c>
      <c r="C11" s="1">
        <v>43787</v>
      </c>
      <c r="D11" s="1">
        <v>43825</v>
      </c>
      <c r="E11" t="s">
        <v>21</v>
      </c>
      <c r="F11">
        <v>3.8</v>
      </c>
      <c r="G11" t="str">
        <f>HYPERLINK("https://www.commcarehq.org/a/demo-18/api/form/attachment/3e74e463-d92b-437a-963e-902c180d44e5/1574059601080.jpg")</f>
        <v>https://www.commcarehq.org/a/demo-18/api/form/attachment/3e74e463-d92b-437a-963e-902c180d44e5/1574059601080.jpg</v>
      </c>
      <c r="H11" t="str">
        <f>HYPERLINK("https://www.commcarehq.org/a/demo-18/api/form/attachment/3e74e463-d92b-437a-963e-902c180d44e5/1574059615141.jpg")</f>
        <v>https://www.commcarehq.org/a/demo-18/api/form/attachment/3e74e463-d92b-437a-963e-902c180d44e5/1574059615141.jpg</v>
      </c>
      <c r="I11" t="str">
        <f>HYPERLINK("https://www.commcarehq.org/a/demo-18/api/form/attachment/3e74e463-d92b-437a-963e-902c180d44e5/1574059703093.jpg")</f>
        <v>https://www.commcarehq.org/a/demo-18/api/form/attachment/3e74e463-d92b-437a-963e-902c180d44e5/1574059703093.jpg</v>
      </c>
      <c r="J11" t="str">
        <f>HYPERLINK("https://www.commcarehq.org/a/demo-18/api/form/attachment/3e74e463-d92b-437a-963e-902c180d44e5/1574059714691.jpg")</f>
        <v>https://www.commcarehq.org/a/demo-18/api/form/attachment/3e74e463-d92b-437a-963e-902c180d44e5/1574059714691.jpg</v>
      </c>
      <c r="K11" t="str">
        <f>HYPERLINK("https://www.commcarehq.org/a/demo-18/api/form/attachment/3e74e463-d92b-437a-963e-902c180d44e5/1574059739405.jpg")</f>
        <v>https://www.commcarehq.org/a/demo-18/api/form/attachment/3e74e463-d92b-437a-963e-902c180d44e5/1574059739405.jpg</v>
      </c>
      <c r="L11" t="str">
        <f>HYPERLINK("https://www.commcarehq.org/a/demo-18/api/form/attachment/3e74e463-d92b-437a-963e-902c180d44e5/1574059754272.jpg")</f>
        <v>https://www.commcarehq.org/a/demo-18/api/form/attachment/3e74e463-d92b-437a-963e-902c180d44e5/1574059754272.jpg</v>
      </c>
      <c r="M11" s="2">
        <v>43787.284212962964</v>
      </c>
      <c r="N11" s="2">
        <v>43787.281990740739</v>
      </c>
      <c r="O11" t="s">
        <v>32</v>
      </c>
      <c r="P11" s="2">
        <v>43787.284421296295</v>
      </c>
      <c r="Q11" t="s">
        <v>51</v>
      </c>
      <c r="R11" t="s">
        <v>52</v>
      </c>
    </row>
    <row r="12" spans="1:18" x14ac:dyDescent="0.45">
      <c r="A12" t="s">
        <v>53</v>
      </c>
      <c r="B12" t="s">
        <v>20</v>
      </c>
      <c r="C12" s="1">
        <v>43782</v>
      </c>
      <c r="D12" s="1">
        <v>43820</v>
      </c>
      <c r="E12" t="s">
        <v>21</v>
      </c>
      <c r="F12">
        <v>2.5</v>
      </c>
      <c r="G12" t="str">
        <f>HYPERLINK("https://www.commcarehq.org/a/demo-18/api/form/attachment/c6e80f00-bcfd-43a9-b7e4-add207f8504d/1573635537133.jpg")</f>
        <v>https://www.commcarehq.org/a/demo-18/api/form/attachment/c6e80f00-bcfd-43a9-b7e4-add207f8504d/1573635537133.jpg</v>
      </c>
      <c r="H12" t="str">
        <f>HYPERLINK("https://www.commcarehq.org/a/demo-18/api/form/attachment/c6e80f00-bcfd-43a9-b7e4-add207f8504d/1573635557133.jpg")</f>
        <v>https://www.commcarehq.org/a/demo-18/api/form/attachment/c6e80f00-bcfd-43a9-b7e4-add207f8504d/1573635557133.jpg</v>
      </c>
      <c r="I12" t="str">
        <f>HYPERLINK("https://www.commcarehq.org/a/demo-18/api/form/attachment/c6e80f00-bcfd-43a9-b7e4-add207f8504d/1573635624099.jpg")</f>
        <v>https://www.commcarehq.org/a/demo-18/api/form/attachment/c6e80f00-bcfd-43a9-b7e4-add207f8504d/1573635624099.jpg</v>
      </c>
      <c r="J12" t="str">
        <f>HYPERLINK("https://www.commcarehq.org/a/demo-18/api/form/attachment/c6e80f00-bcfd-43a9-b7e4-add207f8504d/1573635638542.jpg")</f>
        <v>https://www.commcarehq.org/a/demo-18/api/form/attachment/c6e80f00-bcfd-43a9-b7e4-add207f8504d/1573635638542.jpg</v>
      </c>
      <c r="K12" t="str">
        <f>HYPERLINK("https://www.commcarehq.org/a/demo-18/api/form/attachment/c6e80f00-bcfd-43a9-b7e4-add207f8504d/1573635680317.jpg")</f>
        <v>https://www.commcarehq.org/a/demo-18/api/form/attachment/c6e80f00-bcfd-43a9-b7e4-add207f8504d/1573635680317.jpg</v>
      </c>
      <c r="L12" t="str">
        <f>HYPERLINK("https://www.commcarehq.org/a/demo-18/api/form/attachment/c6e80f00-bcfd-43a9-b7e4-add207f8504d/1573635693147.jpg")</f>
        <v>https://www.commcarehq.org/a/demo-18/api/form/attachment/c6e80f00-bcfd-43a9-b7e4-add207f8504d/1573635693147.jpg</v>
      </c>
      <c r="M12" s="2">
        <v>43782.376099537039</v>
      </c>
      <c r="N12" s="2">
        <v>43782.373854166668</v>
      </c>
      <c r="O12" t="s">
        <v>32</v>
      </c>
      <c r="P12" s="2">
        <v>43782.380312499998</v>
      </c>
      <c r="Q12" t="s">
        <v>54</v>
      </c>
      <c r="R12" t="s">
        <v>55</v>
      </c>
    </row>
    <row r="13" spans="1:18" x14ac:dyDescent="0.45">
      <c r="A13" t="s">
        <v>56</v>
      </c>
      <c r="B13" t="s">
        <v>20</v>
      </c>
      <c r="C13" s="1">
        <v>43782</v>
      </c>
      <c r="D13" s="1">
        <v>43820</v>
      </c>
      <c r="E13" t="s">
        <v>21</v>
      </c>
      <c r="F13">
        <v>2.5</v>
      </c>
      <c r="G13" t="str">
        <f>HYPERLINK("https://www.commcarehq.org/a/demo-18/api/form/attachment/56586ad5-97e4-4622-8b4f-a9420384ef01/1573632109525.jpg")</f>
        <v>https://www.commcarehq.org/a/demo-18/api/form/attachment/56586ad5-97e4-4622-8b4f-a9420384ef01/1573632109525.jpg</v>
      </c>
      <c r="H13" t="str">
        <f>HYPERLINK("https://www.commcarehq.org/a/demo-18/api/form/attachment/56586ad5-97e4-4622-8b4f-a9420384ef01/1573632125378.jpg")</f>
        <v>https://www.commcarehq.org/a/demo-18/api/form/attachment/56586ad5-97e4-4622-8b4f-a9420384ef01/1573632125378.jpg</v>
      </c>
      <c r="I13" t="str">
        <f>HYPERLINK("https://www.commcarehq.org/a/demo-18/api/form/attachment/56586ad5-97e4-4622-8b4f-a9420384ef01/1573632183534.jpg")</f>
        <v>https://www.commcarehq.org/a/demo-18/api/form/attachment/56586ad5-97e4-4622-8b4f-a9420384ef01/1573632183534.jpg</v>
      </c>
      <c r="J13" t="str">
        <f>HYPERLINK("https://www.commcarehq.org/a/demo-18/api/form/attachment/56586ad5-97e4-4622-8b4f-a9420384ef01/1573632198699.jpg")</f>
        <v>https://www.commcarehq.org/a/demo-18/api/form/attachment/56586ad5-97e4-4622-8b4f-a9420384ef01/1573632198699.jpg</v>
      </c>
      <c r="K13" t="str">
        <f>HYPERLINK("https://www.commcarehq.org/a/demo-18/api/form/attachment/56586ad5-97e4-4622-8b4f-a9420384ef01/1573632230038.jpg")</f>
        <v>https://www.commcarehq.org/a/demo-18/api/form/attachment/56586ad5-97e4-4622-8b4f-a9420384ef01/1573632230038.jpg</v>
      </c>
      <c r="L13" t="str">
        <f>HYPERLINK("https://www.commcarehq.org/a/demo-18/api/form/attachment/56586ad5-97e4-4622-8b4f-a9420384ef01/1573632250119.jpg")</f>
        <v>https://www.commcarehq.org/a/demo-18/api/form/attachment/56586ad5-97e4-4622-8b4f-a9420384ef01/1573632250119.jpg</v>
      </c>
      <c r="M13" s="2">
        <v>43782.336261574077</v>
      </c>
      <c r="N13" s="2">
        <v>43782.334201388891</v>
      </c>
      <c r="O13" t="s">
        <v>32</v>
      </c>
      <c r="P13" s="2">
        <v>43782.379895833335</v>
      </c>
      <c r="Q13" t="s">
        <v>57</v>
      </c>
      <c r="R13" t="s">
        <v>58</v>
      </c>
    </row>
    <row r="14" spans="1:18" x14ac:dyDescent="0.45">
      <c r="A14" t="s">
        <v>59</v>
      </c>
      <c r="B14" t="s">
        <v>20</v>
      </c>
      <c r="C14" s="1">
        <v>43789</v>
      </c>
      <c r="D14" s="1">
        <v>43827</v>
      </c>
      <c r="E14" t="s">
        <v>21</v>
      </c>
      <c r="F14">
        <v>2.9</v>
      </c>
      <c r="G14" t="str">
        <f>HYPERLINK("https://www.commcarehq.org/a/demo-18/api/form/attachment/edd7f6db-6127-49f3-8efb-6b8f171bbd21/1574242673025.jpg")</f>
        <v>https://www.commcarehq.org/a/demo-18/api/form/attachment/edd7f6db-6127-49f3-8efb-6b8f171bbd21/1574242673025.jpg</v>
      </c>
      <c r="H14" t="str">
        <f>HYPERLINK("https://www.commcarehq.org/a/demo-18/api/form/attachment/edd7f6db-6127-49f3-8efb-6b8f171bbd21/1574242696988.jpg")</f>
        <v>https://www.commcarehq.org/a/demo-18/api/form/attachment/edd7f6db-6127-49f3-8efb-6b8f171bbd21/1574242696988.jpg</v>
      </c>
      <c r="I14" t="str">
        <f>HYPERLINK("https://www.commcarehq.org/a/demo-18/api/form/attachment/edd7f6db-6127-49f3-8efb-6b8f171bbd21/1574242756572.jpg")</f>
        <v>https://www.commcarehq.org/a/demo-18/api/form/attachment/edd7f6db-6127-49f3-8efb-6b8f171bbd21/1574242756572.jpg</v>
      </c>
      <c r="J14" t="str">
        <f>HYPERLINK("https://www.commcarehq.org/a/demo-18/api/form/attachment/edd7f6db-6127-49f3-8efb-6b8f171bbd21/1574242767907.jpg")</f>
        <v>https://www.commcarehq.org/a/demo-18/api/form/attachment/edd7f6db-6127-49f3-8efb-6b8f171bbd21/1574242767907.jpg</v>
      </c>
      <c r="K14" t="str">
        <f>HYPERLINK("https://www.commcarehq.org/a/demo-18/api/form/attachment/edd7f6db-6127-49f3-8efb-6b8f171bbd21/1574242794258.jpg")</f>
        <v>https://www.commcarehq.org/a/demo-18/api/form/attachment/edd7f6db-6127-49f3-8efb-6b8f171bbd21/1574242794258.jpg</v>
      </c>
      <c r="L14" t="str">
        <f>HYPERLINK("https://www.commcarehq.org/a/demo-18/api/form/attachment/edd7f6db-6127-49f3-8efb-6b8f171bbd21/1574242810288.jpg")</f>
        <v>https://www.commcarehq.org/a/demo-18/api/form/attachment/edd7f6db-6127-49f3-8efb-6b8f171bbd21/1574242810288.jpg</v>
      </c>
      <c r="M14" s="2">
        <v>43789.402916666666</v>
      </c>
      <c r="N14" s="2">
        <v>43789.401064814818</v>
      </c>
      <c r="O14" t="s">
        <v>32</v>
      </c>
      <c r="P14" s="2">
        <v>43789.403101851851</v>
      </c>
      <c r="Q14" t="s">
        <v>60</v>
      </c>
      <c r="R14" t="s">
        <v>61</v>
      </c>
    </row>
    <row r="15" spans="1:18" x14ac:dyDescent="0.45">
      <c r="A15" t="s">
        <v>62</v>
      </c>
      <c r="B15" t="s">
        <v>20</v>
      </c>
      <c r="C15" s="1">
        <v>43780</v>
      </c>
      <c r="D15" s="1">
        <v>43818</v>
      </c>
      <c r="E15" t="s">
        <v>21</v>
      </c>
      <c r="F15">
        <v>3.3</v>
      </c>
      <c r="G15" t="str">
        <f>HYPERLINK("https://www.commcarehq.org/a/demo-18/api/form/attachment/1aa70d0f-df3c-42b8-88bb-ca5ef091904e/1573456633271.jpg")</f>
        <v>https://www.commcarehq.org/a/demo-18/api/form/attachment/1aa70d0f-df3c-42b8-88bb-ca5ef091904e/1573456633271.jpg</v>
      </c>
      <c r="H15" t="str">
        <f>HYPERLINK("https://www.commcarehq.org/a/demo-18/api/form/attachment/1aa70d0f-df3c-42b8-88bb-ca5ef091904e/1573456653802.jpg")</f>
        <v>https://www.commcarehq.org/a/demo-18/api/form/attachment/1aa70d0f-df3c-42b8-88bb-ca5ef091904e/1573456653802.jpg</v>
      </c>
      <c r="I15" t="str">
        <f>HYPERLINK("https://www.commcarehq.org/a/demo-18/api/form/attachment/1aa70d0f-df3c-42b8-88bb-ca5ef091904e/1573456714572.jpg")</f>
        <v>https://www.commcarehq.org/a/demo-18/api/form/attachment/1aa70d0f-df3c-42b8-88bb-ca5ef091904e/1573456714572.jpg</v>
      </c>
      <c r="J15" t="str">
        <f>HYPERLINK("https://www.commcarehq.org/a/demo-18/api/form/attachment/1aa70d0f-df3c-42b8-88bb-ca5ef091904e/1573456727125.jpg")</f>
        <v>https://www.commcarehq.org/a/demo-18/api/form/attachment/1aa70d0f-df3c-42b8-88bb-ca5ef091904e/1573456727125.jpg</v>
      </c>
      <c r="K15" t="str">
        <f>HYPERLINK("https://www.commcarehq.org/a/demo-18/api/form/attachment/1aa70d0f-df3c-42b8-88bb-ca5ef091904e/1573456744373.jpg")</f>
        <v>https://www.commcarehq.org/a/demo-18/api/form/attachment/1aa70d0f-df3c-42b8-88bb-ca5ef091904e/1573456744373.jpg</v>
      </c>
      <c r="L15" t="str">
        <f>HYPERLINK("https://www.commcarehq.org/a/demo-18/api/form/attachment/1aa70d0f-df3c-42b8-88bb-ca5ef091904e/1573456761290.jpg")</f>
        <v>https://www.commcarehq.org/a/demo-18/api/form/attachment/1aa70d0f-df3c-42b8-88bb-ca5ef091904e/1573456761290.jpg</v>
      </c>
      <c r="M15" s="2">
        <v>43780.305127314816</v>
      </c>
      <c r="N15" s="2">
        <v>43780.303182870368</v>
      </c>
      <c r="O15" t="s">
        <v>32</v>
      </c>
      <c r="P15" s="2">
        <v>43780.420729166668</v>
      </c>
      <c r="Q15" t="s">
        <v>63</v>
      </c>
      <c r="R15" t="s">
        <v>64</v>
      </c>
    </row>
    <row r="16" spans="1:18" x14ac:dyDescent="0.45">
      <c r="A16" t="s">
        <v>65</v>
      </c>
      <c r="B16" t="s">
        <v>20</v>
      </c>
      <c r="C16" s="1">
        <v>43787</v>
      </c>
      <c r="D16" s="1">
        <v>43825</v>
      </c>
      <c r="E16" t="s">
        <v>21</v>
      </c>
      <c r="F16">
        <v>2.7</v>
      </c>
      <c r="G16" t="str">
        <f>HYPERLINK("https://www.commcarehq.org/a/demo-18/api/form/attachment/9ca6c974-37e8-4030-a14a-7de1881a395b/1574067947545.jpg")</f>
        <v>https://www.commcarehq.org/a/demo-18/api/form/attachment/9ca6c974-37e8-4030-a14a-7de1881a395b/1574067947545.jpg</v>
      </c>
      <c r="H16" t="str">
        <f>HYPERLINK("https://www.commcarehq.org/a/demo-18/api/form/attachment/9ca6c974-37e8-4030-a14a-7de1881a395b/1574067965398.jpg")</f>
        <v>https://www.commcarehq.org/a/demo-18/api/form/attachment/9ca6c974-37e8-4030-a14a-7de1881a395b/1574067965398.jpg</v>
      </c>
      <c r="I16" t="str">
        <f>HYPERLINK("https://www.commcarehq.org/a/demo-18/api/form/attachment/9ca6c974-37e8-4030-a14a-7de1881a395b/1574068023842.jpg")</f>
        <v>https://www.commcarehq.org/a/demo-18/api/form/attachment/9ca6c974-37e8-4030-a14a-7de1881a395b/1574068023842.jpg</v>
      </c>
      <c r="J16" t="str">
        <f>HYPERLINK("https://www.commcarehq.org/a/demo-18/api/form/attachment/9ca6c974-37e8-4030-a14a-7de1881a395b/1574068038350.jpg")</f>
        <v>https://www.commcarehq.org/a/demo-18/api/form/attachment/9ca6c974-37e8-4030-a14a-7de1881a395b/1574068038350.jpg</v>
      </c>
      <c r="K16" t="str">
        <f>HYPERLINK("https://www.commcarehq.org/a/demo-18/api/form/attachment/9ca6c974-37e8-4030-a14a-7de1881a395b/1574068061422.jpg")</f>
        <v>https://www.commcarehq.org/a/demo-18/api/form/attachment/9ca6c974-37e8-4030-a14a-7de1881a395b/1574068061422.jpg</v>
      </c>
      <c r="L16" t="str">
        <f>HYPERLINK("https://www.commcarehq.org/a/demo-18/api/form/attachment/9ca6c974-37e8-4030-a14a-7de1881a395b/1574068072098.jpg")</f>
        <v>https://www.commcarehq.org/a/demo-18/api/form/attachment/9ca6c974-37e8-4030-a14a-7de1881a395b/1574068072098.jpg</v>
      </c>
      <c r="M16" s="2">
        <v>43787.380474537036</v>
      </c>
      <c r="N16" s="2">
        <v>43787.37871527778</v>
      </c>
      <c r="O16" t="s">
        <v>32</v>
      </c>
      <c r="P16" s="2">
        <v>43787.430787037039</v>
      </c>
      <c r="Q16" t="s">
        <v>66</v>
      </c>
      <c r="R16" t="s">
        <v>67</v>
      </c>
    </row>
    <row r="17" spans="1:18" x14ac:dyDescent="0.45">
      <c r="A17" t="s">
        <v>68</v>
      </c>
      <c r="B17" t="s">
        <v>20</v>
      </c>
      <c r="C17" s="1">
        <v>43789</v>
      </c>
      <c r="D17" s="1">
        <v>43827</v>
      </c>
      <c r="E17" t="s">
        <v>21</v>
      </c>
      <c r="F17">
        <v>2.7</v>
      </c>
      <c r="G17" t="str">
        <f>HYPERLINK("https://www.commcarehq.org/a/demo-18/api/form/attachment/3b0d1f06-24dd-481d-8081-ca882d8cb81a/1574232959644.jpg")</f>
        <v>https://www.commcarehq.org/a/demo-18/api/form/attachment/3b0d1f06-24dd-481d-8081-ca882d8cb81a/1574232959644.jpg</v>
      </c>
      <c r="H17" t="str">
        <f>HYPERLINK("https://www.commcarehq.org/a/demo-18/api/form/attachment/3b0d1f06-24dd-481d-8081-ca882d8cb81a/1574232981029.jpg")</f>
        <v>https://www.commcarehq.org/a/demo-18/api/form/attachment/3b0d1f06-24dd-481d-8081-ca882d8cb81a/1574232981029.jpg</v>
      </c>
      <c r="I17" t="str">
        <f>HYPERLINK("https://www.commcarehq.org/a/demo-18/api/form/attachment/3b0d1f06-24dd-481d-8081-ca882d8cb81a/1574233080904.jpg")</f>
        <v>https://www.commcarehq.org/a/demo-18/api/form/attachment/3b0d1f06-24dd-481d-8081-ca882d8cb81a/1574233080904.jpg</v>
      </c>
      <c r="J17" t="str">
        <f>HYPERLINK("https://www.commcarehq.org/a/demo-18/api/form/attachment/3b0d1f06-24dd-481d-8081-ca882d8cb81a/1574233096827.jpg")</f>
        <v>https://www.commcarehq.org/a/demo-18/api/form/attachment/3b0d1f06-24dd-481d-8081-ca882d8cb81a/1574233096827.jpg</v>
      </c>
      <c r="K17" t="str">
        <f>HYPERLINK("https://www.commcarehq.org/a/demo-18/api/form/attachment/3b0d1f06-24dd-481d-8081-ca882d8cb81a/1574233148830.jpg")</f>
        <v>https://www.commcarehq.org/a/demo-18/api/form/attachment/3b0d1f06-24dd-481d-8081-ca882d8cb81a/1574233148830.jpg</v>
      </c>
      <c r="L17" t="str">
        <f>HYPERLINK("https://www.commcarehq.org/a/demo-18/api/form/attachment/3b0d1f06-24dd-481d-8081-ca882d8cb81a/1574233158708.jpg")</f>
        <v>https://www.commcarehq.org/a/demo-18/api/form/attachment/3b0d1f06-24dd-481d-8081-ca882d8cb81a/1574233158708.jpg</v>
      </c>
      <c r="M17" s="2">
        <v>43789.291203703702</v>
      </c>
      <c r="N17" s="2">
        <v>43789.288171296299</v>
      </c>
      <c r="O17" t="s">
        <v>32</v>
      </c>
      <c r="P17" s="2">
        <v>43789.291377314818</v>
      </c>
      <c r="Q17" t="s">
        <v>69</v>
      </c>
      <c r="R17" t="s">
        <v>70</v>
      </c>
    </row>
    <row r="18" spans="1:18" x14ac:dyDescent="0.45">
      <c r="A18" t="s">
        <v>71</v>
      </c>
      <c r="B18" t="s">
        <v>20</v>
      </c>
      <c r="C18" s="1">
        <v>43790</v>
      </c>
      <c r="D18" s="1">
        <v>43828</v>
      </c>
      <c r="E18" t="s">
        <v>21</v>
      </c>
      <c r="F18">
        <v>4</v>
      </c>
      <c r="G18" t="str">
        <f>HYPERLINK("https://www.commcarehq.org/a/demo-18/api/form/attachment/b8722b5e-6465-4311-b8ff-353159d8e5de/1574326927329.jpg")</f>
        <v>https://www.commcarehq.org/a/demo-18/api/form/attachment/b8722b5e-6465-4311-b8ff-353159d8e5de/1574326927329.jpg</v>
      </c>
      <c r="H18" t="str">
        <f>HYPERLINK("https://www.commcarehq.org/a/demo-18/api/form/attachment/b8722b5e-6465-4311-b8ff-353159d8e5de/1574326943934.jpg")</f>
        <v>https://www.commcarehq.org/a/demo-18/api/form/attachment/b8722b5e-6465-4311-b8ff-353159d8e5de/1574326943934.jpg</v>
      </c>
      <c r="I18" t="str">
        <f>HYPERLINK("https://www.commcarehq.org/a/demo-18/api/form/attachment/b8722b5e-6465-4311-b8ff-353159d8e5de/1574326994550.jpg")</f>
        <v>https://www.commcarehq.org/a/demo-18/api/form/attachment/b8722b5e-6465-4311-b8ff-353159d8e5de/1574326994550.jpg</v>
      </c>
      <c r="J18" t="str">
        <f>HYPERLINK("https://www.commcarehq.org/a/demo-18/api/form/attachment/b8722b5e-6465-4311-b8ff-353159d8e5de/1574327004440.jpg")</f>
        <v>https://www.commcarehq.org/a/demo-18/api/form/attachment/b8722b5e-6465-4311-b8ff-353159d8e5de/1574327004440.jpg</v>
      </c>
      <c r="K18" t="str">
        <f>HYPERLINK("https://www.commcarehq.org/a/demo-18/api/form/attachment/b8722b5e-6465-4311-b8ff-353159d8e5de/1574327043630.jpg")</f>
        <v>https://www.commcarehq.org/a/demo-18/api/form/attachment/b8722b5e-6465-4311-b8ff-353159d8e5de/1574327043630.jpg</v>
      </c>
      <c r="L18" t="str">
        <f>HYPERLINK("https://www.commcarehq.org/a/demo-18/api/form/attachment/b8722b5e-6465-4311-b8ff-353159d8e5de/1574327053648.jpg")</f>
        <v>https://www.commcarehq.org/a/demo-18/api/form/attachment/b8722b5e-6465-4311-b8ff-353159d8e5de/1574327053648.jpg</v>
      </c>
      <c r="M18" s="2">
        <v>43790.377951388888</v>
      </c>
      <c r="N18" s="2">
        <v>43790.376180555555</v>
      </c>
      <c r="O18" t="s">
        <v>32</v>
      </c>
      <c r="P18" s="2">
        <v>43790.37841435185</v>
      </c>
      <c r="Q18" t="s">
        <v>72</v>
      </c>
      <c r="R18" t="s">
        <v>73</v>
      </c>
    </row>
    <row r="19" spans="1:18" x14ac:dyDescent="0.45">
      <c r="A19" t="s">
        <v>92</v>
      </c>
      <c r="B19" t="s">
        <v>20</v>
      </c>
      <c r="C19" s="1">
        <v>43775</v>
      </c>
      <c r="D19" s="1">
        <v>43813</v>
      </c>
      <c r="E19" t="s">
        <v>21</v>
      </c>
      <c r="F19">
        <v>3</v>
      </c>
      <c r="G19" t="str">
        <f>HYPERLINK("https://www.commcarehq.org/a/demo-18/api/form/attachment/e2991f7c-4e6c-4d08-aee3-5b24c3e6913a/1573025977061.jpg")</f>
        <v>https://www.commcarehq.org/a/demo-18/api/form/attachment/e2991f7c-4e6c-4d08-aee3-5b24c3e6913a/1573025977061.jpg</v>
      </c>
      <c r="H19" t="str">
        <f>HYPERLINK("https://www.commcarehq.org/a/demo-18/api/form/attachment/e2991f7c-4e6c-4d08-aee3-5b24c3e6913a/1573025999085.jpg")</f>
        <v>https://www.commcarehq.org/a/demo-18/api/form/attachment/e2991f7c-4e6c-4d08-aee3-5b24c3e6913a/1573025999085.jpg</v>
      </c>
      <c r="I19" t="str">
        <f>HYPERLINK("https://www.commcarehq.org/a/demo-18/api/form/attachment/e2991f7c-4e6c-4d08-aee3-5b24c3e6913a/1573026124068.jpg")</f>
        <v>https://www.commcarehq.org/a/demo-18/api/form/attachment/e2991f7c-4e6c-4d08-aee3-5b24c3e6913a/1573026124068.jpg</v>
      </c>
      <c r="J19" t="str">
        <f>HYPERLINK("https://www.commcarehq.org/a/demo-18/api/form/attachment/e2991f7c-4e6c-4d08-aee3-5b24c3e6913a/1573026137415.jpg")</f>
        <v>https://www.commcarehq.org/a/demo-18/api/form/attachment/e2991f7c-4e6c-4d08-aee3-5b24c3e6913a/1573026137415.jpg</v>
      </c>
      <c r="K19" t="str">
        <f>HYPERLINK("https://www.commcarehq.org/a/demo-18/api/form/attachment/e2991f7c-4e6c-4d08-aee3-5b24c3e6913a/1573026184638.jpg")</f>
        <v>https://www.commcarehq.org/a/demo-18/api/form/attachment/e2991f7c-4e6c-4d08-aee3-5b24c3e6913a/1573026184638.jpg</v>
      </c>
      <c r="L19" t="str">
        <f>HYPERLINK("https://www.commcarehq.org/a/demo-18/api/form/attachment/e2991f7c-4e6c-4d08-aee3-5b24c3e6913a/1573026200062.jpg")</f>
        <v>https://www.commcarehq.org/a/demo-18/api/form/attachment/e2991f7c-4e6c-4d08-aee3-5b24c3e6913a/1573026200062.jpg</v>
      </c>
      <c r="M19" s="2">
        <v>43775.321782407409</v>
      </c>
      <c r="N19" s="2">
        <v>43775.31863425926</v>
      </c>
      <c r="O19" t="s">
        <v>32</v>
      </c>
      <c r="P19" s="2">
        <v>43775.393090277779</v>
      </c>
      <c r="Q19" t="s">
        <v>93</v>
      </c>
      <c r="R19" t="s">
        <v>94</v>
      </c>
    </row>
    <row r="20" spans="1:18" x14ac:dyDescent="0.45">
      <c r="A20" t="s">
        <v>101</v>
      </c>
      <c r="B20" t="s">
        <v>20</v>
      </c>
      <c r="C20" s="1">
        <v>43815</v>
      </c>
      <c r="D20" s="1">
        <v>43853</v>
      </c>
      <c r="E20" t="s">
        <v>21</v>
      </c>
      <c r="F20">
        <v>2.9</v>
      </c>
      <c r="G20" t="str">
        <f>HYPERLINK("https://www.commcarehq.org/a/demo-18/api/form/attachment/1f76721b-d454-4d67-ba4f-90b2283363d2/1576487492287.jpg")</f>
        <v>https://www.commcarehq.org/a/demo-18/api/form/attachment/1f76721b-d454-4d67-ba4f-90b2283363d2/1576487492287.jpg</v>
      </c>
      <c r="H20" t="str">
        <f>HYPERLINK("https://www.commcarehq.org/a/demo-18/api/form/attachment/1f76721b-d454-4d67-ba4f-90b2283363d2/1576487507800.jpg")</f>
        <v>https://www.commcarehq.org/a/demo-18/api/form/attachment/1f76721b-d454-4d67-ba4f-90b2283363d2/1576487507800.jpg</v>
      </c>
      <c r="I20" t="str">
        <f>HYPERLINK("https://www.commcarehq.org/a/demo-18/api/form/attachment/1f76721b-d454-4d67-ba4f-90b2283363d2/1576487615776.jpg")</f>
        <v>https://www.commcarehq.org/a/demo-18/api/form/attachment/1f76721b-d454-4d67-ba4f-90b2283363d2/1576487615776.jpg</v>
      </c>
      <c r="J20" t="str">
        <f>HYPERLINK("https://www.commcarehq.org/a/demo-18/api/form/attachment/1f76721b-d454-4d67-ba4f-90b2283363d2/1576487627539.jpg")</f>
        <v>https://www.commcarehq.org/a/demo-18/api/form/attachment/1f76721b-d454-4d67-ba4f-90b2283363d2/1576487627539.jpg</v>
      </c>
      <c r="K20" t="str">
        <f>HYPERLINK("https://www.commcarehq.org/a/demo-18/api/form/attachment/1f76721b-d454-4d67-ba4f-90b2283363d2/1576487646811.jpg")</f>
        <v>https://www.commcarehq.org/a/demo-18/api/form/attachment/1f76721b-d454-4d67-ba4f-90b2283363d2/1576487646811.jpg</v>
      </c>
      <c r="L20" t="str">
        <f>HYPERLINK("https://www.commcarehq.org/a/demo-18/api/form/attachment/1f76721b-d454-4d67-ba4f-90b2283363d2/1576487657057.jpg")</f>
        <v>https://www.commcarehq.org/a/demo-18/api/form/attachment/1f76721b-d454-4d67-ba4f-90b2283363d2/1576487657057.jpg</v>
      </c>
      <c r="M20" s="2">
        <v>43815.384942129633</v>
      </c>
      <c r="N20" s="2">
        <v>43815.382662037038</v>
      </c>
      <c r="O20" t="s">
        <v>32</v>
      </c>
      <c r="P20" s="2">
        <v>43815.385115740741</v>
      </c>
      <c r="Q20" t="s">
        <v>102</v>
      </c>
      <c r="R20" t="s">
        <v>103</v>
      </c>
    </row>
    <row r="21" spans="1:18" x14ac:dyDescent="0.45">
      <c r="A21" t="s">
        <v>83</v>
      </c>
      <c r="B21" t="s">
        <v>20</v>
      </c>
      <c r="C21" s="1">
        <v>43805</v>
      </c>
      <c r="D21" s="1">
        <v>43843</v>
      </c>
      <c r="E21" t="s">
        <v>21</v>
      </c>
      <c r="F21">
        <v>3</v>
      </c>
      <c r="G21" t="str">
        <f>HYPERLINK("https://www.commcarehq.org/a/demo-18/api/form/attachment/c5edcb7e-2959-44af-9fbd-0409293ff305/1575617354030.jpg")</f>
        <v>https://www.commcarehq.org/a/demo-18/api/form/attachment/c5edcb7e-2959-44af-9fbd-0409293ff305/1575617354030.jpg</v>
      </c>
      <c r="H21" t="str">
        <f>HYPERLINK("https://www.commcarehq.org/a/demo-18/api/form/attachment/c5edcb7e-2959-44af-9fbd-0409293ff305/1575617366879.jpg")</f>
        <v>https://www.commcarehq.org/a/demo-18/api/form/attachment/c5edcb7e-2959-44af-9fbd-0409293ff305/1575617366879.jpg</v>
      </c>
      <c r="I21" t="str">
        <f>HYPERLINK("https://www.commcarehq.org/a/demo-18/api/form/attachment/c5edcb7e-2959-44af-9fbd-0409293ff305/1575617424260.jpg")</f>
        <v>https://www.commcarehq.org/a/demo-18/api/form/attachment/c5edcb7e-2959-44af-9fbd-0409293ff305/1575617424260.jpg</v>
      </c>
      <c r="J21" t="str">
        <f>HYPERLINK("https://www.commcarehq.org/a/demo-18/api/form/attachment/c5edcb7e-2959-44af-9fbd-0409293ff305/1575617434805.jpg")</f>
        <v>https://www.commcarehq.org/a/demo-18/api/form/attachment/c5edcb7e-2959-44af-9fbd-0409293ff305/1575617434805.jpg</v>
      </c>
      <c r="K21" t="str">
        <f>HYPERLINK("https://www.commcarehq.org/a/demo-18/api/form/attachment/c5edcb7e-2959-44af-9fbd-0409293ff305/1575617455541.jpg")</f>
        <v>https://www.commcarehq.org/a/demo-18/api/form/attachment/c5edcb7e-2959-44af-9fbd-0409293ff305/1575617455541.jpg</v>
      </c>
      <c r="L21" t="str">
        <f>HYPERLINK("https://www.commcarehq.org/a/demo-18/api/form/attachment/c5edcb7e-2959-44af-9fbd-0409293ff305/1575617464399.jpg")</f>
        <v>https://www.commcarehq.org/a/demo-18/api/form/attachment/c5edcb7e-2959-44af-9fbd-0409293ff305/1575617464399.jpg</v>
      </c>
      <c r="M21" s="2">
        <v>43805.313263888886</v>
      </c>
      <c r="N21" s="2">
        <v>43805.311365740738</v>
      </c>
      <c r="O21" t="s">
        <v>32</v>
      </c>
      <c r="P21" s="2">
        <v>43805.31349537037</v>
      </c>
      <c r="Q21" t="s">
        <v>84</v>
      </c>
      <c r="R21" t="s">
        <v>85</v>
      </c>
    </row>
    <row r="22" spans="1:18" x14ac:dyDescent="0.45">
      <c r="A22" t="s">
        <v>86</v>
      </c>
      <c r="B22" t="s">
        <v>20</v>
      </c>
      <c r="C22" s="1">
        <v>43805</v>
      </c>
      <c r="D22" s="1">
        <v>43843</v>
      </c>
      <c r="E22" t="s">
        <v>21</v>
      </c>
      <c r="F22">
        <v>2.7</v>
      </c>
      <c r="G22" t="str">
        <f>HYPERLINK("https://www.commcarehq.org/a/demo-18/api/form/attachment/bc15a362-65f8-4c6a-a677-89a8366f9e68/1575617805788.jpg")</f>
        <v>https://www.commcarehq.org/a/demo-18/api/form/attachment/bc15a362-65f8-4c6a-a677-89a8366f9e68/1575617805788.jpg</v>
      </c>
      <c r="H22" t="str">
        <f>HYPERLINK("https://www.commcarehq.org/a/demo-18/api/form/attachment/bc15a362-65f8-4c6a-a677-89a8366f9e68/1575617822205.jpg")</f>
        <v>https://www.commcarehq.org/a/demo-18/api/form/attachment/bc15a362-65f8-4c6a-a677-89a8366f9e68/1575617822205.jpg</v>
      </c>
      <c r="I22" t="str">
        <f>HYPERLINK("https://www.commcarehq.org/a/demo-18/api/form/attachment/bc15a362-65f8-4c6a-a677-89a8366f9e68/1575617902486.jpg")</f>
        <v>https://www.commcarehq.org/a/demo-18/api/form/attachment/bc15a362-65f8-4c6a-a677-89a8366f9e68/1575617902486.jpg</v>
      </c>
      <c r="J22" t="str">
        <f>HYPERLINK("https://www.commcarehq.org/a/demo-18/api/form/attachment/bc15a362-65f8-4c6a-a677-89a8366f9e68/1575617913622.jpg")</f>
        <v>https://www.commcarehq.org/a/demo-18/api/form/attachment/bc15a362-65f8-4c6a-a677-89a8366f9e68/1575617913622.jpg</v>
      </c>
      <c r="K22" t="str">
        <f>HYPERLINK("https://www.commcarehq.org/a/demo-18/api/form/attachment/bc15a362-65f8-4c6a-a677-89a8366f9e68/1575617933860.jpg")</f>
        <v>https://www.commcarehq.org/a/demo-18/api/form/attachment/bc15a362-65f8-4c6a-a677-89a8366f9e68/1575617933860.jpg</v>
      </c>
      <c r="L22" t="str">
        <f>HYPERLINK("https://www.commcarehq.org/a/demo-18/api/form/attachment/bc15a362-65f8-4c6a-a677-89a8366f9e68/1575617942954.jpg")</f>
        <v>https://www.commcarehq.org/a/demo-18/api/form/attachment/bc15a362-65f8-4c6a-a677-89a8366f9e68/1575617942954.jpg</v>
      </c>
      <c r="M22" s="2">
        <v>43805.318796296298</v>
      </c>
      <c r="N22" s="2">
        <v>43805.31689814815</v>
      </c>
      <c r="O22" t="s">
        <v>32</v>
      </c>
      <c r="P22" s="2">
        <v>43805.319004629629</v>
      </c>
      <c r="Q22" t="s">
        <v>87</v>
      </c>
      <c r="R22" t="s">
        <v>88</v>
      </c>
    </row>
    <row r="23" spans="1:18" x14ac:dyDescent="0.45">
      <c r="A23" t="s">
        <v>89</v>
      </c>
      <c r="B23" t="s">
        <v>20</v>
      </c>
      <c r="C23" s="1">
        <v>43810</v>
      </c>
      <c r="D23" s="1">
        <v>43848</v>
      </c>
      <c r="E23" t="s">
        <v>21</v>
      </c>
      <c r="F23">
        <v>3.2</v>
      </c>
      <c r="G23" t="str">
        <f>HYPERLINK("https://www.commcarehq.org/a/demo-18/api/form/attachment/f36fce4f-5c44-4760-a54e-08d903c243a6/1576050859445.jpg")</f>
        <v>https://www.commcarehq.org/a/demo-18/api/form/attachment/f36fce4f-5c44-4760-a54e-08d903c243a6/1576050859445.jpg</v>
      </c>
      <c r="H23" t="str">
        <f>HYPERLINK("https://www.commcarehq.org/a/demo-18/api/form/attachment/f36fce4f-5c44-4760-a54e-08d903c243a6/1576050874321.jpg")</f>
        <v>https://www.commcarehq.org/a/demo-18/api/form/attachment/f36fce4f-5c44-4760-a54e-08d903c243a6/1576050874321.jpg</v>
      </c>
      <c r="I23" t="str">
        <f>HYPERLINK("https://www.commcarehq.org/a/demo-18/api/form/attachment/f36fce4f-5c44-4760-a54e-08d903c243a6/1576050917956.jpg")</f>
        <v>https://www.commcarehq.org/a/demo-18/api/form/attachment/f36fce4f-5c44-4760-a54e-08d903c243a6/1576050917956.jpg</v>
      </c>
      <c r="J23" t="str">
        <f>HYPERLINK("https://www.commcarehq.org/a/demo-18/api/form/attachment/f36fce4f-5c44-4760-a54e-08d903c243a6/1576050927678.jpg")</f>
        <v>https://www.commcarehq.org/a/demo-18/api/form/attachment/f36fce4f-5c44-4760-a54e-08d903c243a6/1576050927678.jpg</v>
      </c>
      <c r="K23" t="str">
        <f>HYPERLINK("https://www.commcarehq.org/a/demo-18/api/form/attachment/f36fce4f-5c44-4760-a54e-08d903c243a6/1576050944930.jpg")</f>
        <v>https://www.commcarehq.org/a/demo-18/api/form/attachment/f36fce4f-5c44-4760-a54e-08d903c243a6/1576050944930.jpg</v>
      </c>
      <c r="L23" t="str">
        <f>HYPERLINK("https://www.commcarehq.org/a/demo-18/api/form/attachment/f36fce4f-5c44-4760-a54e-08d903c243a6/1576050955704.jpg")</f>
        <v>https://www.commcarehq.org/a/demo-18/api/form/attachment/f36fce4f-5c44-4760-a54e-08d903c243a6/1576050955704.jpg</v>
      </c>
      <c r="M23" s="2">
        <v>43810.330625000002</v>
      </c>
      <c r="N23" s="2">
        <v>43810.328935185185</v>
      </c>
      <c r="O23" t="s">
        <v>32</v>
      </c>
      <c r="P23" s="2">
        <v>43810.439039351855</v>
      </c>
      <c r="Q23" t="s">
        <v>90</v>
      </c>
      <c r="R23" t="s">
        <v>91</v>
      </c>
    </row>
    <row r="24" spans="1:18" x14ac:dyDescent="0.45">
      <c r="A24" t="s">
        <v>74</v>
      </c>
      <c r="B24" t="s">
        <v>20</v>
      </c>
      <c r="C24" s="1">
        <v>43797</v>
      </c>
      <c r="D24" s="1">
        <v>43835</v>
      </c>
      <c r="E24" t="s">
        <v>21</v>
      </c>
      <c r="F24">
        <v>4</v>
      </c>
      <c r="G24" t="str">
        <f>HYPERLINK("https://www.commcarehq.org/a/demo-18/api/form/attachment/887c1f63-8136-4a71-8d33-07ae369ec420/1574929983708.jpg")</f>
        <v>https://www.commcarehq.org/a/demo-18/api/form/attachment/887c1f63-8136-4a71-8d33-07ae369ec420/1574929983708.jpg</v>
      </c>
      <c r="H24" t="str">
        <f>HYPERLINK("https://www.commcarehq.org/a/demo-18/api/form/attachment/887c1f63-8136-4a71-8d33-07ae369ec420/1574930005207.jpg")</f>
        <v>https://www.commcarehq.org/a/demo-18/api/form/attachment/887c1f63-8136-4a71-8d33-07ae369ec420/1574930005207.jpg</v>
      </c>
      <c r="I24" t="str">
        <f>HYPERLINK("https://www.commcarehq.org/a/demo-18/api/form/attachment/887c1f63-8136-4a71-8d33-07ae369ec420/1574930125055.jpg")</f>
        <v>https://www.commcarehq.org/a/demo-18/api/form/attachment/887c1f63-8136-4a71-8d33-07ae369ec420/1574930125055.jpg</v>
      </c>
      <c r="J24" t="str">
        <f>HYPERLINK("https://www.commcarehq.org/a/demo-18/api/form/attachment/887c1f63-8136-4a71-8d33-07ae369ec420/1574930137999.jpg")</f>
        <v>https://www.commcarehq.org/a/demo-18/api/form/attachment/887c1f63-8136-4a71-8d33-07ae369ec420/1574930137999.jpg</v>
      </c>
      <c r="K24" t="str">
        <f>HYPERLINK("https://www.commcarehq.org/a/demo-18/api/form/attachment/887c1f63-8136-4a71-8d33-07ae369ec420/1574930179116.jpg")</f>
        <v>https://www.commcarehq.org/a/demo-18/api/form/attachment/887c1f63-8136-4a71-8d33-07ae369ec420/1574930179116.jpg</v>
      </c>
      <c r="L24" t="str">
        <f>HYPERLINK("https://www.commcarehq.org/a/demo-18/api/form/attachment/887c1f63-8136-4a71-8d33-07ae369ec420/1574930193068.jpg")</f>
        <v>https://www.commcarehq.org/a/demo-18/api/form/attachment/887c1f63-8136-4a71-8d33-07ae369ec420/1574930193068.jpg</v>
      </c>
      <c r="M24" s="2">
        <v>43797.358726851853</v>
      </c>
      <c r="N24" s="2">
        <v>43797.355925925927</v>
      </c>
      <c r="O24" t="s">
        <v>32</v>
      </c>
      <c r="P24" s="2">
        <v>43797.358958333331</v>
      </c>
      <c r="Q24" t="s">
        <v>75</v>
      </c>
      <c r="R24" t="s">
        <v>76</v>
      </c>
    </row>
    <row r="25" spans="1:18" x14ac:dyDescent="0.45">
      <c r="A25" t="s">
        <v>77</v>
      </c>
      <c r="B25" t="s">
        <v>20</v>
      </c>
      <c r="C25" s="1">
        <v>43798</v>
      </c>
      <c r="D25" s="1">
        <v>43836</v>
      </c>
      <c r="E25" t="s">
        <v>21</v>
      </c>
      <c r="F25">
        <v>4</v>
      </c>
      <c r="G25" t="str">
        <f>HYPERLINK("https://www.commcarehq.org/a/demo-18/api/form/attachment/b22ac502-8cd5-4364-922e-84920c5d717a/1575010169202.jpg")</f>
        <v>https://www.commcarehq.org/a/demo-18/api/form/attachment/b22ac502-8cd5-4364-922e-84920c5d717a/1575010169202.jpg</v>
      </c>
      <c r="H25" t="str">
        <f>HYPERLINK("https://www.commcarehq.org/a/demo-18/api/form/attachment/b22ac502-8cd5-4364-922e-84920c5d717a/1575010183366.jpg")</f>
        <v>https://www.commcarehq.org/a/demo-18/api/form/attachment/b22ac502-8cd5-4364-922e-84920c5d717a/1575010183366.jpg</v>
      </c>
      <c r="I25" t="str">
        <f>HYPERLINK("https://www.commcarehq.org/a/demo-18/api/form/attachment/b22ac502-8cd5-4364-922e-84920c5d717a/1575010305176.jpg")</f>
        <v>https://www.commcarehq.org/a/demo-18/api/form/attachment/b22ac502-8cd5-4364-922e-84920c5d717a/1575010305176.jpg</v>
      </c>
      <c r="J25" t="str">
        <f>HYPERLINK("https://www.commcarehq.org/a/demo-18/api/form/attachment/b22ac502-8cd5-4364-922e-84920c5d717a/1575010314627.jpg")</f>
        <v>https://www.commcarehq.org/a/demo-18/api/form/attachment/b22ac502-8cd5-4364-922e-84920c5d717a/1575010314627.jpg</v>
      </c>
      <c r="K25" t="str">
        <f>HYPERLINK("https://www.commcarehq.org/a/demo-18/api/form/attachment/b22ac502-8cd5-4364-922e-84920c5d717a/1575010339666.jpg")</f>
        <v>https://www.commcarehq.org/a/demo-18/api/form/attachment/b22ac502-8cd5-4364-922e-84920c5d717a/1575010339666.jpg</v>
      </c>
      <c r="L25" t="str">
        <f>HYPERLINK("https://www.commcarehq.org/a/demo-18/api/form/attachment/b22ac502-8cd5-4364-922e-84920c5d717a/1575010348822.jpg")</f>
        <v>https://www.commcarehq.org/a/demo-18/api/form/attachment/b22ac502-8cd5-4364-922e-84920c5d717a/1575010348822.jpg</v>
      </c>
      <c r="M25" s="2">
        <v>43798.286458333336</v>
      </c>
      <c r="N25" s="2">
        <v>43798.284050925926</v>
      </c>
      <c r="O25" t="s">
        <v>32</v>
      </c>
      <c r="P25" s="2">
        <v>43798.365324074075</v>
      </c>
      <c r="Q25" t="s">
        <v>78</v>
      </c>
      <c r="R25" t="s">
        <v>79</v>
      </c>
    </row>
    <row r="26" spans="1:18" x14ac:dyDescent="0.45">
      <c r="A26" t="s">
        <v>80</v>
      </c>
      <c r="B26" t="s">
        <v>20</v>
      </c>
      <c r="C26" s="1">
        <v>43798</v>
      </c>
      <c r="D26" s="1">
        <v>43836</v>
      </c>
      <c r="E26" t="s">
        <v>21</v>
      </c>
      <c r="F26">
        <v>3.2</v>
      </c>
      <c r="G26" t="str">
        <f>HYPERLINK("https://www.commcarehq.org/a/demo-18/api/form/attachment/08af5e4c-c33e-4480-9bbe-dd1ead8b8dbf/1575013045550.jpg")</f>
        <v>https://www.commcarehq.org/a/demo-18/api/form/attachment/08af5e4c-c33e-4480-9bbe-dd1ead8b8dbf/1575013045550.jpg</v>
      </c>
      <c r="H26" t="str">
        <f>HYPERLINK("https://www.commcarehq.org/a/demo-18/api/form/attachment/08af5e4c-c33e-4480-9bbe-dd1ead8b8dbf/1575013059791.jpg")</f>
        <v>https://www.commcarehq.org/a/demo-18/api/form/attachment/08af5e4c-c33e-4480-9bbe-dd1ead8b8dbf/1575013059791.jpg</v>
      </c>
      <c r="I26" t="str">
        <f>HYPERLINK("https://www.commcarehq.org/a/demo-18/api/form/attachment/08af5e4c-c33e-4480-9bbe-dd1ead8b8dbf/1575013139348.jpg")</f>
        <v>https://www.commcarehq.org/a/demo-18/api/form/attachment/08af5e4c-c33e-4480-9bbe-dd1ead8b8dbf/1575013139348.jpg</v>
      </c>
      <c r="J26" t="str">
        <f>HYPERLINK("https://www.commcarehq.org/a/demo-18/api/form/attachment/08af5e4c-c33e-4480-9bbe-dd1ead8b8dbf/1575013148080.jpg")</f>
        <v>https://www.commcarehq.org/a/demo-18/api/form/attachment/08af5e4c-c33e-4480-9bbe-dd1ead8b8dbf/1575013148080.jpg</v>
      </c>
      <c r="K26" t="str">
        <f>HYPERLINK("https://www.commcarehq.org/a/demo-18/api/form/attachment/08af5e4c-c33e-4480-9bbe-dd1ead8b8dbf/1575013186372.jpg")</f>
        <v>https://www.commcarehq.org/a/demo-18/api/form/attachment/08af5e4c-c33e-4480-9bbe-dd1ead8b8dbf/1575013186372.jpg</v>
      </c>
      <c r="L26" t="str">
        <f>HYPERLINK("https://www.commcarehq.org/a/demo-18/api/form/attachment/08af5e4c-c33e-4480-9bbe-dd1ead8b8dbf/1575013196036.jpg")</f>
        <v>https://www.commcarehq.org/a/demo-18/api/form/attachment/08af5e4c-c33e-4480-9bbe-dd1ead8b8dbf/1575013196036.jpg</v>
      </c>
      <c r="M26" s="2">
        <v>43798.319421296299</v>
      </c>
      <c r="N26" s="2">
        <v>43798.317314814813</v>
      </c>
      <c r="O26" t="s">
        <v>32</v>
      </c>
      <c r="P26" s="2">
        <v>43798.366516203707</v>
      </c>
      <c r="Q26" t="s">
        <v>81</v>
      </c>
      <c r="R26" t="s">
        <v>82</v>
      </c>
    </row>
    <row r="27" spans="1:18" x14ac:dyDescent="0.45">
      <c r="A27" t="s">
        <v>95</v>
      </c>
      <c r="B27" t="s">
        <v>20</v>
      </c>
      <c r="C27" s="1">
        <v>43803</v>
      </c>
      <c r="D27" s="1">
        <v>43841</v>
      </c>
      <c r="E27" t="s">
        <v>21</v>
      </c>
      <c r="F27">
        <v>3.4</v>
      </c>
      <c r="G27" t="str">
        <f>HYPERLINK("https://www.commcarehq.org/a/demo-18/api/form/attachment/b6a1d34a-29b2-45e3-90ff-0cc251a2df9d/1575448686917.jpg")</f>
        <v>https://www.commcarehq.org/a/demo-18/api/form/attachment/b6a1d34a-29b2-45e3-90ff-0cc251a2df9d/1575448686917.jpg</v>
      </c>
      <c r="H27" t="str">
        <f>HYPERLINK("https://www.commcarehq.org/a/demo-18/api/form/attachment/b6a1d34a-29b2-45e3-90ff-0cc251a2df9d/1575448702427.jpg")</f>
        <v>https://www.commcarehq.org/a/demo-18/api/form/attachment/b6a1d34a-29b2-45e3-90ff-0cc251a2df9d/1575448702427.jpg</v>
      </c>
      <c r="I27" t="str">
        <f>HYPERLINK("https://www.commcarehq.org/a/demo-18/api/form/attachment/b6a1d34a-29b2-45e3-90ff-0cc251a2df9d/1575448736596.jpg")</f>
        <v>https://www.commcarehq.org/a/demo-18/api/form/attachment/b6a1d34a-29b2-45e3-90ff-0cc251a2df9d/1575448736596.jpg</v>
      </c>
      <c r="J27" t="str">
        <f>HYPERLINK("https://www.commcarehq.org/a/demo-18/api/form/attachment/b6a1d34a-29b2-45e3-90ff-0cc251a2df9d/1575448746312.jpg")</f>
        <v>https://www.commcarehq.org/a/demo-18/api/form/attachment/b6a1d34a-29b2-45e3-90ff-0cc251a2df9d/1575448746312.jpg</v>
      </c>
      <c r="K27" t="str">
        <f>HYPERLINK("https://www.commcarehq.org/a/demo-18/api/form/attachment/b6a1d34a-29b2-45e3-90ff-0cc251a2df9d/1575448761316.jpg")</f>
        <v>https://www.commcarehq.org/a/demo-18/api/form/attachment/b6a1d34a-29b2-45e3-90ff-0cc251a2df9d/1575448761316.jpg</v>
      </c>
      <c r="L27" t="str">
        <f>HYPERLINK("https://www.commcarehq.org/a/demo-18/api/form/attachment/b6a1d34a-29b2-45e3-90ff-0cc251a2df9d/1575448774402.jpg")</f>
        <v>https://www.commcarehq.org/a/demo-18/api/form/attachment/b6a1d34a-29b2-45e3-90ff-0cc251a2df9d/1575448774402.jpg</v>
      </c>
      <c r="M27" s="2">
        <v>43803.360833333332</v>
      </c>
      <c r="N27" s="2">
        <v>43803.359317129631</v>
      </c>
      <c r="O27" t="s">
        <v>32</v>
      </c>
      <c r="P27" s="2">
        <v>43803.424305555556</v>
      </c>
      <c r="Q27" t="s">
        <v>96</v>
      </c>
      <c r="R27" t="s">
        <v>97</v>
      </c>
    </row>
    <row r="28" spans="1:18" x14ac:dyDescent="0.45">
      <c r="A28" t="s">
        <v>98</v>
      </c>
      <c r="B28" t="s">
        <v>20</v>
      </c>
      <c r="C28" s="1">
        <v>43803</v>
      </c>
      <c r="D28" s="1">
        <v>43841</v>
      </c>
      <c r="E28" t="s">
        <v>21</v>
      </c>
      <c r="F28">
        <v>3.1</v>
      </c>
      <c r="G28" t="str">
        <f>HYPERLINK("https://www.commcarehq.org/a/demo-18/api/form/attachment/e24572e9-0128-448d-838d-b3347985ce01/1575448252294.jpg")</f>
        <v>https://www.commcarehq.org/a/demo-18/api/form/attachment/e24572e9-0128-448d-838d-b3347985ce01/1575448252294.jpg</v>
      </c>
      <c r="H28" t="str">
        <f>HYPERLINK("https://www.commcarehq.org/a/demo-18/api/form/attachment/e24572e9-0128-448d-838d-b3347985ce01/1575448268647.jpg")</f>
        <v>https://www.commcarehq.org/a/demo-18/api/form/attachment/e24572e9-0128-448d-838d-b3347985ce01/1575448268647.jpg</v>
      </c>
      <c r="I28" t="str">
        <f>HYPERLINK("https://www.commcarehq.org/a/demo-18/api/form/attachment/e24572e9-0128-448d-838d-b3347985ce01/1575448304236.jpg")</f>
        <v>https://www.commcarehq.org/a/demo-18/api/form/attachment/e24572e9-0128-448d-838d-b3347985ce01/1575448304236.jpg</v>
      </c>
      <c r="J28" t="str">
        <f>HYPERLINK("https://www.commcarehq.org/a/demo-18/api/form/attachment/e24572e9-0128-448d-838d-b3347985ce01/1575448316809.jpg")</f>
        <v>https://www.commcarehq.org/a/demo-18/api/form/attachment/e24572e9-0128-448d-838d-b3347985ce01/1575448316809.jpg</v>
      </c>
      <c r="K28" t="str">
        <f>HYPERLINK("https://www.commcarehq.org/a/demo-18/api/form/attachment/e24572e9-0128-448d-838d-b3347985ce01/1575448337116.jpg")</f>
        <v>https://www.commcarehq.org/a/demo-18/api/form/attachment/e24572e9-0128-448d-838d-b3347985ce01/1575448337116.jpg</v>
      </c>
      <c r="L28" t="str">
        <f>HYPERLINK("https://www.commcarehq.org/a/demo-18/api/form/attachment/e24572e9-0128-448d-838d-b3347985ce01/1575448346473.jpg")</f>
        <v>https://www.commcarehq.org/a/demo-18/api/form/attachment/e24572e9-0128-448d-838d-b3347985ce01/1575448346473.jpg</v>
      </c>
      <c r="M28" s="2">
        <v>43803.355879629627</v>
      </c>
      <c r="N28" s="2">
        <v>43803.354189814818</v>
      </c>
      <c r="O28" t="s">
        <v>32</v>
      </c>
      <c r="P28" s="2">
        <v>43803.423993055556</v>
      </c>
      <c r="Q28" t="s">
        <v>99</v>
      </c>
      <c r="R28" t="s">
        <v>100</v>
      </c>
    </row>
    <row r="29" spans="1:18" x14ac:dyDescent="0.45">
      <c r="A29" t="s">
        <v>104</v>
      </c>
      <c r="B29" t="s">
        <v>20</v>
      </c>
      <c r="C29" s="1">
        <v>43777</v>
      </c>
      <c r="D29" s="1">
        <v>43815</v>
      </c>
      <c r="E29" t="s">
        <v>21</v>
      </c>
      <c r="F29">
        <v>3</v>
      </c>
      <c r="G29" t="str">
        <f>HYPERLINK("https://www.commcarehq.org/a/demo-18/api/form/attachment/4d1c7c1b-f5d4-4b4b-bc7a-6321a2918408/1573202523835.jpg")</f>
        <v>https://www.commcarehq.org/a/demo-18/api/form/attachment/4d1c7c1b-f5d4-4b4b-bc7a-6321a2918408/1573202523835.jpg</v>
      </c>
      <c r="H29" t="str">
        <f>HYPERLINK("https://www.commcarehq.org/a/demo-18/api/form/attachment/4d1c7c1b-f5d4-4b4b-bc7a-6321a2918408/1573202545892.jpg")</f>
        <v>https://www.commcarehq.org/a/demo-18/api/form/attachment/4d1c7c1b-f5d4-4b4b-bc7a-6321a2918408/1573202545892.jpg</v>
      </c>
      <c r="I29" t="str">
        <f>HYPERLINK("https://www.commcarehq.org/a/demo-18/api/form/attachment/4d1c7c1b-f5d4-4b4b-bc7a-6321a2918408/1573202615480.jpg")</f>
        <v>https://www.commcarehq.org/a/demo-18/api/form/attachment/4d1c7c1b-f5d4-4b4b-bc7a-6321a2918408/1573202615480.jpg</v>
      </c>
      <c r="J29" t="str">
        <f>HYPERLINK("https://www.commcarehq.org/a/demo-18/api/form/attachment/4d1c7c1b-f5d4-4b4b-bc7a-6321a2918408/1573202633511.jpg")</f>
        <v>https://www.commcarehq.org/a/demo-18/api/form/attachment/4d1c7c1b-f5d4-4b4b-bc7a-6321a2918408/1573202633511.jpg</v>
      </c>
      <c r="K29" t="str">
        <f>HYPERLINK("https://www.commcarehq.org/a/demo-18/api/form/attachment/4d1c7c1b-f5d4-4b4b-bc7a-6321a2918408/1573202668409.jpg")</f>
        <v>https://www.commcarehq.org/a/demo-18/api/form/attachment/4d1c7c1b-f5d4-4b4b-bc7a-6321a2918408/1573202668409.jpg</v>
      </c>
      <c r="L29" t="str">
        <f>HYPERLINK("https://www.commcarehq.org/a/demo-18/api/form/attachment/4d1c7c1b-f5d4-4b4b-bc7a-6321a2918408/1573202683959.jpg")</f>
        <v>https://www.commcarehq.org/a/demo-18/api/form/attachment/4d1c7c1b-f5d4-4b4b-bc7a-6321a2918408/1573202683959.jpg</v>
      </c>
      <c r="M29" s="2">
        <v>43777.364594907405</v>
      </c>
      <c r="N29" s="2">
        <v>43777.362199074072</v>
      </c>
      <c r="O29" t="s">
        <v>22</v>
      </c>
      <c r="P29" s="2">
        <v>43777.628668981481</v>
      </c>
      <c r="Q29" t="s">
        <v>105</v>
      </c>
      <c r="R29" t="s">
        <v>106</v>
      </c>
    </row>
    <row r="30" spans="1:18" x14ac:dyDescent="0.45">
      <c r="A30" t="s">
        <v>134</v>
      </c>
      <c r="B30" t="s">
        <v>20</v>
      </c>
      <c r="C30" s="1">
        <v>43780</v>
      </c>
      <c r="D30" s="1">
        <v>43818</v>
      </c>
      <c r="E30" t="s">
        <v>21</v>
      </c>
      <c r="F30">
        <v>2.8</v>
      </c>
      <c r="G30" t="str">
        <f>HYPERLINK("https://www.commcarehq.org/a/demo-18/api/form/attachment/33e5be6e-6fce-4ebc-a354-b5715f23bb85/1573466438105.jpg")</f>
        <v>https://www.commcarehq.org/a/demo-18/api/form/attachment/33e5be6e-6fce-4ebc-a354-b5715f23bb85/1573466438105.jpg</v>
      </c>
      <c r="H30" t="str">
        <f>HYPERLINK("https://www.commcarehq.org/a/demo-18/api/form/attachment/33e5be6e-6fce-4ebc-a354-b5715f23bb85/1573466462245.jpg")</f>
        <v>https://www.commcarehq.org/a/demo-18/api/form/attachment/33e5be6e-6fce-4ebc-a354-b5715f23bb85/1573466462245.jpg</v>
      </c>
      <c r="I30" t="str">
        <f>HYPERLINK("https://www.commcarehq.org/a/demo-18/api/form/attachment/33e5be6e-6fce-4ebc-a354-b5715f23bb85/1573466525523.jpg")</f>
        <v>https://www.commcarehq.org/a/demo-18/api/form/attachment/33e5be6e-6fce-4ebc-a354-b5715f23bb85/1573466525523.jpg</v>
      </c>
      <c r="J30" t="str">
        <f>HYPERLINK("https://www.commcarehq.org/a/demo-18/api/form/attachment/33e5be6e-6fce-4ebc-a354-b5715f23bb85/1573466538518.jpg")</f>
        <v>https://www.commcarehq.org/a/demo-18/api/form/attachment/33e5be6e-6fce-4ebc-a354-b5715f23bb85/1573466538518.jpg</v>
      </c>
      <c r="K30" t="str">
        <f>HYPERLINK("https://www.commcarehq.org/a/demo-18/api/form/attachment/33e5be6e-6fce-4ebc-a354-b5715f23bb85/1573466565046.jpg")</f>
        <v>https://www.commcarehq.org/a/demo-18/api/form/attachment/33e5be6e-6fce-4ebc-a354-b5715f23bb85/1573466565046.jpg</v>
      </c>
      <c r="L30" t="str">
        <f>HYPERLINK("https://www.commcarehq.org/a/demo-18/api/form/attachment/33e5be6e-6fce-4ebc-a354-b5715f23bb85/1573466578801.jpg")</f>
        <v>https://www.commcarehq.org/a/demo-18/api/form/attachment/33e5be6e-6fce-4ebc-a354-b5715f23bb85/1573466578801.jpg</v>
      </c>
      <c r="M30" s="2">
        <v>43780.418749999997</v>
      </c>
      <c r="N30" s="2">
        <v>43780.416747685187</v>
      </c>
      <c r="O30" t="s">
        <v>32</v>
      </c>
      <c r="P30" s="2">
        <v>43780.423483796294</v>
      </c>
      <c r="Q30" t="s">
        <v>135</v>
      </c>
      <c r="R30" t="s">
        <v>136</v>
      </c>
    </row>
    <row r="31" spans="1:18" x14ac:dyDescent="0.45">
      <c r="A31" t="s">
        <v>128</v>
      </c>
      <c r="B31" t="s">
        <v>20</v>
      </c>
      <c r="C31" s="1">
        <v>43780</v>
      </c>
      <c r="D31" s="1">
        <v>43818</v>
      </c>
      <c r="E31" t="s">
        <v>21</v>
      </c>
      <c r="F31">
        <v>2.5</v>
      </c>
      <c r="G31" t="str">
        <f>HYPERLINK("https://www.commcarehq.org/a/demo-18/api/form/attachment/3a6ee164-46f2-4216-b190-26e84f58fdb9/1573459127021.jpg")</f>
        <v>https://www.commcarehq.org/a/demo-18/api/form/attachment/3a6ee164-46f2-4216-b190-26e84f58fdb9/1573459127021.jpg</v>
      </c>
      <c r="H31" t="str">
        <f>HYPERLINK("https://www.commcarehq.org/a/demo-18/api/form/attachment/3a6ee164-46f2-4216-b190-26e84f58fdb9/1573459144736.jpg")</f>
        <v>https://www.commcarehq.org/a/demo-18/api/form/attachment/3a6ee164-46f2-4216-b190-26e84f58fdb9/1573459144736.jpg</v>
      </c>
      <c r="I31" t="str">
        <f>HYPERLINK("https://www.commcarehq.org/a/demo-18/api/form/attachment/3a6ee164-46f2-4216-b190-26e84f58fdb9/1573459198728.jpg")</f>
        <v>https://www.commcarehq.org/a/demo-18/api/form/attachment/3a6ee164-46f2-4216-b190-26e84f58fdb9/1573459198728.jpg</v>
      </c>
      <c r="J31" t="str">
        <f>HYPERLINK("https://www.commcarehq.org/a/demo-18/api/form/attachment/3a6ee164-46f2-4216-b190-26e84f58fdb9/1573459211365.jpg")</f>
        <v>https://www.commcarehq.org/a/demo-18/api/form/attachment/3a6ee164-46f2-4216-b190-26e84f58fdb9/1573459211365.jpg</v>
      </c>
      <c r="K31" t="str">
        <f>HYPERLINK("https://www.commcarehq.org/a/demo-18/api/form/attachment/3a6ee164-46f2-4216-b190-26e84f58fdb9/1573459240808.jpg")</f>
        <v>https://www.commcarehq.org/a/demo-18/api/form/attachment/3a6ee164-46f2-4216-b190-26e84f58fdb9/1573459240808.jpg</v>
      </c>
      <c r="L31" t="str">
        <f>HYPERLINK("https://www.commcarehq.org/a/demo-18/api/form/attachment/3a6ee164-46f2-4216-b190-26e84f58fdb9/1573459254586.jpg")</f>
        <v>https://www.commcarehq.org/a/demo-18/api/form/attachment/3a6ee164-46f2-4216-b190-26e84f58fdb9/1573459254586.jpg</v>
      </c>
      <c r="M31" s="2">
        <v>43780.333981481483</v>
      </c>
      <c r="N31" s="2">
        <v>43780.33222222222</v>
      </c>
      <c r="O31" t="s">
        <v>32</v>
      </c>
      <c r="P31" s="2">
        <v>43780.421423611115</v>
      </c>
      <c r="Q31" t="s">
        <v>129</v>
      </c>
      <c r="R31" t="s">
        <v>130</v>
      </c>
    </row>
    <row r="32" spans="1:18" x14ac:dyDescent="0.45">
      <c r="A32" t="s">
        <v>131</v>
      </c>
      <c r="B32" t="s">
        <v>20</v>
      </c>
      <c r="C32" s="1">
        <v>43780</v>
      </c>
      <c r="D32" s="1">
        <v>43818</v>
      </c>
      <c r="E32" t="s">
        <v>21</v>
      </c>
      <c r="F32">
        <v>2.5</v>
      </c>
      <c r="G32" t="str">
        <f>HYPERLINK("https://www.commcarehq.org/a/demo-18/api/form/attachment/92899205-88b0-42e0-9cc9-b3d3b4426761/1573460426618.jpg")</f>
        <v>https://www.commcarehq.org/a/demo-18/api/form/attachment/92899205-88b0-42e0-9cc9-b3d3b4426761/1573460426618.jpg</v>
      </c>
      <c r="H32" t="str">
        <f>HYPERLINK("https://www.commcarehq.org/a/demo-18/api/form/attachment/92899205-88b0-42e0-9cc9-b3d3b4426761/1573460443688.jpg")</f>
        <v>https://www.commcarehq.org/a/demo-18/api/form/attachment/92899205-88b0-42e0-9cc9-b3d3b4426761/1573460443688.jpg</v>
      </c>
      <c r="I32" t="str">
        <f>HYPERLINK("https://www.commcarehq.org/a/demo-18/api/form/attachment/92899205-88b0-42e0-9cc9-b3d3b4426761/1573460496015.jpg")</f>
        <v>https://www.commcarehq.org/a/demo-18/api/form/attachment/92899205-88b0-42e0-9cc9-b3d3b4426761/1573460496015.jpg</v>
      </c>
      <c r="J32" t="str">
        <f>HYPERLINK("https://www.commcarehq.org/a/demo-18/api/form/attachment/92899205-88b0-42e0-9cc9-b3d3b4426761/1573460518862.jpg")</f>
        <v>https://www.commcarehq.org/a/demo-18/api/form/attachment/92899205-88b0-42e0-9cc9-b3d3b4426761/1573460518862.jpg</v>
      </c>
      <c r="K32" t="str">
        <f>HYPERLINK("https://www.commcarehq.org/a/demo-18/api/form/attachment/92899205-88b0-42e0-9cc9-b3d3b4426761/1573460540407.jpg")</f>
        <v>https://www.commcarehq.org/a/demo-18/api/form/attachment/92899205-88b0-42e0-9cc9-b3d3b4426761/1573460540407.jpg</v>
      </c>
      <c r="L32" t="str">
        <f>HYPERLINK("https://www.commcarehq.org/a/demo-18/api/form/attachment/92899205-88b0-42e0-9cc9-b3d3b4426761/1573460553851.jpg")</f>
        <v>https://www.commcarehq.org/a/demo-18/api/form/attachment/92899205-88b0-42e0-9cc9-b3d3b4426761/1573460553851.jpg</v>
      </c>
      <c r="M32" s="2">
        <v>43780.349027777775</v>
      </c>
      <c r="N32" s="2">
        <v>43780.347071759257</v>
      </c>
      <c r="O32" t="s">
        <v>32</v>
      </c>
      <c r="P32" s="2">
        <v>43780.421979166669</v>
      </c>
      <c r="Q32" t="s">
        <v>132</v>
      </c>
      <c r="R32" t="s">
        <v>133</v>
      </c>
    </row>
    <row r="33" spans="1:18" x14ac:dyDescent="0.45">
      <c r="A33" t="s">
        <v>110</v>
      </c>
      <c r="B33" t="s">
        <v>20</v>
      </c>
      <c r="C33" s="1">
        <v>43776</v>
      </c>
      <c r="D33" s="1">
        <v>43814</v>
      </c>
      <c r="E33" t="s">
        <v>21</v>
      </c>
      <c r="F33">
        <v>3.3</v>
      </c>
      <c r="G33" t="str">
        <f>HYPERLINK("https://www.commcarehq.org/a/demo-18/api/form/attachment/d3b325ea-2e9b-4718-9aac-f137d12d71d5/1573115045301.jpg")</f>
        <v>https://www.commcarehq.org/a/demo-18/api/form/attachment/d3b325ea-2e9b-4718-9aac-f137d12d71d5/1573115045301.jpg</v>
      </c>
      <c r="H33" t="str">
        <f>HYPERLINK("https://www.commcarehq.org/a/demo-18/api/form/attachment/d3b325ea-2e9b-4718-9aac-f137d12d71d5/1573115061516.jpg")</f>
        <v>https://www.commcarehq.org/a/demo-18/api/form/attachment/d3b325ea-2e9b-4718-9aac-f137d12d71d5/1573115061516.jpg</v>
      </c>
      <c r="I33" t="str">
        <f>HYPERLINK("https://www.commcarehq.org/a/demo-18/api/form/attachment/d3b325ea-2e9b-4718-9aac-f137d12d71d5/1573115136547.jpg")</f>
        <v>https://www.commcarehq.org/a/demo-18/api/form/attachment/d3b325ea-2e9b-4718-9aac-f137d12d71d5/1573115136547.jpg</v>
      </c>
      <c r="J33" t="str">
        <f>HYPERLINK("https://www.commcarehq.org/a/demo-18/api/form/attachment/d3b325ea-2e9b-4718-9aac-f137d12d71d5/1573115152604.jpg")</f>
        <v>https://www.commcarehq.org/a/demo-18/api/form/attachment/d3b325ea-2e9b-4718-9aac-f137d12d71d5/1573115152604.jpg</v>
      </c>
      <c r="K33" t="str">
        <f>HYPERLINK("https://www.commcarehq.org/a/demo-18/api/form/attachment/d3b325ea-2e9b-4718-9aac-f137d12d71d5/1573115190890.jpg")</f>
        <v>https://www.commcarehq.org/a/demo-18/api/form/attachment/d3b325ea-2e9b-4718-9aac-f137d12d71d5/1573115190890.jpg</v>
      </c>
      <c r="L33" t="str">
        <f>HYPERLINK("https://www.commcarehq.org/a/demo-18/api/form/attachment/d3b325ea-2e9b-4718-9aac-f137d12d71d5/1573115207399.jpg")</f>
        <v>https://www.commcarehq.org/a/demo-18/api/form/attachment/d3b325ea-2e9b-4718-9aac-f137d12d71d5/1573115207399.jpg</v>
      </c>
      <c r="M33" s="2">
        <v>43776.351967592593</v>
      </c>
      <c r="N33" s="2">
        <v>43776.349768518521</v>
      </c>
      <c r="O33" t="s">
        <v>32</v>
      </c>
      <c r="P33" s="2">
        <v>43776.424143518518</v>
      </c>
      <c r="Q33" t="s">
        <v>111</v>
      </c>
      <c r="R33" t="s">
        <v>112</v>
      </c>
    </row>
    <row r="34" spans="1:18" x14ac:dyDescent="0.45">
      <c r="A34" t="s">
        <v>107</v>
      </c>
      <c r="B34" t="s">
        <v>20</v>
      </c>
      <c r="C34" s="1">
        <v>43776</v>
      </c>
      <c r="D34" s="1">
        <v>43814</v>
      </c>
      <c r="E34" t="s">
        <v>21</v>
      </c>
      <c r="F34">
        <v>3.7</v>
      </c>
      <c r="G34" t="str">
        <f>HYPERLINK("https://www.commcarehq.org/a/demo-18/api/form/attachment/2ea58b96-c7a8-458a-aaf0-c6e3ba9c576e/1573113425416.jpg")</f>
        <v>https://www.commcarehq.org/a/demo-18/api/form/attachment/2ea58b96-c7a8-458a-aaf0-c6e3ba9c576e/1573113425416.jpg</v>
      </c>
      <c r="H34" t="str">
        <f>HYPERLINK("https://www.commcarehq.org/a/demo-18/api/form/attachment/2ea58b96-c7a8-458a-aaf0-c6e3ba9c576e/1573113451022.jpg")</f>
        <v>https://www.commcarehq.org/a/demo-18/api/form/attachment/2ea58b96-c7a8-458a-aaf0-c6e3ba9c576e/1573113451022.jpg</v>
      </c>
      <c r="I34" t="str">
        <f>HYPERLINK("https://www.commcarehq.org/a/demo-18/api/form/attachment/2ea58b96-c7a8-458a-aaf0-c6e3ba9c576e/1573113649621.jpg")</f>
        <v>https://www.commcarehq.org/a/demo-18/api/form/attachment/2ea58b96-c7a8-458a-aaf0-c6e3ba9c576e/1573113649621.jpg</v>
      </c>
      <c r="J34" t="str">
        <f>HYPERLINK("https://www.commcarehq.org/a/demo-18/api/form/attachment/2ea58b96-c7a8-458a-aaf0-c6e3ba9c576e/1573113666952.jpg")</f>
        <v>https://www.commcarehq.org/a/demo-18/api/form/attachment/2ea58b96-c7a8-458a-aaf0-c6e3ba9c576e/1573113666952.jpg</v>
      </c>
      <c r="K34" t="str">
        <f>HYPERLINK("https://www.commcarehq.org/a/demo-18/api/form/attachment/2ea58b96-c7a8-458a-aaf0-c6e3ba9c576e/1573113726774.jpg")</f>
        <v>https://www.commcarehq.org/a/demo-18/api/form/attachment/2ea58b96-c7a8-458a-aaf0-c6e3ba9c576e/1573113726774.jpg</v>
      </c>
      <c r="L34" t="str">
        <f>HYPERLINK("https://www.commcarehq.org/a/demo-18/api/form/attachment/2ea58b96-c7a8-458a-aaf0-c6e3ba9c576e/1573113811552.jpg")</f>
        <v>https://www.commcarehq.org/a/demo-18/api/form/attachment/2ea58b96-c7a8-458a-aaf0-c6e3ba9c576e/1573113811552.jpg</v>
      </c>
      <c r="M34" s="2">
        <v>43776.335798611108</v>
      </c>
      <c r="N34" s="2">
        <v>43776.330868055556</v>
      </c>
      <c r="O34" t="s">
        <v>32</v>
      </c>
      <c r="P34" s="2">
        <v>43776.335972222223</v>
      </c>
      <c r="Q34" t="s">
        <v>108</v>
      </c>
      <c r="R34" t="s">
        <v>109</v>
      </c>
    </row>
    <row r="35" spans="1:18" x14ac:dyDescent="0.45">
      <c r="A35" t="s">
        <v>113</v>
      </c>
      <c r="B35" t="s">
        <v>20</v>
      </c>
      <c r="C35" s="1">
        <v>43775</v>
      </c>
      <c r="D35" s="1">
        <v>43813</v>
      </c>
      <c r="E35" t="s">
        <v>21</v>
      </c>
      <c r="F35">
        <v>3.1</v>
      </c>
      <c r="G35" t="str">
        <f>HYPERLINK("https://www.commcarehq.org/a/demo-18/api/form/attachment/02b1b6f5-f6ad-44cb-b7b5-68311d6e965a/1573029455324.jpg")</f>
        <v>https://www.commcarehq.org/a/demo-18/api/form/attachment/02b1b6f5-f6ad-44cb-b7b5-68311d6e965a/1573029455324.jpg</v>
      </c>
      <c r="H35" t="str">
        <f>HYPERLINK("https://www.commcarehq.org/a/demo-18/api/form/attachment/02b1b6f5-f6ad-44cb-b7b5-68311d6e965a/1573029474649.jpg")</f>
        <v>https://www.commcarehq.org/a/demo-18/api/form/attachment/02b1b6f5-f6ad-44cb-b7b5-68311d6e965a/1573029474649.jpg</v>
      </c>
      <c r="I35" t="str">
        <f>HYPERLINK("https://www.commcarehq.org/a/demo-18/api/form/attachment/02b1b6f5-f6ad-44cb-b7b5-68311d6e965a/1573029573191.jpg")</f>
        <v>https://www.commcarehq.org/a/demo-18/api/form/attachment/02b1b6f5-f6ad-44cb-b7b5-68311d6e965a/1573029573191.jpg</v>
      </c>
      <c r="J35" t="str">
        <f>HYPERLINK("https://www.commcarehq.org/a/demo-18/api/form/attachment/02b1b6f5-f6ad-44cb-b7b5-68311d6e965a/1573029587547.jpg")</f>
        <v>https://www.commcarehq.org/a/demo-18/api/form/attachment/02b1b6f5-f6ad-44cb-b7b5-68311d6e965a/1573029587547.jpg</v>
      </c>
      <c r="K35" t="str">
        <f>HYPERLINK("https://www.commcarehq.org/a/demo-18/api/form/attachment/02b1b6f5-f6ad-44cb-b7b5-68311d6e965a/1573029666786.jpg")</f>
        <v>https://www.commcarehq.org/a/demo-18/api/form/attachment/02b1b6f5-f6ad-44cb-b7b5-68311d6e965a/1573029666786.jpg</v>
      </c>
      <c r="L35" t="str">
        <f>HYPERLINK("https://www.commcarehq.org/a/demo-18/api/form/attachment/02b1b6f5-f6ad-44cb-b7b5-68311d6e965a/1573029681605.jpg")</f>
        <v>https://www.commcarehq.org/a/demo-18/api/form/attachment/02b1b6f5-f6ad-44cb-b7b5-68311d6e965a/1573029681605.jpg</v>
      </c>
      <c r="M35" s="2">
        <v>43775.362071759257</v>
      </c>
      <c r="N35" s="2">
        <v>43775.358831018515</v>
      </c>
      <c r="O35" t="s">
        <v>32</v>
      </c>
      <c r="P35" s="2">
        <v>43775.393622685187</v>
      </c>
      <c r="Q35" t="s">
        <v>114</v>
      </c>
      <c r="R35" t="s">
        <v>115</v>
      </c>
    </row>
    <row r="36" spans="1:18" x14ac:dyDescent="0.45">
      <c r="A36" t="s">
        <v>116</v>
      </c>
      <c r="B36" t="s">
        <v>20</v>
      </c>
      <c r="C36" s="1">
        <v>43775</v>
      </c>
      <c r="D36" s="1">
        <v>43813</v>
      </c>
      <c r="E36" t="s">
        <v>21</v>
      </c>
      <c r="F36">
        <v>3</v>
      </c>
      <c r="G36" t="str">
        <f>HYPERLINK("https://www.commcarehq.org/a/demo-18/api/form/attachment/08705d85-eae2-42e0-bb77-5efb4e7e5420/1573024148513.jpg")</f>
        <v>https://www.commcarehq.org/a/demo-18/api/form/attachment/08705d85-eae2-42e0-bb77-5efb4e7e5420/1573024148513.jpg</v>
      </c>
      <c r="H36" t="str">
        <f>HYPERLINK("https://www.commcarehq.org/a/demo-18/api/form/attachment/08705d85-eae2-42e0-bb77-5efb4e7e5420/1573024192227.jpg")</f>
        <v>https://www.commcarehq.org/a/demo-18/api/form/attachment/08705d85-eae2-42e0-bb77-5efb4e7e5420/1573024192227.jpg</v>
      </c>
      <c r="I36" t="str">
        <f>HYPERLINK("https://www.commcarehq.org/a/demo-18/api/form/attachment/08705d85-eae2-42e0-bb77-5efb4e7e5420/1573024280195.jpg")</f>
        <v>https://www.commcarehq.org/a/demo-18/api/form/attachment/08705d85-eae2-42e0-bb77-5efb4e7e5420/1573024280195.jpg</v>
      </c>
      <c r="J36" t="str">
        <f>HYPERLINK("https://www.commcarehq.org/a/demo-18/api/form/attachment/08705d85-eae2-42e0-bb77-5efb4e7e5420/1573024290557.jpg")</f>
        <v>https://www.commcarehq.org/a/demo-18/api/form/attachment/08705d85-eae2-42e0-bb77-5efb4e7e5420/1573024290557.jpg</v>
      </c>
      <c r="K36" t="str">
        <f>HYPERLINK("https://www.commcarehq.org/a/demo-18/api/form/attachment/08705d85-eae2-42e0-bb77-5efb4e7e5420/1573024323020.jpg")</f>
        <v>https://www.commcarehq.org/a/demo-18/api/form/attachment/08705d85-eae2-42e0-bb77-5efb4e7e5420/1573024323020.jpg</v>
      </c>
      <c r="L36" t="str">
        <f>HYPERLINK("https://www.commcarehq.org/a/demo-18/api/form/attachment/08705d85-eae2-42e0-bb77-5efb4e7e5420/1573024351264.jpg")</f>
        <v>https://www.commcarehq.org/a/demo-18/api/form/attachment/08705d85-eae2-42e0-bb77-5efb4e7e5420/1573024351264.jpg</v>
      </c>
      <c r="M36" s="2">
        <v>43775.300381944442</v>
      </c>
      <c r="N36" s="2">
        <v>43775.297326388885</v>
      </c>
      <c r="O36" t="s">
        <v>32</v>
      </c>
      <c r="P36" s="2">
        <v>43775.392928240741</v>
      </c>
      <c r="Q36" t="s">
        <v>117</v>
      </c>
      <c r="R36" t="s">
        <v>118</v>
      </c>
    </row>
    <row r="37" spans="1:18" x14ac:dyDescent="0.45">
      <c r="A37" t="s">
        <v>119</v>
      </c>
      <c r="B37" t="s">
        <v>20</v>
      </c>
      <c r="C37" s="1">
        <v>43782</v>
      </c>
      <c r="D37" s="1">
        <v>43820</v>
      </c>
      <c r="E37" t="s">
        <v>21</v>
      </c>
      <c r="F37">
        <v>2.6</v>
      </c>
      <c r="G37" t="str">
        <f>HYPERLINK("https://www.commcarehq.org/a/demo-18/api/form/attachment/621bf7d3-ff20-420e-92f7-f7a412cb1682/1573634233202.jpg")</f>
        <v>https://www.commcarehq.org/a/demo-18/api/form/attachment/621bf7d3-ff20-420e-92f7-f7a412cb1682/1573634233202.jpg</v>
      </c>
      <c r="H37" t="str">
        <f>HYPERLINK("https://www.commcarehq.org/a/demo-18/api/form/attachment/621bf7d3-ff20-420e-92f7-f7a412cb1682/1573634253059.jpg")</f>
        <v>https://www.commcarehq.org/a/demo-18/api/form/attachment/621bf7d3-ff20-420e-92f7-f7a412cb1682/1573634253059.jpg</v>
      </c>
      <c r="I37" t="str">
        <f>HYPERLINK("https://www.commcarehq.org/a/demo-18/api/form/attachment/621bf7d3-ff20-420e-92f7-f7a412cb1682/1573634336244.jpg")</f>
        <v>https://www.commcarehq.org/a/demo-18/api/form/attachment/621bf7d3-ff20-420e-92f7-f7a412cb1682/1573634336244.jpg</v>
      </c>
      <c r="J37" t="str">
        <f>HYPERLINK("https://www.commcarehq.org/a/demo-18/api/form/attachment/621bf7d3-ff20-420e-92f7-f7a412cb1682/1573634348812.jpg")</f>
        <v>https://www.commcarehq.org/a/demo-18/api/form/attachment/621bf7d3-ff20-420e-92f7-f7a412cb1682/1573634348812.jpg</v>
      </c>
      <c r="K37" t="str">
        <f>HYPERLINK("https://www.commcarehq.org/a/demo-18/api/form/attachment/621bf7d3-ff20-420e-92f7-f7a412cb1682/1573634375351.jpg")</f>
        <v>https://www.commcarehq.org/a/demo-18/api/form/attachment/621bf7d3-ff20-420e-92f7-f7a412cb1682/1573634375351.jpg</v>
      </c>
      <c r="L37" t="str">
        <f>HYPERLINK("https://www.commcarehq.org/a/demo-18/api/form/attachment/621bf7d3-ff20-420e-92f7-f7a412cb1682/1573634392278.jpg")</f>
        <v>https://www.commcarehq.org/a/demo-18/api/form/attachment/621bf7d3-ff20-420e-92f7-f7a412cb1682/1573634392278.jpg</v>
      </c>
      <c r="M37" s="2">
        <v>43782.361041666663</v>
      </c>
      <c r="N37" s="2">
        <v>43782.358715277776</v>
      </c>
      <c r="O37" t="s">
        <v>32</v>
      </c>
      <c r="P37" s="2">
        <v>43782.380069444444</v>
      </c>
      <c r="Q37" t="s">
        <v>120</v>
      </c>
      <c r="R37" t="s">
        <v>121</v>
      </c>
    </row>
    <row r="38" spans="1:18" x14ac:dyDescent="0.45">
      <c r="A38" t="s">
        <v>1206</v>
      </c>
      <c r="B38" t="s">
        <v>20</v>
      </c>
      <c r="C38" s="1">
        <v>43797</v>
      </c>
      <c r="D38" s="1">
        <v>43835</v>
      </c>
      <c r="E38" t="s">
        <v>21</v>
      </c>
      <c r="F38">
        <v>3</v>
      </c>
      <c r="G38" t="str">
        <f>HYPERLINK("https://www.commcarehq.org/a/demo-18/api/form/attachment/0443b8f0-7bd8-4305-b71c-c000432e3c3c/1574932228694.jpg")</f>
        <v>https://www.commcarehq.org/a/demo-18/api/form/attachment/0443b8f0-7bd8-4305-b71c-c000432e3c3c/1574932228694.jpg</v>
      </c>
      <c r="H38" t="str">
        <f>HYPERLINK("https://www.commcarehq.org/a/demo-18/api/form/attachment/0443b8f0-7bd8-4305-b71c-c000432e3c3c/1574932244525.jpg")</f>
        <v>https://www.commcarehq.org/a/demo-18/api/form/attachment/0443b8f0-7bd8-4305-b71c-c000432e3c3c/1574932244525.jpg</v>
      </c>
      <c r="I38" t="str">
        <f>HYPERLINK("https://www.commcarehq.org/a/demo-18/api/form/attachment/0443b8f0-7bd8-4305-b71c-c000432e3c3c/1574932289826.jpg")</f>
        <v>https://www.commcarehq.org/a/demo-18/api/form/attachment/0443b8f0-7bd8-4305-b71c-c000432e3c3c/1574932289826.jpg</v>
      </c>
      <c r="J38" t="str">
        <f>HYPERLINK("https://www.commcarehq.org/a/demo-18/api/form/attachment/0443b8f0-7bd8-4305-b71c-c000432e3c3c/1574932299998.jpg")</f>
        <v>https://www.commcarehq.org/a/demo-18/api/form/attachment/0443b8f0-7bd8-4305-b71c-c000432e3c3c/1574932299998.jpg</v>
      </c>
      <c r="K38" t="str">
        <f>HYPERLINK("https://www.commcarehq.org/a/demo-18/api/form/attachment/0443b8f0-7bd8-4305-b71c-c000432e3c3c/1574932342864.jpg")</f>
        <v>https://www.commcarehq.org/a/demo-18/api/form/attachment/0443b8f0-7bd8-4305-b71c-c000432e3c3c/1574932342864.jpg</v>
      </c>
      <c r="L38" t="str">
        <f>HYPERLINK("https://www.commcarehq.org/a/demo-18/api/form/attachment/0443b8f0-7bd8-4305-b71c-c000432e3c3c/1574932350530.jpg")</f>
        <v>https://www.commcarehq.org/a/demo-18/api/form/attachment/0443b8f0-7bd8-4305-b71c-c000432e3c3c/1574932350530.jpg</v>
      </c>
      <c r="M38" s="2">
        <v>43797.383703703701</v>
      </c>
      <c r="N38" s="2">
        <v>43797.382002314815</v>
      </c>
      <c r="O38" t="s">
        <v>32</v>
      </c>
      <c r="P38" s="2">
        <v>43797.383900462963</v>
      </c>
      <c r="Q38" t="s">
        <v>164</v>
      </c>
      <c r="R38" t="s">
        <v>165</v>
      </c>
    </row>
    <row r="39" spans="1:18" x14ac:dyDescent="0.45">
      <c r="A39" t="s">
        <v>172</v>
      </c>
      <c r="B39" t="s">
        <v>20</v>
      </c>
      <c r="C39" s="1">
        <v>43804</v>
      </c>
      <c r="D39" s="1">
        <v>43842</v>
      </c>
      <c r="E39" t="s">
        <v>21</v>
      </c>
      <c r="F39">
        <v>3.3</v>
      </c>
      <c r="G39" t="str">
        <f>HYPERLINK("https://www.commcarehq.org/a/demo-18/api/form/attachment/6b673da7-4c8c-4a68-8248-4387fe8b7792/1575531753936.jpg")</f>
        <v>https://www.commcarehq.org/a/demo-18/api/form/attachment/6b673da7-4c8c-4a68-8248-4387fe8b7792/1575531753936.jpg</v>
      </c>
      <c r="H39" t="str">
        <f>HYPERLINK("https://www.commcarehq.org/a/demo-18/api/form/attachment/6b673da7-4c8c-4a68-8248-4387fe8b7792/1575531764595.jpg")</f>
        <v>https://www.commcarehq.org/a/demo-18/api/form/attachment/6b673da7-4c8c-4a68-8248-4387fe8b7792/1575531764595.jpg</v>
      </c>
      <c r="I39" t="str">
        <f>HYPERLINK("https://www.commcarehq.org/a/demo-18/api/form/attachment/6b673da7-4c8c-4a68-8248-4387fe8b7792/1575531836482.jpg")</f>
        <v>https://www.commcarehq.org/a/demo-18/api/form/attachment/6b673da7-4c8c-4a68-8248-4387fe8b7792/1575531836482.jpg</v>
      </c>
      <c r="J39" t="str">
        <f>HYPERLINK("https://www.commcarehq.org/a/demo-18/api/form/attachment/6b673da7-4c8c-4a68-8248-4387fe8b7792/1575531845489.jpg")</f>
        <v>https://www.commcarehq.org/a/demo-18/api/form/attachment/6b673da7-4c8c-4a68-8248-4387fe8b7792/1575531845489.jpg</v>
      </c>
      <c r="K39" t="str">
        <f>HYPERLINK("https://www.commcarehq.org/a/demo-18/api/form/attachment/6b673da7-4c8c-4a68-8248-4387fe8b7792/1575531875636.jpg")</f>
        <v>https://www.commcarehq.org/a/demo-18/api/form/attachment/6b673da7-4c8c-4a68-8248-4387fe8b7792/1575531875636.jpg</v>
      </c>
      <c r="L39" t="str">
        <f>HYPERLINK("https://www.commcarehq.org/a/demo-18/api/form/attachment/6b673da7-4c8c-4a68-8248-4387fe8b7792/1575531888933.jpg")</f>
        <v>https://www.commcarehq.org/a/demo-18/api/form/attachment/6b673da7-4c8c-4a68-8248-4387fe8b7792/1575531888933.jpg</v>
      </c>
      <c r="M39" s="2">
        <v>43804.322800925926</v>
      </c>
      <c r="N39" s="2">
        <v>43804.320798611108</v>
      </c>
      <c r="O39" t="s">
        <v>32</v>
      </c>
      <c r="P39" s="2">
        <v>43804.407650462963</v>
      </c>
      <c r="Q39" t="s">
        <v>173</v>
      </c>
      <c r="R39" t="s">
        <v>174</v>
      </c>
    </row>
    <row r="40" spans="1:18" x14ac:dyDescent="0.45">
      <c r="A40" t="s">
        <v>152</v>
      </c>
      <c r="B40" t="s">
        <v>20</v>
      </c>
      <c r="C40" s="1">
        <v>43805</v>
      </c>
      <c r="D40" s="1">
        <v>43843</v>
      </c>
      <c r="E40" t="s">
        <v>21</v>
      </c>
      <c r="F40">
        <v>3.1</v>
      </c>
      <c r="G40" t="str">
        <f>HYPERLINK("https://www.commcarehq.org/a/demo-18/api/form/attachment/b6bba848-e4ef-49e7-9ba7-3a6c66c4fd9c/1575616905540.jpg")</f>
        <v>https://www.commcarehq.org/a/demo-18/api/form/attachment/b6bba848-e4ef-49e7-9ba7-3a6c66c4fd9c/1575616905540.jpg</v>
      </c>
      <c r="H40" t="str">
        <f>HYPERLINK("https://www.commcarehq.org/a/demo-18/api/form/attachment/b6bba848-e4ef-49e7-9ba7-3a6c66c4fd9c/1575616920782.jpg")</f>
        <v>https://www.commcarehq.org/a/demo-18/api/form/attachment/b6bba848-e4ef-49e7-9ba7-3a6c66c4fd9c/1575616920782.jpg</v>
      </c>
      <c r="I40" t="str">
        <f>HYPERLINK("https://www.commcarehq.org/a/demo-18/api/form/attachment/b6bba848-e4ef-49e7-9ba7-3a6c66c4fd9c/1575617007692.jpg")</f>
        <v>https://www.commcarehq.org/a/demo-18/api/form/attachment/b6bba848-e4ef-49e7-9ba7-3a6c66c4fd9c/1575617007692.jpg</v>
      </c>
      <c r="J40" t="str">
        <f>HYPERLINK("https://www.commcarehq.org/a/demo-18/api/form/attachment/b6bba848-e4ef-49e7-9ba7-3a6c66c4fd9c/1575617019687.jpg")</f>
        <v>https://www.commcarehq.org/a/demo-18/api/form/attachment/b6bba848-e4ef-49e7-9ba7-3a6c66c4fd9c/1575617019687.jpg</v>
      </c>
      <c r="K40" t="str">
        <f>HYPERLINK("https://www.commcarehq.org/a/demo-18/api/form/attachment/b6bba848-e4ef-49e7-9ba7-3a6c66c4fd9c/1575617035743.jpg")</f>
        <v>https://www.commcarehq.org/a/demo-18/api/form/attachment/b6bba848-e4ef-49e7-9ba7-3a6c66c4fd9c/1575617035743.jpg</v>
      </c>
      <c r="L40" t="str">
        <f>HYPERLINK("https://www.commcarehq.org/a/demo-18/api/form/attachment/b6bba848-e4ef-49e7-9ba7-3a6c66c4fd9c/1575617049697.jpg")</f>
        <v>https://www.commcarehq.org/a/demo-18/api/form/attachment/b6bba848-e4ef-49e7-9ba7-3a6c66c4fd9c/1575617049697.jpg</v>
      </c>
      <c r="M40" s="2">
        <v>43805.30846064815</v>
      </c>
      <c r="N40" s="2">
        <v>43805.306111111109</v>
      </c>
      <c r="O40" t="s">
        <v>32</v>
      </c>
      <c r="P40" s="2">
        <v>43805.308738425927</v>
      </c>
      <c r="Q40" t="s">
        <v>153</v>
      </c>
      <c r="R40" t="s">
        <v>154</v>
      </c>
    </row>
    <row r="41" spans="1:18" x14ac:dyDescent="0.45">
      <c r="A41" t="s">
        <v>146</v>
      </c>
      <c r="B41" t="s">
        <v>20</v>
      </c>
      <c r="C41" s="1">
        <v>43794</v>
      </c>
      <c r="D41" s="1">
        <v>43832</v>
      </c>
      <c r="E41" t="s">
        <v>21</v>
      </c>
      <c r="F41">
        <v>3</v>
      </c>
      <c r="G41" t="str">
        <f>HYPERLINK("https://www.commcarehq.org/a/demo-18/api/form/attachment/9d0b5e82-7fa1-43a9-ae64-ee092a0f5c2c/1574665871400.jpg")</f>
        <v>https://www.commcarehq.org/a/demo-18/api/form/attachment/9d0b5e82-7fa1-43a9-ae64-ee092a0f5c2c/1574665871400.jpg</v>
      </c>
      <c r="H41" t="str">
        <f>HYPERLINK("https://www.commcarehq.org/a/demo-18/api/form/attachment/9d0b5e82-7fa1-43a9-ae64-ee092a0f5c2c/1574665884634.jpg")</f>
        <v>https://www.commcarehq.org/a/demo-18/api/form/attachment/9d0b5e82-7fa1-43a9-ae64-ee092a0f5c2c/1574665884634.jpg</v>
      </c>
      <c r="I41" t="str">
        <f>HYPERLINK("https://www.commcarehq.org/a/demo-18/api/form/attachment/9d0b5e82-7fa1-43a9-ae64-ee092a0f5c2c/1574665938021.jpg")</f>
        <v>https://www.commcarehq.org/a/demo-18/api/form/attachment/9d0b5e82-7fa1-43a9-ae64-ee092a0f5c2c/1574665938021.jpg</v>
      </c>
      <c r="J41" t="str">
        <f>HYPERLINK("https://www.commcarehq.org/a/demo-18/api/form/attachment/9d0b5e82-7fa1-43a9-ae64-ee092a0f5c2c/1574665949391.jpg")</f>
        <v>https://www.commcarehq.org/a/demo-18/api/form/attachment/9d0b5e82-7fa1-43a9-ae64-ee092a0f5c2c/1574665949391.jpg</v>
      </c>
      <c r="K41" t="str">
        <f>HYPERLINK("https://www.commcarehq.org/a/demo-18/api/form/attachment/9d0b5e82-7fa1-43a9-ae64-ee092a0f5c2c/1574665968366.jpg")</f>
        <v>https://www.commcarehq.org/a/demo-18/api/form/attachment/9d0b5e82-7fa1-43a9-ae64-ee092a0f5c2c/1574665968366.jpg</v>
      </c>
      <c r="L41" t="str">
        <f>HYPERLINK("https://www.commcarehq.org/a/demo-18/api/form/attachment/9d0b5e82-7fa1-43a9-ae64-ee092a0f5c2c/1574665981169.jpg")</f>
        <v>https://www.commcarehq.org/a/demo-18/api/form/attachment/9d0b5e82-7fa1-43a9-ae64-ee092a0f5c2c/1574665981169.jpg</v>
      </c>
      <c r="M41" s="2">
        <v>43794.300729166665</v>
      </c>
      <c r="N41" s="2">
        <v>43794.299143518518</v>
      </c>
      <c r="O41" t="s">
        <v>32</v>
      </c>
      <c r="P41" s="2">
        <v>43794.30091435185</v>
      </c>
      <c r="Q41" t="s">
        <v>147</v>
      </c>
      <c r="R41" t="s">
        <v>148</v>
      </c>
    </row>
    <row r="42" spans="1:18" x14ac:dyDescent="0.45">
      <c r="A42" t="s">
        <v>149</v>
      </c>
      <c r="B42" t="s">
        <v>20</v>
      </c>
      <c r="C42" s="1">
        <v>43794</v>
      </c>
      <c r="D42" s="1">
        <v>43832</v>
      </c>
      <c r="E42" t="s">
        <v>21</v>
      </c>
      <c r="F42">
        <v>3.5</v>
      </c>
      <c r="G42" t="str">
        <f>HYPERLINK("https://www.commcarehq.org/a/demo-18/api/form/attachment/908cbd7b-d1c3-4b49-a2e4-45a13975ab9a/1574666911131.jpg")</f>
        <v>https://www.commcarehq.org/a/demo-18/api/form/attachment/908cbd7b-d1c3-4b49-a2e4-45a13975ab9a/1574666911131.jpg</v>
      </c>
      <c r="H42" t="str">
        <f>HYPERLINK("https://www.commcarehq.org/a/demo-18/api/form/attachment/908cbd7b-d1c3-4b49-a2e4-45a13975ab9a/1574666925460.jpg")</f>
        <v>https://www.commcarehq.org/a/demo-18/api/form/attachment/908cbd7b-d1c3-4b49-a2e4-45a13975ab9a/1574666925460.jpg</v>
      </c>
      <c r="I42" t="str">
        <f>HYPERLINK("https://www.commcarehq.org/a/demo-18/api/form/attachment/908cbd7b-d1c3-4b49-a2e4-45a13975ab9a/1574666962295.jpg")</f>
        <v>https://www.commcarehq.org/a/demo-18/api/form/attachment/908cbd7b-d1c3-4b49-a2e4-45a13975ab9a/1574666962295.jpg</v>
      </c>
      <c r="J42" t="str">
        <f>HYPERLINK("https://www.commcarehq.org/a/demo-18/api/form/attachment/908cbd7b-d1c3-4b49-a2e4-45a13975ab9a/1574666972407.jpg")</f>
        <v>https://www.commcarehq.org/a/demo-18/api/form/attachment/908cbd7b-d1c3-4b49-a2e4-45a13975ab9a/1574666972407.jpg</v>
      </c>
      <c r="K42" t="str">
        <f>HYPERLINK("https://www.commcarehq.org/a/demo-18/api/form/attachment/908cbd7b-d1c3-4b49-a2e4-45a13975ab9a/1574666995120.jpg")</f>
        <v>https://www.commcarehq.org/a/demo-18/api/form/attachment/908cbd7b-d1c3-4b49-a2e4-45a13975ab9a/1574666995120.jpg</v>
      </c>
      <c r="L42" t="str">
        <f>HYPERLINK("https://www.commcarehq.org/a/demo-18/api/form/attachment/908cbd7b-d1c3-4b49-a2e4-45a13975ab9a/1574667005459.jpg")</f>
        <v>https://www.commcarehq.org/a/demo-18/api/form/attachment/908cbd7b-d1c3-4b49-a2e4-45a13975ab9a/1574667005459.jpg</v>
      </c>
      <c r="M42" s="2">
        <v>43794.312592592592</v>
      </c>
      <c r="N42" s="2">
        <v>43794.311111111114</v>
      </c>
      <c r="O42" t="s">
        <v>32</v>
      </c>
      <c r="P42" s="2">
        <v>43794.312754629631</v>
      </c>
      <c r="Q42" t="s">
        <v>150</v>
      </c>
      <c r="R42" t="s">
        <v>151</v>
      </c>
    </row>
    <row r="43" spans="1:18" x14ac:dyDescent="0.45">
      <c r="A43" t="s">
        <v>161</v>
      </c>
      <c r="B43" t="s">
        <v>20</v>
      </c>
      <c r="C43" s="1">
        <v>43797</v>
      </c>
      <c r="D43" s="1">
        <v>43835</v>
      </c>
      <c r="E43" t="s">
        <v>21</v>
      </c>
      <c r="F43">
        <v>3.5</v>
      </c>
      <c r="G43" t="str">
        <f>HYPERLINK("https://www.commcarehq.org/a/demo-18/api/form/attachment/e0b524e8-16ac-4fa7-aa0f-f33f5b5f9bd3/1574931781788.jpg")</f>
        <v>https://www.commcarehq.org/a/demo-18/api/form/attachment/e0b524e8-16ac-4fa7-aa0f-f33f5b5f9bd3/1574931781788.jpg</v>
      </c>
      <c r="H43" t="str">
        <f>HYPERLINK("https://www.commcarehq.org/a/demo-18/api/form/attachment/e0b524e8-16ac-4fa7-aa0f-f33f5b5f9bd3/1574931795438.jpg")</f>
        <v>https://www.commcarehq.org/a/demo-18/api/form/attachment/e0b524e8-16ac-4fa7-aa0f-f33f5b5f9bd3/1574931795438.jpg</v>
      </c>
      <c r="I43" t="str">
        <f>HYPERLINK("https://www.commcarehq.org/a/demo-18/api/form/attachment/e0b524e8-16ac-4fa7-aa0f-f33f5b5f9bd3/1574931858129.jpg")</f>
        <v>https://www.commcarehq.org/a/demo-18/api/form/attachment/e0b524e8-16ac-4fa7-aa0f-f33f5b5f9bd3/1574931858129.jpg</v>
      </c>
      <c r="J43" t="str">
        <f>HYPERLINK("https://www.commcarehq.org/a/demo-18/api/form/attachment/e0b524e8-16ac-4fa7-aa0f-f33f5b5f9bd3/1574931867287.jpg")</f>
        <v>https://www.commcarehq.org/a/demo-18/api/form/attachment/e0b524e8-16ac-4fa7-aa0f-f33f5b5f9bd3/1574931867287.jpg</v>
      </c>
      <c r="K43" t="str">
        <f>HYPERLINK("https://www.commcarehq.org/a/demo-18/api/form/attachment/e0b524e8-16ac-4fa7-aa0f-f33f5b5f9bd3/1574931888044.jpg")</f>
        <v>https://www.commcarehq.org/a/demo-18/api/form/attachment/e0b524e8-16ac-4fa7-aa0f-f33f5b5f9bd3/1574931888044.jpg</v>
      </c>
      <c r="L43" t="str">
        <f>HYPERLINK("https://www.commcarehq.org/a/demo-18/api/form/attachment/e0b524e8-16ac-4fa7-aa0f-f33f5b5f9bd3/1574931896842.jpg")</f>
        <v>https://www.commcarehq.org/a/demo-18/api/form/attachment/e0b524e8-16ac-4fa7-aa0f-f33f5b5f9bd3/1574931896842.jpg</v>
      </c>
      <c r="M43" s="2">
        <v>43797.378449074073</v>
      </c>
      <c r="N43" s="2">
        <v>43797.376817129632</v>
      </c>
      <c r="O43" t="s">
        <v>32</v>
      </c>
      <c r="P43" s="2">
        <v>43797.378668981481</v>
      </c>
      <c r="Q43" t="s">
        <v>162</v>
      </c>
      <c r="R43" t="s">
        <v>163</v>
      </c>
    </row>
    <row r="44" spans="1:18" x14ac:dyDescent="0.45">
      <c r="A44" t="s">
        <v>155</v>
      </c>
      <c r="B44" t="s">
        <v>20</v>
      </c>
      <c r="C44" s="1">
        <v>43801</v>
      </c>
      <c r="D44" s="1">
        <v>43839</v>
      </c>
      <c r="E44" t="s">
        <v>21</v>
      </c>
      <c r="F44">
        <v>2.9</v>
      </c>
      <c r="G44" t="str">
        <f>HYPERLINK("https://www.commcarehq.org/a/demo-18/api/form/attachment/e9c79f76-5854-4a00-8fe3-e70838850341/1575270351607.jpg")</f>
        <v>https://www.commcarehq.org/a/demo-18/api/form/attachment/e9c79f76-5854-4a00-8fe3-e70838850341/1575270351607.jpg</v>
      </c>
      <c r="H44" t="str">
        <f>HYPERLINK("https://www.commcarehq.org/a/demo-18/api/form/attachment/e9c79f76-5854-4a00-8fe3-e70838850341/1575270366970.jpg")</f>
        <v>https://www.commcarehq.org/a/demo-18/api/form/attachment/e9c79f76-5854-4a00-8fe3-e70838850341/1575270366970.jpg</v>
      </c>
      <c r="I44" t="str">
        <f>HYPERLINK("https://www.commcarehq.org/a/demo-18/api/form/attachment/e9c79f76-5854-4a00-8fe3-e70838850341/1575270413119.jpg")</f>
        <v>https://www.commcarehq.org/a/demo-18/api/form/attachment/e9c79f76-5854-4a00-8fe3-e70838850341/1575270413119.jpg</v>
      </c>
      <c r="J44" t="str">
        <f>HYPERLINK("https://www.commcarehq.org/a/demo-18/api/form/attachment/e9c79f76-5854-4a00-8fe3-e70838850341/1575270422724.jpg")</f>
        <v>https://www.commcarehq.org/a/demo-18/api/form/attachment/e9c79f76-5854-4a00-8fe3-e70838850341/1575270422724.jpg</v>
      </c>
      <c r="K44" t="str">
        <f>HYPERLINK("https://www.commcarehq.org/a/demo-18/api/form/attachment/e9c79f76-5854-4a00-8fe3-e70838850341/1575270441093.jpg")</f>
        <v>https://www.commcarehq.org/a/demo-18/api/form/attachment/e9c79f76-5854-4a00-8fe3-e70838850341/1575270441093.jpg</v>
      </c>
      <c r="L44" t="str">
        <f>HYPERLINK("https://www.commcarehq.org/a/demo-18/api/form/attachment/e9c79f76-5854-4a00-8fe3-e70838850341/1575270454585.jpg")</f>
        <v>https://www.commcarehq.org/a/demo-18/api/form/attachment/e9c79f76-5854-4a00-8fe3-e70838850341/1575270454585.jpg</v>
      </c>
      <c r="M44" s="2">
        <v>43801.296944444446</v>
      </c>
      <c r="N44" s="2">
        <v>43801.295370370368</v>
      </c>
      <c r="O44" t="s">
        <v>32</v>
      </c>
      <c r="P44" s="2">
        <v>43801.297152777777</v>
      </c>
      <c r="Q44" t="s">
        <v>156</v>
      </c>
      <c r="R44" t="s">
        <v>157</v>
      </c>
    </row>
    <row r="45" spans="1:18" x14ac:dyDescent="0.45">
      <c r="A45" t="s">
        <v>158</v>
      </c>
      <c r="B45" t="s">
        <v>20</v>
      </c>
      <c r="C45" s="1">
        <v>43801</v>
      </c>
      <c r="D45" s="1">
        <v>43839</v>
      </c>
      <c r="E45" t="s">
        <v>21</v>
      </c>
      <c r="F45">
        <v>2.7</v>
      </c>
      <c r="G45" t="str">
        <f>HYPERLINK("https://www.commcarehq.org/a/demo-18/api/form/attachment/0b2d9cbb-e315-4eb2-b7ec-4217418a78b1/1575271387285.jpg")</f>
        <v>https://www.commcarehq.org/a/demo-18/api/form/attachment/0b2d9cbb-e315-4eb2-b7ec-4217418a78b1/1575271387285.jpg</v>
      </c>
      <c r="H45" t="str">
        <f>HYPERLINK("https://www.commcarehq.org/a/demo-18/api/form/attachment/0b2d9cbb-e315-4eb2-b7ec-4217418a78b1/1575271412328.jpg")</f>
        <v>https://www.commcarehq.org/a/demo-18/api/form/attachment/0b2d9cbb-e315-4eb2-b7ec-4217418a78b1/1575271412328.jpg</v>
      </c>
      <c r="I45" t="str">
        <f>HYPERLINK("https://www.commcarehq.org/a/demo-18/api/form/attachment/0b2d9cbb-e315-4eb2-b7ec-4217418a78b1/1575271516765.jpg")</f>
        <v>https://www.commcarehq.org/a/demo-18/api/form/attachment/0b2d9cbb-e315-4eb2-b7ec-4217418a78b1/1575271516765.jpg</v>
      </c>
      <c r="J45" t="str">
        <f>HYPERLINK("https://www.commcarehq.org/a/demo-18/api/form/attachment/0b2d9cbb-e315-4eb2-b7ec-4217418a78b1/1575271527308.jpg")</f>
        <v>https://www.commcarehq.org/a/demo-18/api/form/attachment/0b2d9cbb-e315-4eb2-b7ec-4217418a78b1/1575271527308.jpg</v>
      </c>
      <c r="K45" t="str">
        <f>HYPERLINK("https://www.commcarehq.org/a/demo-18/api/form/attachment/0b2d9cbb-e315-4eb2-b7ec-4217418a78b1/1575271550627.jpg")</f>
        <v>https://www.commcarehq.org/a/demo-18/api/form/attachment/0b2d9cbb-e315-4eb2-b7ec-4217418a78b1/1575271550627.jpg</v>
      </c>
      <c r="L45" t="str">
        <f>HYPERLINK("https://www.commcarehq.org/a/demo-18/api/form/attachment/0b2d9cbb-e315-4eb2-b7ec-4217418a78b1/1575271563490.jpg")</f>
        <v>https://www.commcarehq.org/a/demo-18/api/form/attachment/0b2d9cbb-e315-4eb2-b7ec-4217418a78b1/1575271563490.jpg</v>
      </c>
      <c r="M45" s="2">
        <v>43801.30978009259</v>
      </c>
      <c r="N45" s="2">
        <v>43801.306064814817</v>
      </c>
      <c r="O45" t="s">
        <v>32</v>
      </c>
      <c r="P45" s="2">
        <v>43801.310081018521</v>
      </c>
      <c r="Q45" t="s">
        <v>159</v>
      </c>
      <c r="R45" t="s">
        <v>160</v>
      </c>
    </row>
    <row r="46" spans="1:18" x14ac:dyDescent="0.45">
      <c r="A46" t="s">
        <v>166</v>
      </c>
      <c r="B46" t="s">
        <v>20</v>
      </c>
      <c r="C46" s="1">
        <v>43811</v>
      </c>
      <c r="D46" s="1">
        <v>43849</v>
      </c>
      <c r="E46" t="s">
        <v>21</v>
      </c>
      <c r="F46">
        <v>3.1</v>
      </c>
      <c r="G46" t="str">
        <f>HYPERLINK("https://www.commcarehq.org/a/demo-18/api/form/attachment/d16dc1da-0c54-4f27-9642-10edf5f575cd/1576139101075.jpg")</f>
        <v>https://www.commcarehq.org/a/demo-18/api/form/attachment/d16dc1da-0c54-4f27-9642-10edf5f575cd/1576139101075.jpg</v>
      </c>
      <c r="H46" t="str">
        <f>HYPERLINK("https://www.commcarehq.org/a/demo-18/api/form/attachment/d16dc1da-0c54-4f27-9642-10edf5f575cd/1576139115950.jpg")</f>
        <v>https://www.commcarehq.org/a/demo-18/api/form/attachment/d16dc1da-0c54-4f27-9642-10edf5f575cd/1576139115950.jpg</v>
      </c>
      <c r="I46" t="str">
        <f>HYPERLINK("https://www.commcarehq.org/a/demo-18/api/form/attachment/d16dc1da-0c54-4f27-9642-10edf5f575cd/1576139155443.jpg")</f>
        <v>https://www.commcarehq.org/a/demo-18/api/form/attachment/d16dc1da-0c54-4f27-9642-10edf5f575cd/1576139155443.jpg</v>
      </c>
      <c r="J46" t="str">
        <f>HYPERLINK("https://www.commcarehq.org/a/demo-18/api/form/attachment/d16dc1da-0c54-4f27-9642-10edf5f575cd/1576139164522.jpg")</f>
        <v>https://www.commcarehq.org/a/demo-18/api/form/attachment/d16dc1da-0c54-4f27-9642-10edf5f575cd/1576139164522.jpg</v>
      </c>
      <c r="K46" t="str">
        <f>HYPERLINK("https://www.commcarehq.org/a/demo-18/api/form/attachment/d16dc1da-0c54-4f27-9642-10edf5f575cd/1576139191105.jpg")</f>
        <v>https://www.commcarehq.org/a/demo-18/api/form/attachment/d16dc1da-0c54-4f27-9642-10edf5f575cd/1576139191105.jpg</v>
      </c>
      <c r="L46" t="str">
        <f>HYPERLINK("https://www.commcarehq.org/a/demo-18/api/form/attachment/d16dc1da-0c54-4f27-9642-10edf5f575cd/1576139200217.jpg")</f>
        <v>https://www.commcarehq.org/a/demo-18/api/form/attachment/d16dc1da-0c54-4f27-9642-10edf5f575cd/1576139200217.jpg</v>
      </c>
      <c r="M46" s="2">
        <v>43811.351875</v>
      </c>
      <c r="N46" s="2">
        <v>43811.350393518522</v>
      </c>
      <c r="O46" t="s">
        <v>32</v>
      </c>
      <c r="P46" s="2">
        <v>43811.35229166667</v>
      </c>
      <c r="Q46" t="s">
        <v>167</v>
      </c>
      <c r="R46" t="s">
        <v>168</v>
      </c>
    </row>
    <row r="47" spans="1:18" x14ac:dyDescent="0.45">
      <c r="A47" t="s">
        <v>169</v>
      </c>
      <c r="B47" t="s">
        <v>20</v>
      </c>
      <c r="C47" s="1">
        <v>43812</v>
      </c>
      <c r="D47" s="1">
        <v>43850</v>
      </c>
      <c r="E47" t="s">
        <v>21</v>
      </c>
      <c r="F47">
        <v>3.8</v>
      </c>
      <c r="G47" t="str">
        <f>HYPERLINK("https://www.commcarehq.org/a/demo-18/api/form/attachment/09cd8574-3931-425a-a61c-e046ec9b09c3/1576226994309.jpg")</f>
        <v>https://www.commcarehq.org/a/demo-18/api/form/attachment/09cd8574-3931-425a-a61c-e046ec9b09c3/1576226994309.jpg</v>
      </c>
      <c r="H47" t="str">
        <f>HYPERLINK("https://www.commcarehq.org/a/demo-18/api/form/attachment/09cd8574-3931-425a-a61c-e046ec9b09c3/1576227012252.jpg")</f>
        <v>https://www.commcarehq.org/a/demo-18/api/form/attachment/09cd8574-3931-425a-a61c-e046ec9b09c3/1576227012252.jpg</v>
      </c>
      <c r="I47" t="str">
        <f>HYPERLINK("https://www.commcarehq.org/a/demo-18/api/form/attachment/09cd8574-3931-425a-a61c-e046ec9b09c3/1576227046724.jpg")</f>
        <v>https://www.commcarehq.org/a/demo-18/api/form/attachment/09cd8574-3931-425a-a61c-e046ec9b09c3/1576227046724.jpg</v>
      </c>
      <c r="J47" t="str">
        <f>HYPERLINK("https://www.commcarehq.org/a/demo-18/api/form/attachment/09cd8574-3931-425a-a61c-e046ec9b09c3/1576227055495.jpg")</f>
        <v>https://www.commcarehq.org/a/demo-18/api/form/attachment/09cd8574-3931-425a-a61c-e046ec9b09c3/1576227055495.jpg</v>
      </c>
      <c r="K47" t="str">
        <f>HYPERLINK("https://www.commcarehq.org/a/demo-18/api/form/attachment/09cd8574-3931-425a-a61c-e046ec9b09c3/1576227071149.jpg")</f>
        <v>https://www.commcarehq.org/a/demo-18/api/form/attachment/09cd8574-3931-425a-a61c-e046ec9b09c3/1576227071149.jpg</v>
      </c>
      <c r="L47" t="str">
        <f>HYPERLINK("https://www.commcarehq.org/a/demo-18/api/form/attachment/09cd8574-3931-425a-a61c-e046ec9b09c3/1576227080011.jpg")</f>
        <v>https://www.commcarehq.org/a/demo-18/api/form/attachment/09cd8574-3931-425a-a61c-e046ec9b09c3/1576227080011.jpg</v>
      </c>
      <c r="M47" s="2">
        <v>43812.368993055556</v>
      </c>
      <c r="N47" s="2">
        <v>43812.367627314816</v>
      </c>
      <c r="O47" t="s">
        <v>32</v>
      </c>
      <c r="P47" s="2">
        <v>43812.369212962964</v>
      </c>
      <c r="Q47" t="s">
        <v>170</v>
      </c>
      <c r="R47" t="s">
        <v>171</v>
      </c>
    </row>
    <row r="48" spans="1:18" x14ac:dyDescent="0.45">
      <c r="A48" t="s">
        <v>143</v>
      </c>
      <c r="B48" t="s">
        <v>20</v>
      </c>
      <c r="C48" s="1">
        <v>43789</v>
      </c>
      <c r="D48" s="1">
        <v>43827</v>
      </c>
      <c r="E48" t="s">
        <v>21</v>
      </c>
      <c r="F48">
        <v>3</v>
      </c>
      <c r="G48" t="str">
        <f>HYPERLINK("https://www.commcarehq.org/a/demo-18/api/form/attachment/e5f178d7-bc2b-496d-81eb-130812f2c5e8/1574237046535.jpg")</f>
        <v>https://www.commcarehq.org/a/demo-18/api/form/attachment/e5f178d7-bc2b-496d-81eb-130812f2c5e8/1574237046535.jpg</v>
      </c>
      <c r="H48" t="str">
        <f>HYPERLINK("https://www.commcarehq.org/a/demo-18/api/form/attachment/e5f178d7-bc2b-496d-81eb-130812f2c5e8/1574237063609.jpg")</f>
        <v>https://www.commcarehq.org/a/demo-18/api/form/attachment/e5f178d7-bc2b-496d-81eb-130812f2c5e8/1574237063609.jpg</v>
      </c>
      <c r="I48" t="str">
        <f>HYPERLINK("https://www.commcarehq.org/a/demo-18/api/form/attachment/e5f178d7-bc2b-496d-81eb-130812f2c5e8/1574237245809.jpg")</f>
        <v>https://www.commcarehq.org/a/demo-18/api/form/attachment/e5f178d7-bc2b-496d-81eb-130812f2c5e8/1574237245809.jpg</v>
      </c>
      <c r="J48" t="str">
        <f>HYPERLINK("https://www.commcarehq.org/a/demo-18/api/form/attachment/e5f178d7-bc2b-496d-81eb-130812f2c5e8/1574237255027.jpg")</f>
        <v>https://www.commcarehq.org/a/demo-18/api/form/attachment/e5f178d7-bc2b-496d-81eb-130812f2c5e8/1574237255027.jpg</v>
      </c>
      <c r="K48" t="str">
        <f>HYPERLINK("https://www.commcarehq.org/a/demo-18/api/form/attachment/e5f178d7-bc2b-496d-81eb-130812f2c5e8/1574237295017.jpg")</f>
        <v>https://www.commcarehq.org/a/demo-18/api/form/attachment/e5f178d7-bc2b-496d-81eb-130812f2c5e8/1574237295017.jpg</v>
      </c>
      <c r="L48" t="str">
        <f>HYPERLINK("https://www.commcarehq.org/a/demo-18/api/form/attachment/e5f178d7-bc2b-496d-81eb-130812f2c5e8/1574237314133.jpg")</f>
        <v>https://www.commcarehq.org/a/demo-18/api/form/attachment/e5f178d7-bc2b-496d-81eb-130812f2c5e8/1574237314133.jpg</v>
      </c>
      <c r="M48" s="2">
        <v>43789.339305555557</v>
      </c>
      <c r="N48" s="2">
        <v>43789.335740740738</v>
      </c>
      <c r="O48" t="s">
        <v>32</v>
      </c>
      <c r="P48" s="2">
        <v>43789.339490740742</v>
      </c>
      <c r="Q48" t="s">
        <v>144</v>
      </c>
      <c r="R48" t="s">
        <v>145</v>
      </c>
    </row>
    <row r="49" spans="1:18" x14ac:dyDescent="0.45">
      <c r="A49" t="s">
        <v>137</v>
      </c>
      <c r="B49" t="s">
        <v>20</v>
      </c>
      <c r="C49" s="1">
        <v>43789</v>
      </c>
      <c r="D49" s="1">
        <v>43827</v>
      </c>
      <c r="E49" t="s">
        <v>21</v>
      </c>
      <c r="F49">
        <v>2.5</v>
      </c>
      <c r="G49" t="str">
        <f>HYPERLINK("https://www.commcarehq.org/a/demo-18/api/form/attachment/c4917aa6-ea0e-4286-8343-9c4e15633bcc/1574239581672.jpg")</f>
        <v>https://www.commcarehq.org/a/demo-18/api/form/attachment/c4917aa6-ea0e-4286-8343-9c4e15633bcc/1574239581672.jpg</v>
      </c>
      <c r="H49" t="str">
        <f>HYPERLINK("https://www.commcarehq.org/a/demo-18/api/form/attachment/c4917aa6-ea0e-4286-8343-9c4e15633bcc/1574239597935.jpg")</f>
        <v>https://www.commcarehq.org/a/demo-18/api/form/attachment/c4917aa6-ea0e-4286-8343-9c4e15633bcc/1574239597935.jpg</v>
      </c>
      <c r="I49" t="str">
        <f>HYPERLINK("https://www.commcarehq.org/a/demo-18/api/form/attachment/c4917aa6-ea0e-4286-8343-9c4e15633bcc/1574239649287.jpg")</f>
        <v>https://www.commcarehq.org/a/demo-18/api/form/attachment/c4917aa6-ea0e-4286-8343-9c4e15633bcc/1574239649287.jpg</v>
      </c>
      <c r="J49" t="str">
        <f>HYPERLINK("https://www.commcarehq.org/a/demo-18/api/form/attachment/c4917aa6-ea0e-4286-8343-9c4e15633bcc/1574239659524.jpg")</f>
        <v>https://www.commcarehq.org/a/demo-18/api/form/attachment/c4917aa6-ea0e-4286-8343-9c4e15633bcc/1574239659524.jpg</v>
      </c>
      <c r="K49" t="str">
        <f>HYPERLINK("https://www.commcarehq.org/a/demo-18/api/form/attachment/c4917aa6-ea0e-4286-8343-9c4e15633bcc/1574239675282.jpg")</f>
        <v>https://www.commcarehq.org/a/demo-18/api/form/attachment/c4917aa6-ea0e-4286-8343-9c4e15633bcc/1574239675282.jpg</v>
      </c>
      <c r="L49" t="str">
        <f>HYPERLINK("https://www.commcarehq.org/a/demo-18/api/form/attachment/c4917aa6-ea0e-4286-8343-9c4e15633bcc/1574239695845.jpg")</f>
        <v>https://www.commcarehq.org/a/demo-18/api/form/attachment/c4917aa6-ea0e-4286-8343-9c4e15633bcc/1574239695845.jpg</v>
      </c>
      <c r="M49" s="2">
        <v>43789.366863425923</v>
      </c>
      <c r="N49" s="2">
        <v>43789.365173611113</v>
      </c>
      <c r="O49" t="s">
        <v>32</v>
      </c>
      <c r="P49" s="2">
        <v>43789.367048611108</v>
      </c>
      <c r="Q49" t="s">
        <v>138</v>
      </c>
      <c r="R49" t="s">
        <v>139</v>
      </c>
    </row>
    <row r="50" spans="1:18" x14ac:dyDescent="0.45">
      <c r="A50" t="s">
        <v>140</v>
      </c>
      <c r="B50" t="s">
        <v>20</v>
      </c>
      <c r="C50" s="1">
        <v>43789</v>
      </c>
      <c r="D50" s="1">
        <v>43827</v>
      </c>
      <c r="E50" t="s">
        <v>21</v>
      </c>
      <c r="F50">
        <v>3</v>
      </c>
      <c r="G50" t="str">
        <f>HYPERLINK("https://www.commcarehq.org/a/demo-18/api/form/attachment/03cc66b2-7ecd-4042-86b2-5c139789f1fc/1574240552465.jpg")</f>
        <v>https://www.commcarehq.org/a/demo-18/api/form/attachment/03cc66b2-7ecd-4042-86b2-5c139789f1fc/1574240552465.jpg</v>
      </c>
      <c r="H50" t="str">
        <f>HYPERLINK("https://www.commcarehq.org/a/demo-18/api/form/attachment/03cc66b2-7ecd-4042-86b2-5c139789f1fc/1574240571024.jpg")</f>
        <v>https://www.commcarehq.org/a/demo-18/api/form/attachment/03cc66b2-7ecd-4042-86b2-5c139789f1fc/1574240571024.jpg</v>
      </c>
      <c r="I50" t="str">
        <f>HYPERLINK("https://www.commcarehq.org/a/demo-18/api/form/attachment/03cc66b2-7ecd-4042-86b2-5c139789f1fc/1574240630118.jpg")</f>
        <v>https://www.commcarehq.org/a/demo-18/api/form/attachment/03cc66b2-7ecd-4042-86b2-5c139789f1fc/1574240630118.jpg</v>
      </c>
      <c r="J50" t="str">
        <f>HYPERLINK("https://www.commcarehq.org/a/demo-18/api/form/attachment/03cc66b2-7ecd-4042-86b2-5c139789f1fc/1574240644830.jpg")</f>
        <v>https://www.commcarehq.org/a/demo-18/api/form/attachment/03cc66b2-7ecd-4042-86b2-5c139789f1fc/1574240644830.jpg</v>
      </c>
      <c r="K50" t="str">
        <f>HYPERLINK("https://www.commcarehq.org/a/demo-18/api/form/attachment/03cc66b2-7ecd-4042-86b2-5c139789f1fc/1574240703778.jpg")</f>
        <v>https://www.commcarehq.org/a/demo-18/api/form/attachment/03cc66b2-7ecd-4042-86b2-5c139789f1fc/1574240703778.jpg</v>
      </c>
      <c r="L50" t="str">
        <f>HYPERLINK("https://www.commcarehq.org/a/demo-18/api/form/attachment/03cc66b2-7ecd-4042-86b2-5c139789f1fc/1574240715098.jpg")</f>
        <v>https://www.commcarehq.org/a/demo-18/api/form/attachment/03cc66b2-7ecd-4042-86b2-5c139789f1fc/1574240715098.jpg</v>
      </c>
      <c r="M50" s="2">
        <v>43789.378668981481</v>
      </c>
      <c r="N50" s="2">
        <v>43789.376446759263</v>
      </c>
      <c r="O50" t="s">
        <v>32</v>
      </c>
      <c r="P50" s="2">
        <v>43789.378865740742</v>
      </c>
      <c r="Q50" t="s">
        <v>141</v>
      </c>
      <c r="R50" s="3" t="s">
        <v>142</v>
      </c>
    </row>
    <row r="51" spans="1:18" x14ac:dyDescent="0.45">
      <c r="A51" t="s">
        <v>125</v>
      </c>
      <c r="B51" t="s">
        <v>20</v>
      </c>
      <c r="C51" s="1">
        <v>43787</v>
      </c>
      <c r="D51" s="1">
        <v>43825</v>
      </c>
      <c r="E51" t="s">
        <v>21</v>
      </c>
      <c r="F51">
        <v>3.5</v>
      </c>
      <c r="G51" t="str">
        <f>HYPERLINK("https://www.commcarehq.org/a/demo-18/api/form/attachment/0394057b-79a3-46da-ac49-80b3ca1b1682/1574070955853.jpg")</f>
        <v>https://www.commcarehq.org/a/demo-18/api/form/attachment/0394057b-79a3-46da-ac49-80b3ca1b1682/1574070955853.jpg</v>
      </c>
      <c r="H51" t="str">
        <f>HYPERLINK("https://www.commcarehq.org/a/demo-18/api/form/attachment/0394057b-79a3-46da-ac49-80b3ca1b1682/1574070970903.jpg")</f>
        <v>https://www.commcarehq.org/a/demo-18/api/form/attachment/0394057b-79a3-46da-ac49-80b3ca1b1682/1574070970903.jpg</v>
      </c>
      <c r="I51" t="str">
        <f>HYPERLINK("https://www.commcarehq.org/a/demo-18/api/form/attachment/0394057b-79a3-46da-ac49-80b3ca1b1682/1574071020495.jpg")</f>
        <v>https://www.commcarehq.org/a/demo-18/api/form/attachment/0394057b-79a3-46da-ac49-80b3ca1b1682/1574071020495.jpg</v>
      </c>
      <c r="J51" t="str">
        <f>HYPERLINK("https://www.commcarehq.org/a/demo-18/api/form/attachment/0394057b-79a3-46da-ac49-80b3ca1b1682/1574071031755.jpg")</f>
        <v>https://www.commcarehq.org/a/demo-18/api/form/attachment/0394057b-79a3-46da-ac49-80b3ca1b1682/1574071031755.jpg</v>
      </c>
      <c r="K51" t="str">
        <f>HYPERLINK("https://www.commcarehq.org/a/demo-18/api/form/attachment/0394057b-79a3-46da-ac49-80b3ca1b1682/1574071050426.jpg")</f>
        <v>https://www.commcarehq.org/a/demo-18/api/form/attachment/0394057b-79a3-46da-ac49-80b3ca1b1682/1574071050426.jpg</v>
      </c>
      <c r="L51" t="str">
        <f>HYPERLINK("https://www.commcarehq.org/a/demo-18/api/form/attachment/0394057b-79a3-46da-ac49-80b3ca1b1682/1574071067862.jpg")</f>
        <v>https://www.commcarehq.org/a/demo-18/api/form/attachment/0394057b-79a3-46da-ac49-80b3ca1b1682/1574071067862.jpg</v>
      </c>
      <c r="M51" s="2">
        <v>43787.415150462963</v>
      </c>
      <c r="N51" s="2">
        <v>43787.413263888891</v>
      </c>
      <c r="O51" t="s">
        <v>32</v>
      </c>
      <c r="P51" s="2">
        <v>43787.432164351849</v>
      </c>
      <c r="Q51" t="s">
        <v>126</v>
      </c>
      <c r="R51" t="s">
        <v>127</v>
      </c>
    </row>
    <row r="52" spans="1:18" x14ac:dyDescent="0.45">
      <c r="A52" t="s">
        <v>122</v>
      </c>
      <c r="B52" t="s">
        <v>20</v>
      </c>
      <c r="C52" s="1">
        <v>43787</v>
      </c>
      <c r="D52" s="1">
        <v>43825</v>
      </c>
      <c r="E52" t="s">
        <v>21</v>
      </c>
      <c r="F52">
        <v>3.4</v>
      </c>
      <c r="G52" t="str">
        <f>HYPERLINK("https://www.commcarehq.org/a/demo-18/api/form/attachment/3642c162-8e61-4461-8d2c-e0ef8685106f/1574061896215.jpg")</f>
        <v>https://www.commcarehq.org/a/demo-18/api/form/attachment/3642c162-8e61-4461-8d2c-e0ef8685106f/1574061896215.jpg</v>
      </c>
      <c r="H52" t="str">
        <f>HYPERLINK("https://www.commcarehq.org/a/demo-18/api/form/attachment/3642c162-8e61-4461-8d2c-e0ef8685106f/1574061916392.jpg")</f>
        <v>https://www.commcarehq.org/a/demo-18/api/form/attachment/3642c162-8e61-4461-8d2c-e0ef8685106f/1574061916392.jpg</v>
      </c>
      <c r="I52" t="str">
        <f>HYPERLINK("https://www.commcarehq.org/a/demo-18/api/form/attachment/3642c162-8e61-4461-8d2c-e0ef8685106f/1574062041678.jpg")</f>
        <v>https://www.commcarehq.org/a/demo-18/api/form/attachment/3642c162-8e61-4461-8d2c-e0ef8685106f/1574062041678.jpg</v>
      </c>
      <c r="J52" t="str">
        <f>HYPERLINK("https://www.commcarehq.org/a/demo-18/api/form/attachment/3642c162-8e61-4461-8d2c-e0ef8685106f/1574062050592.jpg")</f>
        <v>https://www.commcarehq.org/a/demo-18/api/form/attachment/3642c162-8e61-4461-8d2c-e0ef8685106f/1574062050592.jpg</v>
      </c>
      <c r="K52" t="str">
        <f>HYPERLINK("https://www.commcarehq.org/a/demo-18/api/form/attachment/3642c162-8e61-4461-8d2c-e0ef8685106f/1574062095476.jpg")</f>
        <v>https://www.commcarehq.org/a/demo-18/api/form/attachment/3642c162-8e61-4461-8d2c-e0ef8685106f/1574062095476.jpg</v>
      </c>
      <c r="L52" t="str">
        <f>HYPERLINK("https://www.commcarehq.org/a/demo-18/api/form/attachment/3642c162-8e61-4461-8d2c-e0ef8685106f/1574062105970.jpg")</f>
        <v>https://www.commcarehq.org/a/demo-18/api/form/attachment/3642c162-8e61-4461-8d2c-e0ef8685106f/1574062105970.jpg</v>
      </c>
      <c r="M52" s="2">
        <v>43787.311435185184</v>
      </c>
      <c r="N52" s="2">
        <v>43787.308807870373</v>
      </c>
      <c r="O52" t="s">
        <v>32</v>
      </c>
      <c r="P52" s="2">
        <v>43787.311631944445</v>
      </c>
      <c r="Q52" t="s">
        <v>123</v>
      </c>
      <c r="R52" t="s">
        <v>124</v>
      </c>
    </row>
    <row r="53" spans="1:18" x14ac:dyDescent="0.45">
      <c r="A53" t="s">
        <v>256</v>
      </c>
      <c r="B53" t="s">
        <v>20</v>
      </c>
      <c r="C53" s="1">
        <v>43811</v>
      </c>
      <c r="D53" s="1">
        <v>43849</v>
      </c>
      <c r="E53" t="s">
        <v>21</v>
      </c>
      <c r="F53">
        <v>3.5</v>
      </c>
      <c r="G53" t="str">
        <f>HYPERLINK("https://www.commcarehq.org/a/demo-18/api/form/attachment/d1a98e93-4a75-43b6-871e-9818b749c72f/1576139615565.jpg")</f>
        <v>https://www.commcarehq.org/a/demo-18/api/form/attachment/d1a98e93-4a75-43b6-871e-9818b749c72f/1576139615565.jpg</v>
      </c>
      <c r="H53" t="str">
        <f>HYPERLINK("https://www.commcarehq.org/a/demo-18/api/form/attachment/d1a98e93-4a75-43b6-871e-9818b749c72f/1576139629953.jpg")</f>
        <v>https://www.commcarehq.org/a/demo-18/api/form/attachment/d1a98e93-4a75-43b6-871e-9818b749c72f/1576139629953.jpg</v>
      </c>
      <c r="I53" t="str">
        <f>HYPERLINK("https://www.commcarehq.org/a/demo-18/api/form/attachment/d1a98e93-4a75-43b6-871e-9818b749c72f/1576139749870.jpg")</f>
        <v>https://www.commcarehq.org/a/demo-18/api/form/attachment/d1a98e93-4a75-43b6-871e-9818b749c72f/1576139749870.jpg</v>
      </c>
      <c r="J53" t="str">
        <f>HYPERLINK("https://www.commcarehq.org/a/demo-18/api/form/attachment/d1a98e93-4a75-43b6-871e-9818b749c72f/1576139759910.jpg")</f>
        <v>https://www.commcarehq.org/a/demo-18/api/form/attachment/d1a98e93-4a75-43b6-871e-9818b749c72f/1576139759910.jpg</v>
      </c>
      <c r="K53" t="str">
        <f>HYPERLINK("https://www.commcarehq.org/a/demo-18/api/form/attachment/d1a98e93-4a75-43b6-871e-9818b749c72f/1576139794673.jpg")</f>
        <v>https://www.commcarehq.org/a/demo-18/api/form/attachment/d1a98e93-4a75-43b6-871e-9818b749c72f/1576139794673.jpg</v>
      </c>
      <c r="L53" t="str">
        <f>HYPERLINK("https://www.commcarehq.org/a/demo-18/api/form/attachment/d1a98e93-4a75-43b6-871e-9818b749c72f/1576139806955.jpg")</f>
        <v>https://www.commcarehq.org/a/demo-18/api/form/attachment/d1a98e93-4a75-43b6-871e-9818b749c72f/1576139806955.jpg</v>
      </c>
      <c r="M53" s="2">
        <v>43811.358888888892</v>
      </c>
      <c r="N53" s="2">
        <v>43811.356099537035</v>
      </c>
      <c r="O53" t="s">
        <v>32</v>
      </c>
      <c r="P53" s="2">
        <v>43811.415532407409</v>
      </c>
      <c r="Q53" t="s">
        <v>257</v>
      </c>
      <c r="R53" t="s">
        <v>258</v>
      </c>
    </row>
    <row r="54" spans="1:18" x14ac:dyDescent="0.45">
      <c r="A54" t="s">
        <v>253</v>
      </c>
      <c r="B54" t="s">
        <v>20</v>
      </c>
      <c r="C54" s="1">
        <v>43811</v>
      </c>
      <c r="D54" s="1">
        <v>43849</v>
      </c>
      <c r="E54" t="s">
        <v>21</v>
      </c>
      <c r="F54">
        <v>2.8</v>
      </c>
      <c r="G54" t="str">
        <f>HYPERLINK("https://www.commcarehq.org/a/demo-18/api/form/attachment/5ec12840-66c1-4993-a7fe-7e7baedf28a4/1576140225721.jpg")</f>
        <v>https://www.commcarehq.org/a/demo-18/api/form/attachment/5ec12840-66c1-4993-a7fe-7e7baedf28a4/1576140225721.jpg</v>
      </c>
      <c r="H54" t="str">
        <f>HYPERLINK("https://www.commcarehq.org/a/demo-18/api/form/attachment/5ec12840-66c1-4993-a7fe-7e7baedf28a4/1576140242410.jpg")</f>
        <v>https://www.commcarehq.org/a/demo-18/api/form/attachment/5ec12840-66c1-4993-a7fe-7e7baedf28a4/1576140242410.jpg</v>
      </c>
      <c r="I54" t="str">
        <f>HYPERLINK("https://www.commcarehq.org/a/demo-18/api/form/attachment/5ec12840-66c1-4993-a7fe-7e7baedf28a4/1576140302454.jpg")</f>
        <v>https://www.commcarehq.org/a/demo-18/api/form/attachment/5ec12840-66c1-4993-a7fe-7e7baedf28a4/1576140302454.jpg</v>
      </c>
      <c r="J54" t="str">
        <f>HYPERLINK("https://www.commcarehq.org/a/demo-18/api/form/attachment/5ec12840-66c1-4993-a7fe-7e7baedf28a4/1576140311527.jpg")</f>
        <v>https://www.commcarehq.org/a/demo-18/api/form/attachment/5ec12840-66c1-4993-a7fe-7e7baedf28a4/1576140311527.jpg</v>
      </c>
      <c r="K54" t="str">
        <f>HYPERLINK("https://www.commcarehq.org/a/demo-18/api/form/attachment/5ec12840-66c1-4993-a7fe-7e7baedf28a4/1576140333415.jpg")</f>
        <v>https://www.commcarehq.org/a/demo-18/api/form/attachment/5ec12840-66c1-4993-a7fe-7e7baedf28a4/1576140333415.jpg</v>
      </c>
      <c r="L54" t="str">
        <f>HYPERLINK("https://www.commcarehq.org/a/demo-18/api/form/attachment/5ec12840-66c1-4993-a7fe-7e7baedf28a4/1576140342795.jpg")</f>
        <v>https://www.commcarehq.org/a/demo-18/api/form/attachment/5ec12840-66c1-4993-a7fe-7e7baedf28a4/1576140342795.jpg</v>
      </c>
      <c r="M54" s="2">
        <v>43811.365104166667</v>
      </c>
      <c r="N54" s="2">
        <v>43811.363344907404</v>
      </c>
      <c r="O54" t="s">
        <v>32</v>
      </c>
      <c r="P54" s="2">
        <v>43811.41574074074</v>
      </c>
      <c r="Q54" t="s">
        <v>254</v>
      </c>
      <c r="R54" t="s">
        <v>255</v>
      </c>
    </row>
    <row r="55" spans="1:18" x14ac:dyDescent="0.45">
      <c r="A55" t="s">
        <v>259</v>
      </c>
      <c r="B55" t="s">
        <v>20</v>
      </c>
      <c r="C55" s="1">
        <v>43810</v>
      </c>
      <c r="D55" s="1">
        <v>43848</v>
      </c>
      <c r="E55" t="s">
        <v>21</v>
      </c>
      <c r="F55">
        <v>3</v>
      </c>
      <c r="G55" t="str">
        <f>HYPERLINK("https://www.commcarehq.org/a/demo-18/api/form/attachment/7730ac8a-be0d-4188-9a2b-0c1f69218d04/1576048346201.jpg")</f>
        <v>https://www.commcarehq.org/a/demo-18/api/form/attachment/7730ac8a-be0d-4188-9a2b-0c1f69218d04/1576048346201.jpg</v>
      </c>
      <c r="H55" t="str">
        <f>HYPERLINK("https://www.commcarehq.org/a/demo-18/api/form/attachment/7730ac8a-be0d-4188-9a2b-0c1f69218d04/1576048363304.jpg")</f>
        <v>https://www.commcarehq.org/a/demo-18/api/form/attachment/7730ac8a-be0d-4188-9a2b-0c1f69218d04/1576048363304.jpg</v>
      </c>
      <c r="I55" t="str">
        <f>HYPERLINK("https://www.commcarehq.org/a/demo-18/api/form/attachment/7730ac8a-be0d-4188-9a2b-0c1f69218d04/1576048426552.jpg")</f>
        <v>https://www.commcarehq.org/a/demo-18/api/form/attachment/7730ac8a-be0d-4188-9a2b-0c1f69218d04/1576048426552.jpg</v>
      </c>
      <c r="J55" t="str">
        <f>HYPERLINK("https://www.commcarehq.org/a/demo-18/api/form/attachment/7730ac8a-be0d-4188-9a2b-0c1f69218d04/1576048436409.jpg")</f>
        <v>https://www.commcarehq.org/a/demo-18/api/form/attachment/7730ac8a-be0d-4188-9a2b-0c1f69218d04/1576048436409.jpg</v>
      </c>
      <c r="K55" t="str">
        <f>HYPERLINK("https://www.commcarehq.org/a/demo-18/api/form/attachment/7730ac8a-be0d-4188-9a2b-0c1f69218d04/1576048454259.jpg")</f>
        <v>https://www.commcarehq.org/a/demo-18/api/form/attachment/7730ac8a-be0d-4188-9a2b-0c1f69218d04/1576048454259.jpg</v>
      </c>
      <c r="L55" t="str">
        <f>HYPERLINK("https://www.commcarehq.org/a/demo-18/api/form/attachment/7730ac8a-be0d-4188-9a2b-0c1f69218d04/1576048466711.jpg")</f>
        <v>https://www.commcarehq.org/a/demo-18/api/form/attachment/7730ac8a-be0d-4188-9a2b-0c1f69218d04/1576048466711.jpg</v>
      </c>
      <c r="M55" s="2">
        <v>43810.301712962966</v>
      </c>
      <c r="N55" s="2">
        <v>43810.299791666665</v>
      </c>
      <c r="O55" t="s">
        <v>32</v>
      </c>
      <c r="P55" s="2">
        <v>43810.437650462962</v>
      </c>
      <c r="Q55" t="s">
        <v>260</v>
      </c>
      <c r="R55" t="s">
        <v>261</v>
      </c>
    </row>
    <row r="56" spans="1:18" x14ac:dyDescent="0.45">
      <c r="A56" t="s">
        <v>247</v>
      </c>
      <c r="B56" t="s">
        <v>20</v>
      </c>
      <c r="C56" s="1">
        <v>43812</v>
      </c>
      <c r="D56" s="1">
        <v>43850</v>
      </c>
      <c r="E56" t="s">
        <v>21</v>
      </c>
      <c r="F56">
        <v>3.4</v>
      </c>
      <c r="G56" t="str">
        <f>HYPERLINK("https://www.commcarehq.org/a/demo-18/api/form/attachment/4425fa5e-e4df-490c-9ca3-51fb995f68b9/1576226118481.jpg")</f>
        <v>https://www.commcarehq.org/a/demo-18/api/form/attachment/4425fa5e-e4df-490c-9ca3-51fb995f68b9/1576226118481.jpg</v>
      </c>
      <c r="H56" t="str">
        <f>HYPERLINK("https://www.commcarehq.org/a/demo-18/api/form/attachment/4425fa5e-e4df-490c-9ca3-51fb995f68b9/1576226137258.jpg")</f>
        <v>https://www.commcarehq.org/a/demo-18/api/form/attachment/4425fa5e-e4df-490c-9ca3-51fb995f68b9/1576226137258.jpg</v>
      </c>
      <c r="I56" t="str">
        <f>HYPERLINK("https://www.commcarehq.org/a/demo-18/api/form/attachment/4425fa5e-e4df-490c-9ca3-51fb995f68b9/1576226201191.jpg")</f>
        <v>https://www.commcarehq.org/a/demo-18/api/form/attachment/4425fa5e-e4df-490c-9ca3-51fb995f68b9/1576226201191.jpg</v>
      </c>
      <c r="J56" t="str">
        <f>HYPERLINK("https://www.commcarehq.org/a/demo-18/api/form/attachment/4425fa5e-e4df-490c-9ca3-51fb995f68b9/1576226213739.jpg")</f>
        <v>https://www.commcarehq.org/a/demo-18/api/form/attachment/4425fa5e-e4df-490c-9ca3-51fb995f68b9/1576226213739.jpg</v>
      </c>
      <c r="K56" t="str">
        <f>HYPERLINK("https://www.commcarehq.org/a/demo-18/api/form/attachment/4425fa5e-e4df-490c-9ca3-51fb995f68b9/1576226243306.jpg")</f>
        <v>https://www.commcarehq.org/a/demo-18/api/form/attachment/4425fa5e-e4df-490c-9ca3-51fb995f68b9/1576226243306.jpg</v>
      </c>
      <c r="L56" t="str">
        <f>HYPERLINK("https://www.commcarehq.org/a/demo-18/api/form/attachment/4425fa5e-e4df-490c-9ca3-51fb995f68b9/1576226283735.jpg")</f>
        <v>https://www.commcarehq.org/a/demo-18/api/form/attachment/4425fa5e-e4df-490c-9ca3-51fb995f68b9/1576226283735.jpg</v>
      </c>
      <c r="M56" s="2">
        <v>43812.359780092593</v>
      </c>
      <c r="N56" s="2">
        <v>43812.357430555552</v>
      </c>
      <c r="O56" t="s">
        <v>32</v>
      </c>
      <c r="P56" s="2">
        <v>43812.36005787037</v>
      </c>
      <c r="Q56" t="s">
        <v>248</v>
      </c>
      <c r="R56" t="s">
        <v>249</v>
      </c>
    </row>
    <row r="57" spans="1:18" x14ac:dyDescent="0.45">
      <c r="A57" t="s">
        <v>244</v>
      </c>
      <c r="B57" t="s">
        <v>20</v>
      </c>
      <c r="C57" s="1">
        <v>43812</v>
      </c>
      <c r="D57" s="1">
        <v>43850</v>
      </c>
      <c r="E57" t="s">
        <v>21</v>
      </c>
      <c r="F57">
        <v>3.6</v>
      </c>
      <c r="G57" t="str">
        <f>HYPERLINK("https://www.commcarehq.org/a/demo-18/api/form/attachment/f7611ac2-1c6e-425d-bdb0-765685ba9cca/1576227885659.jpg")</f>
        <v>https://www.commcarehq.org/a/demo-18/api/form/attachment/f7611ac2-1c6e-425d-bdb0-765685ba9cca/1576227885659.jpg</v>
      </c>
      <c r="H57" t="str">
        <f>HYPERLINK("https://www.commcarehq.org/a/demo-18/api/form/attachment/f7611ac2-1c6e-425d-bdb0-765685ba9cca/1576227901621.jpg")</f>
        <v>https://www.commcarehq.org/a/demo-18/api/form/attachment/f7611ac2-1c6e-425d-bdb0-765685ba9cca/1576227901621.jpg</v>
      </c>
      <c r="I57" t="str">
        <f>HYPERLINK("https://www.commcarehq.org/a/demo-18/api/form/attachment/f7611ac2-1c6e-425d-bdb0-765685ba9cca/1576228004980.jpg")</f>
        <v>https://www.commcarehq.org/a/demo-18/api/form/attachment/f7611ac2-1c6e-425d-bdb0-765685ba9cca/1576228004980.jpg</v>
      </c>
      <c r="J57" t="str">
        <f>HYPERLINK("https://www.commcarehq.org/a/demo-18/api/form/attachment/f7611ac2-1c6e-425d-bdb0-765685ba9cca/1576228015283.jpg")</f>
        <v>https://www.commcarehq.org/a/demo-18/api/form/attachment/f7611ac2-1c6e-425d-bdb0-765685ba9cca/1576228015283.jpg</v>
      </c>
      <c r="K57" t="str">
        <f>HYPERLINK("https://www.commcarehq.org/a/demo-18/api/form/attachment/f7611ac2-1c6e-425d-bdb0-765685ba9cca/1576228039572.jpg")</f>
        <v>https://www.commcarehq.org/a/demo-18/api/form/attachment/f7611ac2-1c6e-425d-bdb0-765685ba9cca/1576228039572.jpg</v>
      </c>
      <c r="L57" t="str">
        <f>HYPERLINK("https://www.commcarehq.org/a/demo-18/api/form/attachment/f7611ac2-1c6e-425d-bdb0-765685ba9cca/1576228086886.jpg")</f>
        <v>https://www.commcarehq.org/a/demo-18/api/form/attachment/f7611ac2-1c6e-425d-bdb0-765685ba9cca/1576228086886.jpg</v>
      </c>
      <c r="M57" s="2">
        <v>43812.380648148152</v>
      </c>
      <c r="N57" s="2">
        <v>43812.377916666665</v>
      </c>
      <c r="O57" t="s">
        <v>32</v>
      </c>
      <c r="P57" s="2">
        <v>43812.380879629629</v>
      </c>
      <c r="Q57" t="s">
        <v>245</v>
      </c>
      <c r="R57" t="s">
        <v>246</v>
      </c>
    </row>
    <row r="58" spans="1:18" x14ac:dyDescent="0.45">
      <c r="A58" t="s">
        <v>262</v>
      </c>
      <c r="B58" t="s">
        <v>20</v>
      </c>
      <c r="C58" s="1">
        <v>43803</v>
      </c>
      <c r="D58" s="1">
        <v>43841</v>
      </c>
      <c r="E58" t="s">
        <v>21</v>
      </c>
      <c r="F58">
        <v>2.5</v>
      </c>
      <c r="G58" t="str">
        <f>HYPERLINK("https://www.commcarehq.org/a/demo-18/api/form/attachment/b4341c9c-201b-49d0-a822-fc95c88bcba0/1575447411813.jpg")</f>
        <v>https://www.commcarehq.org/a/demo-18/api/form/attachment/b4341c9c-201b-49d0-a822-fc95c88bcba0/1575447411813.jpg</v>
      </c>
      <c r="H58" t="str">
        <f>HYPERLINK("https://www.commcarehq.org/a/demo-18/api/form/attachment/b4341c9c-201b-49d0-a822-fc95c88bcba0/1575447427739.jpg")</f>
        <v>https://www.commcarehq.org/a/demo-18/api/form/attachment/b4341c9c-201b-49d0-a822-fc95c88bcba0/1575447427739.jpg</v>
      </c>
      <c r="I58" t="str">
        <f>HYPERLINK("https://www.commcarehq.org/a/demo-18/api/form/attachment/b4341c9c-201b-49d0-a822-fc95c88bcba0/1575447462863.jpg")</f>
        <v>https://www.commcarehq.org/a/demo-18/api/form/attachment/b4341c9c-201b-49d0-a822-fc95c88bcba0/1575447462863.jpg</v>
      </c>
      <c r="J58" t="str">
        <f>HYPERLINK("https://www.commcarehq.org/a/demo-18/api/form/attachment/b4341c9c-201b-49d0-a822-fc95c88bcba0/1575447472286.jpg")</f>
        <v>https://www.commcarehq.org/a/demo-18/api/form/attachment/b4341c9c-201b-49d0-a822-fc95c88bcba0/1575447472286.jpg</v>
      </c>
      <c r="K58" t="str">
        <f>HYPERLINK("https://www.commcarehq.org/a/demo-18/api/form/attachment/b4341c9c-201b-49d0-a822-fc95c88bcba0/1575447489693.jpg")</f>
        <v>https://www.commcarehq.org/a/demo-18/api/form/attachment/b4341c9c-201b-49d0-a822-fc95c88bcba0/1575447489693.jpg</v>
      </c>
      <c r="L58" t="str">
        <f>HYPERLINK("https://www.commcarehq.org/a/demo-18/api/form/attachment/b4341c9c-201b-49d0-a822-fc95c88bcba0/1575447498971.jpg")</f>
        <v>https://www.commcarehq.org/a/demo-18/api/form/attachment/b4341c9c-201b-49d0-a822-fc95c88bcba0/1575447498971.jpg</v>
      </c>
      <c r="M58" s="2">
        <v>43803.346064814818</v>
      </c>
      <c r="N58" s="2">
        <v>43803.344675925924</v>
      </c>
      <c r="O58" t="s">
        <v>32</v>
      </c>
      <c r="P58" s="2">
        <v>43803.346307870372</v>
      </c>
      <c r="Q58" t="s">
        <v>263</v>
      </c>
      <c r="R58" t="s">
        <v>264</v>
      </c>
    </row>
    <row r="59" spans="1:18" x14ac:dyDescent="0.45">
      <c r="A59" t="s">
        <v>241</v>
      </c>
      <c r="B59" t="s">
        <v>20</v>
      </c>
      <c r="C59" s="1">
        <v>43803</v>
      </c>
      <c r="D59" s="1">
        <v>43841</v>
      </c>
      <c r="E59" t="s">
        <v>21</v>
      </c>
      <c r="F59">
        <v>3.3</v>
      </c>
      <c r="G59" t="str">
        <f>HYPERLINK("https://www.commcarehq.org/a/demo-18/api/form/attachment/7110e7c7-892d-4bc2-89db-d1d50a0a815c/1575447826457.jpg")</f>
        <v>https://www.commcarehq.org/a/demo-18/api/form/attachment/7110e7c7-892d-4bc2-89db-d1d50a0a815c/1575447826457.jpg</v>
      </c>
      <c r="H59" t="str">
        <f>HYPERLINK("https://www.commcarehq.org/a/demo-18/api/form/attachment/7110e7c7-892d-4bc2-89db-d1d50a0a815c/1575447841364.jpg")</f>
        <v>https://www.commcarehq.org/a/demo-18/api/form/attachment/7110e7c7-892d-4bc2-89db-d1d50a0a815c/1575447841364.jpg</v>
      </c>
      <c r="I59" t="str">
        <f>HYPERLINK("https://www.commcarehq.org/a/demo-18/api/form/attachment/7110e7c7-892d-4bc2-89db-d1d50a0a815c/1575447877083.jpg")</f>
        <v>https://www.commcarehq.org/a/demo-18/api/form/attachment/7110e7c7-892d-4bc2-89db-d1d50a0a815c/1575447877083.jpg</v>
      </c>
      <c r="J59" t="str">
        <f>HYPERLINK("https://www.commcarehq.org/a/demo-18/api/form/attachment/7110e7c7-892d-4bc2-89db-d1d50a0a815c/1575447885372.jpg")</f>
        <v>https://www.commcarehq.org/a/demo-18/api/form/attachment/7110e7c7-892d-4bc2-89db-d1d50a0a815c/1575447885372.jpg</v>
      </c>
      <c r="K59" t="str">
        <f>HYPERLINK("https://www.commcarehq.org/a/demo-18/api/form/attachment/7110e7c7-892d-4bc2-89db-d1d50a0a815c/1575447919436.jpg")</f>
        <v>https://www.commcarehq.org/a/demo-18/api/form/attachment/7110e7c7-892d-4bc2-89db-d1d50a0a815c/1575447919436.jpg</v>
      </c>
      <c r="L59" t="str">
        <f>HYPERLINK("https://www.commcarehq.org/a/demo-18/api/form/attachment/7110e7c7-892d-4bc2-89db-d1d50a0a815c/1575447927840.jpg")</f>
        <v>https://www.commcarehq.org/a/demo-18/api/form/attachment/7110e7c7-892d-4bc2-89db-d1d50a0a815c/1575447927840.jpg</v>
      </c>
      <c r="M59" s="2">
        <v>43803.351030092592</v>
      </c>
      <c r="N59" s="2">
        <v>43803.349502314813</v>
      </c>
      <c r="O59" t="s">
        <v>32</v>
      </c>
      <c r="P59" s="2">
        <v>43803.351238425923</v>
      </c>
      <c r="Q59" t="s">
        <v>242</v>
      </c>
      <c r="R59" t="s">
        <v>243</v>
      </c>
    </row>
    <row r="60" spans="1:18" x14ac:dyDescent="0.45">
      <c r="A60" t="s">
        <v>238</v>
      </c>
      <c r="B60" t="s">
        <v>20</v>
      </c>
      <c r="C60" s="1">
        <v>43803</v>
      </c>
      <c r="D60" s="1">
        <v>43841</v>
      </c>
      <c r="E60" t="s">
        <v>21</v>
      </c>
      <c r="F60">
        <v>3.2</v>
      </c>
      <c r="G60" t="str">
        <f>HYPERLINK("https://www.commcarehq.org/a/demo-18/api/form/attachment/ff4217bb-c392-433b-9f3f-646b4f3dbd5b/1575449130373.jpg")</f>
        <v>https://www.commcarehq.org/a/demo-18/api/form/attachment/ff4217bb-c392-433b-9f3f-646b4f3dbd5b/1575449130373.jpg</v>
      </c>
      <c r="H60" t="str">
        <f>HYPERLINK("https://www.commcarehq.org/a/demo-18/api/form/attachment/ff4217bb-c392-433b-9f3f-646b4f3dbd5b/1575449145999.jpg")</f>
        <v>https://www.commcarehq.org/a/demo-18/api/form/attachment/ff4217bb-c392-433b-9f3f-646b4f3dbd5b/1575449145999.jpg</v>
      </c>
      <c r="I60" t="str">
        <f>HYPERLINK("https://www.commcarehq.org/a/demo-18/api/form/attachment/ff4217bb-c392-433b-9f3f-646b4f3dbd5b/1575449216230.jpg")</f>
        <v>https://www.commcarehq.org/a/demo-18/api/form/attachment/ff4217bb-c392-433b-9f3f-646b4f3dbd5b/1575449216230.jpg</v>
      </c>
      <c r="J60" t="str">
        <f>HYPERLINK("https://www.commcarehq.org/a/demo-18/api/form/attachment/ff4217bb-c392-433b-9f3f-646b4f3dbd5b/1575449225823.jpg")</f>
        <v>https://www.commcarehq.org/a/demo-18/api/form/attachment/ff4217bb-c392-433b-9f3f-646b4f3dbd5b/1575449225823.jpg</v>
      </c>
      <c r="K60" t="str">
        <f>HYPERLINK("https://www.commcarehq.org/a/demo-18/api/form/attachment/ff4217bb-c392-433b-9f3f-646b4f3dbd5b/1575449239712.jpg")</f>
        <v>https://www.commcarehq.org/a/demo-18/api/form/attachment/ff4217bb-c392-433b-9f3f-646b4f3dbd5b/1575449239712.jpg</v>
      </c>
      <c r="L60" t="str">
        <f>HYPERLINK("https://www.commcarehq.org/a/demo-18/api/form/attachment/ff4217bb-c392-433b-9f3f-646b4f3dbd5b/1575449249556.jpg")</f>
        <v>https://www.commcarehq.org/a/demo-18/api/form/attachment/ff4217bb-c392-433b-9f3f-646b4f3dbd5b/1575449249556.jpg</v>
      </c>
      <c r="M60" s="2">
        <v>43803.366331018522</v>
      </c>
      <c r="N60" s="2">
        <v>43803.364675925928</v>
      </c>
      <c r="O60" t="s">
        <v>32</v>
      </c>
      <c r="P60" s="2">
        <v>43803.424583333333</v>
      </c>
      <c r="Q60" t="s">
        <v>239</v>
      </c>
      <c r="R60" t="s">
        <v>240</v>
      </c>
    </row>
    <row r="61" spans="1:18" x14ac:dyDescent="0.45">
      <c r="A61" t="s">
        <v>232</v>
      </c>
      <c r="B61" t="s">
        <v>20</v>
      </c>
      <c r="C61" s="1">
        <v>43801</v>
      </c>
      <c r="D61" s="1">
        <v>43839</v>
      </c>
      <c r="E61" t="s">
        <v>21</v>
      </c>
      <c r="F61">
        <v>3</v>
      </c>
      <c r="G61" t="str">
        <f>HYPERLINK("https://www.commcarehq.org/a/demo-18/api/form/attachment/20611d92-a462-41d1-8bfd-ffc207ebec16/1575269887082.jpg")</f>
        <v>https://www.commcarehq.org/a/demo-18/api/form/attachment/20611d92-a462-41d1-8bfd-ffc207ebec16/1575269887082.jpg</v>
      </c>
      <c r="H61" t="str">
        <f>HYPERLINK("https://www.commcarehq.org/a/demo-18/api/form/attachment/20611d92-a462-41d1-8bfd-ffc207ebec16/1575269900668.jpg")</f>
        <v>https://www.commcarehq.org/a/demo-18/api/form/attachment/20611d92-a462-41d1-8bfd-ffc207ebec16/1575269900668.jpg</v>
      </c>
      <c r="I61" t="str">
        <f>HYPERLINK("https://www.commcarehq.org/a/demo-18/api/form/attachment/20611d92-a462-41d1-8bfd-ffc207ebec16/1575269978707.jpg")</f>
        <v>https://www.commcarehq.org/a/demo-18/api/form/attachment/20611d92-a462-41d1-8bfd-ffc207ebec16/1575269978707.jpg</v>
      </c>
      <c r="J61" t="str">
        <f>HYPERLINK("https://www.commcarehq.org/a/demo-18/api/form/attachment/20611d92-a462-41d1-8bfd-ffc207ebec16/1575269987492.jpg")</f>
        <v>https://www.commcarehq.org/a/demo-18/api/form/attachment/20611d92-a462-41d1-8bfd-ffc207ebec16/1575269987492.jpg</v>
      </c>
      <c r="K61" t="str">
        <f>HYPERLINK("https://www.commcarehq.org/a/demo-18/api/form/attachment/20611d92-a462-41d1-8bfd-ffc207ebec16/1575270004762.jpg")</f>
        <v>https://www.commcarehq.org/a/demo-18/api/form/attachment/20611d92-a462-41d1-8bfd-ffc207ebec16/1575270004762.jpg</v>
      </c>
      <c r="L61" t="str">
        <f>HYPERLINK("https://www.commcarehq.org/a/demo-18/api/form/attachment/20611d92-a462-41d1-8bfd-ffc207ebec16/1575270012886.jpg")</f>
        <v>https://www.commcarehq.org/a/demo-18/api/form/attachment/20611d92-a462-41d1-8bfd-ffc207ebec16/1575270012886.jpg</v>
      </c>
      <c r="M61" s="2">
        <v>43801.291828703703</v>
      </c>
      <c r="N61" s="2">
        <v>43801.289768518516</v>
      </c>
      <c r="O61" t="s">
        <v>32</v>
      </c>
      <c r="P61" s="2">
        <v>43801.292037037034</v>
      </c>
      <c r="Q61" t="s">
        <v>233</v>
      </c>
      <c r="R61" t="s">
        <v>234</v>
      </c>
    </row>
    <row r="62" spans="1:18" x14ac:dyDescent="0.45">
      <c r="A62" t="s">
        <v>229</v>
      </c>
      <c r="B62" t="s">
        <v>20</v>
      </c>
      <c r="C62" s="1">
        <v>43801</v>
      </c>
      <c r="D62" s="1">
        <v>43839</v>
      </c>
      <c r="E62" t="s">
        <v>21</v>
      </c>
      <c r="F62">
        <v>2.6</v>
      </c>
      <c r="G62" t="str">
        <f>HYPERLINK("https://www.commcarehq.org/a/demo-18/api/form/attachment/dfe34bf7-d790-40b5-9b1f-b13f2a86ad8c/1575271932964.jpg")</f>
        <v>https://www.commcarehq.org/a/demo-18/api/form/attachment/dfe34bf7-d790-40b5-9b1f-b13f2a86ad8c/1575271932964.jpg</v>
      </c>
      <c r="H62" t="str">
        <f>HYPERLINK("https://www.commcarehq.org/a/demo-18/api/form/attachment/dfe34bf7-d790-40b5-9b1f-b13f2a86ad8c/1575271966161.jpg")</f>
        <v>https://www.commcarehq.org/a/demo-18/api/form/attachment/dfe34bf7-d790-40b5-9b1f-b13f2a86ad8c/1575271966161.jpg</v>
      </c>
      <c r="I62" t="str">
        <f>HYPERLINK("https://www.commcarehq.org/a/demo-18/api/form/attachment/dfe34bf7-d790-40b5-9b1f-b13f2a86ad8c/1575272011933.jpg")</f>
        <v>https://www.commcarehq.org/a/demo-18/api/form/attachment/dfe34bf7-d790-40b5-9b1f-b13f2a86ad8c/1575272011933.jpg</v>
      </c>
      <c r="J62" t="str">
        <f>HYPERLINK("https://www.commcarehq.org/a/demo-18/api/form/attachment/dfe34bf7-d790-40b5-9b1f-b13f2a86ad8c/1575272021070.jpg")</f>
        <v>https://www.commcarehq.org/a/demo-18/api/form/attachment/dfe34bf7-d790-40b5-9b1f-b13f2a86ad8c/1575272021070.jpg</v>
      </c>
      <c r="K62" t="str">
        <f>HYPERLINK("https://www.commcarehq.org/a/demo-18/api/form/attachment/dfe34bf7-d790-40b5-9b1f-b13f2a86ad8c/1575272038458.jpg")</f>
        <v>https://www.commcarehq.org/a/demo-18/api/form/attachment/dfe34bf7-d790-40b5-9b1f-b13f2a86ad8c/1575272038458.jpg</v>
      </c>
      <c r="L62" t="str">
        <f>HYPERLINK("https://www.commcarehq.org/a/demo-18/api/form/attachment/dfe34bf7-d790-40b5-9b1f-b13f2a86ad8c/1575272047525.jpg")</f>
        <v>https://www.commcarehq.org/a/demo-18/api/form/attachment/dfe34bf7-d790-40b5-9b1f-b13f2a86ad8c/1575272047525.jpg</v>
      </c>
      <c r="M62" s="2">
        <v>43801.315381944441</v>
      </c>
      <c r="N62" s="2">
        <v>43801.313726851855</v>
      </c>
      <c r="O62" t="s">
        <v>32</v>
      </c>
      <c r="P62" s="2">
        <v>43801.31559027778</v>
      </c>
      <c r="Q62" t="s">
        <v>230</v>
      </c>
      <c r="R62" t="s">
        <v>231</v>
      </c>
    </row>
    <row r="63" spans="1:18" x14ac:dyDescent="0.45">
      <c r="A63" t="s">
        <v>250</v>
      </c>
      <c r="B63" t="s">
        <v>20</v>
      </c>
      <c r="C63" s="1">
        <v>43808</v>
      </c>
      <c r="D63" s="1">
        <v>43846</v>
      </c>
      <c r="E63" t="s">
        <v>21</v>
      </c>
      <c r="F63">
        <v>3.8</v>
      </c>
      <c r="G63" t="str">
        <f>HYPERLINK("https://www.commcarehq.org/a/demo-18/api/form/attachment/6336c32b-6548-4dd6-99b2-02b054ae8267/1575880485465.jpg")</f>
        <v>https://www.commcarehq.org/a/demo-18/api/form/attachment/6336c32b-6548-4dd6-99b2-02b054ae8267/1575880485465.jpg</v>
      </c>
      <c r="H63" t="str">
        <f>HYPERLINK("https://www.commcarehq.org/a/demo-18/api/form/attachment/6336c32b-6548-4dd6-99b2-02b054ae8267/1575880503796.jpg")</f>
        <v>https://www.commcarehq.org/a/demo-18/api/form/attachment/6336c32b-6548-4dd6-99b2-02b054ae8267/1575880503796.jpg</v>
      </c>
      <c r="I63" t="str">
        <f>HYPERLINK("https://www.commcarehq.org/a/demo-18/api/form/attachment/6336c32b-6548-4dd6-99b2-02b054ae8267/1575880552852.jpg")</f>
        <v>https://www.commcarehq.org/a/demo-18/api/form/attachment/6336c32b-6548-4dd6-99b2-02b054ae8267/1575880552852.jpg</v>
      </c>
      <c r="J63" t="str">
        <f>HYPERLINK("https://www.commcarehq.org/a/demo-18/api/form/attachment/6336c32b-6548-4dd6-99b2-02b054ae8267/1575880562031.jpg")</f>
        <v>https://www.commcarehq.org/a/demo-18/api/form/attachment/6336c32b-6548-4dd6-99b2-02b054ae8267/1575880562031.jpg</v>
      </c>
      <c r="K63" t="str">
        <f>HYPERLINK("https://www.commcarehq.org/a/demo-18/api/form/attachment/6336c32b-6548-4dd6-99b2-02b054ae8267/1575880577233.jpg")</f>
        <v>https://www.commcarehq.org/a/demo-18/api/form/attachment/6336c32b-6548-4dd6-99b2-02b054ae8267/1575880577233.jpg</v>
      </c>
      <c r="L63" t="str">
        <f>HYPERLINK("https://www.commcarehq.org/a/demo-18/api/form/attachment/6336c32b-6548-4dd6-99b2-02b054ae8267/1575880586162.jpg")</f>
        <v>https://www.commcarehq.org/a/demo-18/api/form/attachment/6336c32b-6548-4dd6-99b2-02b054ae8267/1575880586162.jpg</v>
      </c>
      <c r="M63" s="2">
        <v>43808.35864583333</v>
      </c>
      <c r="N63" s="2">
        <v>43808.357118055559</v>
      </c>
      <c r="O63" t="s">
        <v>32</v>
      </c>
      <c r="P63" s="2">
        <v>43808.421597222223</v>
      </c>
      <c r="Q63" t="s">
        <v>251</v>
      </c>
      <c r="R63" t="s">
        <v>252</v>
      </c>
    </row>
    <row r="64" spans="1:18" x14ac:dyDescent="0.45">
      <c r="A64" t="s">
        <v>208</v>
      </c>
      <c r="B64" t="s">
        <v>20</v>
      </c>
      <c r="C64" s="1">
        <v>43780</v>
      </c>
      <c r="D64" s="1">
        <v>43818</v>
      </c>
      <c r="E64" t="s">
        <v>21</v>
      </c>
      <c r="F64">
        <v>2.5</v>
      </c>
      <c r="G64" t="str">
        <f>HYPERLINK("https://www.commcarehq.org/a/demo-18/api/form/attachment/bec12539-3798-4494-a584-d3e606a9c4cd/1573461554548.jpg")</f>
        <v>https://www.commcarehq.org/a/demo-18/api/form/attachment/bec12539-3798-4494-a584-d3e606a9c4cd/1573461554548.jpg</v>
      </c>
      <c r="H64" t="str">
        <f>HYPERLINK("https://www.commcarehq.org/a/demo-18/api/form/attachment/bec12539-3798-4494-a584-d3e606a9c4cd/1573461570369.jpg")</f>
        <v>https://www.commcarehq.org/a/demo-18/api/form/attachment/bec12539-3798-4494-a584-d3e606a9c4cd/1573461570369.jpg</v>
      </c>
      <c r="I64" t="str">
        <f>HYPERLINK("https://www.commcarehq.org/a/demo-18/api/form/attachment/bec12539-3798-4494-a584-d3e606a9c4cd/1573461628474.jpg")</f>
        <v>https://www.commcarehq.org/a/demo-18/api/form/attachment/bec12539-3798-4494-a584-d3e606a9c4cd/1573461628474.jpg</v>
      </c>
      <c r="J64" t="str">
        <f>HYPERLINK("https://www.commcarehq.org/a/demo-18/api/form/attachment/bec12539-3798-4494-a584-d3e606a9c4cd/1573461641589.jpg")</f>
        <v>https://www.commcarehq.org/a/demo-18/api/form/attachment/bec12539-3798-4494-a584-d3e606a9c4cd/1573461641589.jpg</v>
      </c>
      <c r="K64" t="str">
        <f>HYPERLINK("https://www.commcarehq.org/a/demo-18/api/form/attachment/bec12539-3798-4494-a584-d3e606a9c4cd/1573461662055.jpg")</f>
        <v>https://www.commcarehq.org/a/demo-18/api/form/attachment/bec12539-3798-4494-a584-d3e606a9c4cd/1573461662055.jpg</v>
      </c>
      <c r="L64" t="str">
        <f>HYPERLINK("https://www.commcarehq.org/a/demo-18/api/form/attachment/bec12539-3798-4494-a584-d3e606a9c4cd/1573461675360.jpg")</f>
        <v>https://www.commcarehq.org/a/demo-18/api/form/attachment/bec12539-3798-4494-a584-d3e606a9c4cd/1573461675360.jpg</v>
      </c>
      <c r="M64" s="2">
        <v>43780.362002314818</v>
      </c>
      <c r="N64" s="2">
        <v>43780.360115740739</v>
      </c>
      <c r="O64" t="s">
        <v>32</v>
      </c>
      <c r="P64" s="2">
        <v>43780.422222222223</v>
      </c>
      <c r="Q64" t="s">
        <v>209</v>
      </c>
      <c r="R64" t="s">
        <v>210</v>
      </c>
    </row>
    <row r="65" spans="1:18" x14ac:dyDescent="0.45">
      <c r="A65" t="s">
        <v>211</v>
      </c>
      <c r="B65" t="s">
        <v>20</v>
      </c>
      <c r="C65" s="1">
        <v>43780</v>
      </c>
      <c r="D65" s="1">
        <v>43818</v>
      </c>
      <c r="E65" t="s">
        <v>21</v>
      </c>
      <c r="F65">
        <v>2.5</v>
      </c>
      <c r="G65" t="str">
        <f>HYPERLINK("https://www.commcarehq.org/a/demo-18/api/form/attachment/66e893f6-240b-4095-8534-1669f090e08e/1573461980243.jpg")</f>
        <v>https://www.commcarehq.org/a/demo-18/api/form/attachment/66e893f6-240b-4095-8534-1669f090e08e/1573461980243.jpg</v>
      </c>
      <c r="H65" t="str">
        <f>HYPERLINK("https://www.commcarehq.org/a/demo-18/api/form/attachment/66e893f6-240b-4095-8534-1669f090e08e/1573461995917.jpg")</f>
        <v>https://www.commcarehq.org/a/demo-18/api/form/attachment/66e893f6-240b-4095-8534-1669f090e08e/1573461995917.jpg</v>
      </c>
      <c r="I65" t="str">
        <f>HYPERLINK("https://www.commcarehq.org/a/demo-18/api/form/attachment/66e893f6-240b-4095-8534-1669f090e08e/1573462057565.jpg")</f>
        <v>https://www.commcarehq.org/a/demo-18/api/form/attachment/66e893f6-240b-4095-8534-1669f090e08e/1573462057565.jpg</v>
      </c>
      <c r="J65" t="str">
        <f>HYPERLINK("https://www.commcarehq.org/a/demo-18/api/form/attachment/66e893f6-240b-4095-8534-1669f090e08e/1573462069851.jpg")</f>
        <v>https://www.commcarehq.org/a/demo-18/api/form/attachment/66e893f6-240b-4095-8534-1669f090e08e/1573462069851.jpg</v>
      </c>
      <c r="K65" t="str">
        <f>HYPERLINK("https://www.commcarehq.org/a/demo-18/api/form/attachment/66e893f6-240b-4095-8534-1669f090e08e/1573462095789.jpg")</f>
        <v>https://www.commcarehq.org/a/demo-18/api/form/attachment/66e893f6-240b-4095-8534-1669f090e08e/1573462095789.jpg</v>
      </c>
      <c r="L65" t="str">
        <f>HYPERLINK("https://www.commcarehq.org/a/demo-18/api/form/attachment/66e893f6-240b-4095-8534-1669f090e08e/1573462107842.jpg")</f>
        <v>https://www.commcarehq.org/a/demo-18/api/form/attachment/66e893f6-240b-4095-8534-1669f090e08e/1573462107842.jpg</v>
      </c>
      <c r="M65" s="2">
        <v>43780.367002314815</v>
      </c>
      <c r="N65" s="2">
        <v>43780.365162037036</v>
      </c>
      <c r="O65" t="s">
        <v>32</v>
      </c>
      <c r="P65" s="2">
        <v>43780.422384259262</v>
      </c>
      <c r="Q65" t="s">
        <v>212</v>
      </c>
      <c r="R65" s="3" t="s">
        <v>213</v>
      </c>
    </row>
    <row r="66" spans="1:18" x14ac:dyDescent="0.45">
      <c r="A66" t="s">
        <v>202</v>
      </c>
      <c r="B66" t="s">
        <v>20</v>
      </c>
      <c r="C66" s="1">
        <v>43780</v>
      </c>
      <c r="D66" s="1">
        <v>43818</v>
      </c>
      <c r="E66" t="s">
        <v>21</v>
      </c>
      <c r="F66">
        <v>2.5</v>
      </c>
      <c r="G66" t="str">
        <f>HYPERLINK("https://www.commcarehq.org/a/demo-18/api/form/attachment/119f5269-ddd9-460d-ad72-9e0a49d6eb7f/1573457023677.jpg")</f>
        <v>https://www.commcarehq.org/a/demo-18/api/form/attachment/119f5269-ddd9-460d-ad72-9e0a49d6eb7f/1573457023677.jpg</v>
      </c>
      <c r="H66" t="str">
        <f>HYPERLINK("https://www.commcarehq.org/a/demo-18/api/form/attachment/119f5269-ddd9-460d-ad72-9e0a49d6eb7f/1573457042906.jpg")</f>
        <v>https://www.commcarehq.org/a/demo-18/api/form/attachment/119f5269-ddd9-460d-ad72-9e0a49d6eb7f/1573457042906.jpg</v>
      </c>
      <c r="I66" t="str">
        <f>HYPERLINK("https://www.commcarehq.org/a/demo-18/api/form/attachment/119f5269-ddd9-460d-ad72-9e0a49d6eb7f/1573457108098.jpg")</f>
        <v>https://www.commcarehq.org/a/demo-18/api/form/attachment/119f5269-ddd9-460d-ad72-9e0a49d6eb7f/1573457108098.jpg</v>
      </c>
      <c r="J66" t="str">
        <f>HYPERLINK("https://www.commcarehq.org/a/demo-18/api/form/attachment/119f5269-ddd9-460d-ad72-9e0a49d6eb7f/1573457119826.jpg")</f>
        <v>https://www.commcarehq.org/a/demo-18/api/form/attachment/119f5269-ddd9-460d-ad72-9e0a49d6eb7f/1573457119826.jpg</v>
      </c>
      <c r="K66" t="str">
        <f>HYPERLINK("https://www.commcarehq.org/a/demo-18/api/form/attachment/119f5269-ddd9-460d-ad72-9e0a49d6eb7f/1573457145732.jpg")</f>
        <v>https://www.commcarehq.org/a/demo-18/api/form/attachment/119f5269-ddd9-460d-ad72-9e0a49d6eb7f/1573457145732.jpg</v>
      </c>
      <c r="L66" t="str">
        <f>HYPERLINK("https://www.commcarehq.org/a/demo-18/api/form/attachment/119f5269-ddd9-460d-ad72-9e0a49d6eb7f/1573457161512.jpg")</f>
        <v>https://www.commcarehq.org/a/demo-18/api/form/attachment/119f5269-ddd9-460d-ad72-9e0a49d6eb7f/1573457161512.jpg</v>
      </c>
      <c r="M66" s="2">
        <v>43780.309756944444</v>
      </c>
      <c r="N66" s="2">
        <v>43780.307592592595</v>
      </c>
      <c r="O66" t="s">
        <v>32</v>
      </c>
      <c r="P66" s="2">
        <v>43780.420891203707</v>
      </c>
      <c r="Q66" t="s">
        <v>203</v>
      </c>
      <c r="R66" t="s">
        <v>204</v>
      </c>
    </row>
    <row r="67" spans="1:18" x14ac:dyDescent="0.45">
      <c r="A67" t="s">
        <v>205</v>
      </c>
      <c r="B67" t="s">
        <v>20</v>
      </c>
      <c r="C67" s="1">
        <v>43780</v>
      </c>
      <c r="D67" s="1">
        <v>43818</v>
      </c>
      <c r="E67" t="s">
        <v>21</v>
      </c>
      <c r="F67">
        <v>2.9</v>
      </c>
      <c r="G67" t="str">
        <f>HYPERLINK("https://www.commcarehq.org/a/demo-18/api/form/attachment/d4fe53cd-d910-4f76-a90a-167af6599d73/1573459515670.jpg")</f>
        <v>https://www.commcarehq.org/a/demo-18/api/form/attachment/d4fe53cd-d910-4f76-a90a-167af6599d73/1573459515670.jpg</v>
      </c>
      <c r="H67" t="str">
        <f>HYPERLINK("https://www.commcarehq.org/a/demo-18/api/form/attachment/d4fe53cd-d910-4f76-a90a-167af6599d73/1573459530916.jpg")</f>
        <v>https://www.commcarehq.org/a/demo-18/api/form/attachment/d4fe53cd-d910-4f76-a90a-167af6599d73/1573459530916.jpg</v>
      </c>
      <c r="I67" t="str">
        <f>HYPERLINK("https://www.commcarehq.org/a/demo-18/api/form/attachment/d4fe53cd-d910-4f76-a90a-167af6599d73/1573459597426.jpg")</f>
        <v>https://www.commcarehq.org/a/demo-18/api/form/attachment/d4fe53cd-d910-4f76-a90a-167af6599d73/1573459597426.jpg</v>
      </c>
      <c r="J67" t="str">
        <f>HYPERLINK("https://www.commcarehq.org/a/demo-18/api/form/attachment/d4fe53cd-d910-4f76-a90a-167af6599d73/1573459609555.jpg")</f>
        <v>https://www.commcarehq.org/a/demo-18/api/form/attachment/d4fe53cd-d910-4f76-a90a-167af6599d73/1573459609555.jpg</v>
      </c>
      <c r="K67" t="str">
        <f>HYPERLINK("https://www.commcarehq.org/a/demo-18/api/form/attachment/d4fe53cd-d910-4f76-a90a-167af6599d73/1573459636080.jpg")</f>
        <v>https://www.commcarehq.org/a/demo-18/api/form/attachment/d4fe53cd-d910-4f76-a90a-167af6599d73/1573459636080.jpg</v>
      </c>
      <c r="L67" t="str">
        <f>HYPERLINK("https://www.commcarehq.org/a/demo-18/api/form/attachment/d4fe53cd-d910-4f76-a90a-167af6599d73/1573459651986.jpg")</f>
        <v>https://www.commcarehq.org/a/demo-18/api/form/attachment/d4fe53cd-d910-4f76-a90a-167af6599d73/1573459651986.jpg</v>
      </c>
      <c r="M67" s="2">
        <v>43780.338587962964</v>
      </c>
      <c r="N67" s="2">
        <v>43780.33662037037</v>
      </c>
      <c r="O67" t="s">
        <v>32</v>
      </c>
      <c r="P67" s="2">
        <v>43780.4216087963</v>
      </c>
      <c r="Q67" t="s">
        <v>206</v>
      </c>
      <c r="R67" t="s">
        <v>207</v>
      </c>
    </row>
    <row r="68" spans="1:18" x14ac:dyDescent="0.45">
      <c r="A68" t="s">
        <v>175</v>
      </c>
      <c r="B68" t="s">
        <v>20</v>
      </c>
      <c r="C68" s="1">
        <v>43787</v>
      </c>
      <c r="D68" s="1">
        <v>43825</v>
      </c>
      <c r="E68" t="s">
        <v>21</v>
      </c>
      <c r="F68">
        <v>3.2</v>
      </c>
      <c r="G68" t="str">
        <f>HYPERLINK("https://www.commcarehq.org/a/demo-18/api/form/attachment/1db10cb3-36fa-4896-a236-fe0e94a21875/1574065548995.jpg")</f>
        <v>https://www.commcarehq.org/a/demo-18/api/form/attachment/1db10cb3-36fa-4896-a236-fe0e94a21875/1574065548995.jpg</v>
      </c>
      <c r="H68" t="str">
        <f>HYPERLINK("https://www.commcarehq.org/a/demo-18/api/form/attachment/1db10cb3-36fa-4896-a236-fe0e94a21875/1574065566974.jpg")</f>
        <v>https://www.commcarehq.org/a/demo-18/api/form/attachment/1db10cb3-36fa-4896-a236-fe0e94a21875/1574065566974.jpg</v>
      </c>
      <c r="I68" t="str">
        <f>HYPERLINK("https://www.commcarehq.org/a/demo-18/api/form/attachment/1db10cb3-36fa-4896-a236-fe0e94a21875/1574065617594.jpg")</f>
        <v>https://www.commcarehq.org/a/demo-18/api/form/attachment/1db10cb3-36fa-4896-a236-fe0e94a21875/1574065617594.jpg</v>
      </c>
      <c r="J68" t="str">
        <f>HYPERLINK("https://www.commcarehq.org/a/demo-18/api/form/attachment/1db10cb3-36fa-4896-a236-fe0e94a21875/1574065627370.jpg")</f>
        <v>https://www.commcarehq.org/a/demo-18/api/form/attachment/1db10cb3-36fa-4896-a236-fe0e94a21875/1574065627370.jpg</v>
      </c>
      <c r="K68" t="str">
        <f>HYPERLINK("https://www.commcarehq.org/a/demo-18/api/form/attachment/1db10cb3-36fa-4896-a236-fe0e94a21875/1574065649365.jpg")</f>
        <v>https://www.commcarehq.org/a/demo-18/api/form/attachment/1db10cb3-36fa-4896-a236-fe0e94a21875/1574065649365.jpg</v>
      </c>
      <c r="L68" t="str">
        <f>HYPERLINK("https://www.commcarehq.org/a/demo-18/api/form/attachment/1db10cb3-36fa-4896-a236-fe0e94a21875/1574065661135.jpg")</f>
        <v>https://www.commcarehq.org/a/demo-18/api/form/attachment/1db10cb3-36fa-4896-a236-fe0e94a21875/1574065661135.jpg</v>
      </c>
      <c r="M68" s="2">
        <v>43787.352569444447</v>
      </c>
      <c r="N68" s="2">
        <v>43787.351064814815</v>
      </c>
      <c r="O68" t="s">
        <v>32</v>
      </c>
      <c r="P68" s="2">
        <v>43787.430335648147</v>
      </c>
      <c r="Q68" t="s">
        <v>176</v>
      </c>
      <c r="R68" t="s">
        <v>177</v>
      </c>
    </row>
    <row r="69" spans="1:18" x14ac:dyDescent="0.45">
      <c r="A69" t="s">
        <v>214</v>
      </c>
      <c r="B69" t="s">
        <v>20</v>
      </c>
      <c r="C69" s="1">
        <v>43783</v>
      </c>
      <c r="D69" s="1">
        <v>43821</v>
      </c>
      <c r="E69" t="s">
        <v>21</v>
      </c>
      <c r="F69">
        <v>3.4</v>
      </c>
      <c r="G69" t="str">
        <f>HYPERLINK("https://www.commcarehq.org/a/demo-18/api/form/attachment/d17f18fe-8915-4d0b-b368-60ed9af7b4db/1573715713281.jpg")</f>
        <v>https://www.commcarehq.org/a/demo-18/api/form/attachment/d17f18fe-8915-4d0b-b368-60ed9af7b4db/1573715713281.jpg</v>
      </c>
      <c r="H69" t="str">
        <f>HYPERLINK("https://www.commcarehq.org/a/demo-18/api/form/attachment/d17f18fe-8915-4d0b-b368-60ed9af7b4db/1573715731557.jpg")</f>
        <v>https://www.commcarehq.org/a/demo-18/api/form/attachment/d17f18fe-8915-4d0b-b368-60ed9af7b4db/1573715731557.jpg</v>
      </c>
      <c r="I69" t="str">
        <f>HYPERLINK("https://www.commcarehq.org/a/demo-18/api/form/attachment/d17f18fe-8915-4d0b-b368-60ed9af7b4db/1573715818016.jpg")</f>
        <v>https://www.commcarehq.org/a/demo-18/api/form/attachment/d17f18fe-8915-4d0b-b368-60ed9af7b4db/1573715818016.jpg</v>
      </c>
      <c r="J69" t="str">
        <f>HYPERLINK("https://www.commcarehq.org/a/demo-18/api/form/attachment/d17f18fe-8915-4d0b-b368-60ed9af7b4db/1573715831229.jpg")</f>
        <v>https://www.commcarehq.org/a/demo-18/api/form/attachment/d17f18fe-8915-4d0b-b368-60ed9af7b4db/1573715831229.jpg</v>
      </c>
      <c r="K69" t="str">
        <f>HYPERLINK("https://www.commcarehq.org/a/demo-18/api/form/attachment/d17f18fe-8915-4d0b-b368-60ed9af7b4db/1573715863021.jpg")</f>
        <v>https://www.commcarehq.org/a/demo-18/api/form/attachment/d17f18fe-8915-4d0b-b368-60ed9af7b4db/1573715863021.jpg</v>
      </c>
      <c r="L69" t="str">
        <f>HYPERLINK("https://www.commcarehq.org/a/demo-18/api/form/attachment/d17f18fe-8915-4d0b-b368-60ed9af7b4db/1573715877271.jpg")</f>
        <v>https://www.commcarehq.org/a/demo-18/api/form/attachment/d17f18fe-8915-4d0b-b368-60ed9af7b4db/1573715877271.jpg</v>
      </c>
      <c r="M69" s="2">
        <v>43783.304155092592</v>
      </c>
      <c r="N69" s="2">
        <v>43783.301793981482</v>
      </c>
      <c r="O69" t="s">
        <v>32</v>
      </c>
      <c r="P69" s="2">
        <v>43783.304432870369</v>
      </c>
      <c r="Q69" t="s">
        <v>215</v>
      </c>
      <c r="R69" t="s">
        <v>216</v>
      </c>
    </row>
    <row r="70" spans="1:18" x14ac:dyDescent="0.45">
      <c r="A70" t="s">
        <v>217</v>
      </c>
      <c r="B70" t="s">
        <v>20</v>
      </c>
      <c r="C70" s="1">
        <v>43784</v>
      </c>
      <c r="D70" s="1">
        <v>43822</v>
      </c>
      <c r="E70" t="s">
        <v>21</v>
      </c>
      <c r="F70">
        <v>2.5</v>
      </c>
      <c r="G70" t="str">
        <f>HYPERLINK("https://www.commcarehq.org/a/demo-18/api/form/attachment/6153ffc4-41e4-43a3-85bc-80d598d31fee/1573803142339.jpg")</f>
        <v>https://www.commcarehq.org/a/demo-18/api/form/attachment/6153ffc4-41e4-43a3-85bc-80d598d31fee/1573803142339.jpg</v>
      </c>
      <c r="H70" t="str">
        <f>HYPERLINK("https://www.commcarehq.org/a/demo-18/api/form/attachment/6153ffc4-41e4-43a3-85bc-80d598d31fee/1573803160790.jpg")</f>
        <v>https://www.commcarehq.org/a/demo-18/api/form/attachment/6153ffc4-41e4-43a3-85bc-80d598d31fee/1573803160790.jpg</v>
      </c>
      <c r="I70" t="str">
        <f>HYPERLINK("https://www.commcarehq.org/a/demo-18/api/form/attachment/6153ffc4-41e4-43a3-85bc-80d598d31fee/1573803226762.jpg")</f>
        <v>https://www.commcarehq.org/a/demo-18/api/form/attachment/6153ffc4-41e4-43a3-85bc-80d598d31fee/1573803226762.jpg</v>
      </c>
      <c r="J70" t="str">
        <f>HYPERLINK("https://www.commcarehq.org/a/demo-18/api/form/attachment/6153ffc4-41e4-43a3-85bc-80d598d31fee/1573803239084.jpg")</f>
        <v>https://www.commcarehq.org/a/demo-18/api/form/attachment/6153ffc4-41e4-43a3-85bc-80d598d31fee/1573803239084.jpg</v>
      </c>
      <c r="K70" t="str">
        <f>HYPERLINK("https://www.commcarehq.org/a/demo-18/api/form/attachment/6153ffc4-41e4-43a3-85bc-80d598d31fee/1573803269562.jpg")</f>
        <v>https://www.commcarehq.org/a/demo-18/api/form/attachment/6153ffc4-41e4-43a3-85bc-80d598d31fee/1573803269562.jpg</v>
      </c>
      <c r="L70" t="str">
        <f>HYPERLINK("https://www.commcarehq.org/a/demo-18/api/form/attachment/6153ffc4-41e4-43a3-85bc-80d598d31fee/1573803280893.jpg")</f>
        <v>https://www.commcarehq.org/a/demo-18/api/form/attachment/6153ffc4-41e4-43a3-85bc-80d598d31fee/1573803280893.jpg</v>
      </c>
      <c r="M70" s="2">
        <v>43784.315763888888</v>
      </c>
      <c r="N70" s="2">
        <v>43784.313969907409</v>
      </c>
      <c r="O70" t="s">
        <v>32</v>
      </c>
      <c r="P70" s="2">
        <v>43784.315925925926</v>
      </c>
      <c r="Q70" t="s">
        <v>218</v>
      </c>
      <c r="R70" t="s">
        <v>219</v>
      </c>
    </row>
    <row r="71" spans="1:18" x14ac:dyDescent="0.45">
      <c r="A71" t="s">
        <v>190</v>
      </c>
      <c r="B71" t="s">
        <v>20</v>
      </c>
      <c r="C71" s="1">
        <v>43789</v>
      </c>
      <c r="D71" s="1">
        <v>43827</v>
      </c>
      <c r="E71" t="s">
        <v>21</v>
      </c>
      <c r="F71">
        <v>3.2</v>
      </c>
      <c r="G71" t="str">
        <f>HYPERLINK("https://www.commcarehq.org/a/demo-18/api/form/attachment/7e60709d-8015-47d5-9743-438a9edc4f48/1574233492695.jpg")</f>
        <v>https://www.commcarehq.org/a/demo-18/api/form/attachment/7e60709d-8015-47d5-9743-438a9edc4f48/1574233492695.jpg</v>
      </c>
      <c r="H71" t="str">
        <f>HYPERLINK("https://www.commcarehq.org/a/demo-18/api/form/attachment/7e60709d-8015-47d5-9743-438a9edc4f48/1574233508091.jpg")</f>
        <v>https://www.commcarehq.org/a/demo-18/api/form/attachment/7e60709d-8015-47d5-9743-438a9edc4f48/1574233508091.jpg</v>
      </c>
      <c r="I71" t="str">
        <f>HYPERLINK("https://www.commcarehq.org/a/demo-18/api/form/attachment/7e60709d-8015-47d5-9743-438a9edc4f48/1574233584521.jpg")</f>
        <v>https://www.commcarehq.org/a/demo-18/api/form/attachment/7e60709d-8015-47d5-9743-438a9edc4f48/1574233584521.jpg</v>
      </c>
      <c r="J71" t="str">
        <f>HYPERLINK("https://www.commcarehq.org/a/demo-18/api/form/attachment/7e60709d-8015-47d5-9743-438a9edc4f48/1574233595597.jpg")</f>
        <v>https://www.commcarehq.org/a/demo-18/api/form/attachment/7e60709d-8015-47d5-9743-438a9edc4f48/1574233595597.jpg</v>
      </c>
      <c r="K71" t="str">
        <f>HYPERLINK("https://www.commcarehq.org/a/demo-18/api/form/attachment/7e60709d-8015-47d5-9743-438a9edc4f48/1574233632882.jpg")</f>
        <v>https://www.commcarehq.org/a/demo-18/api/form/attachment/7e60709d-8015-47d5-9743-438a9edc4f48/1574233632882.jpg</v>
      </c>
      <c r="L71" t="str">
        <f>HYPERLINK("https://www.commcarehq.org/a/demo-18/api/form/attachment/7e60709d-8015-47d5-9743-438a9edc4f48/1574233648981.jpg")</f>
        <v>https://www.commcarehq.org/a/demo-18/api/form/attachment/7e60709d-8015-47d5-9743-438a9edc4f48/1574233648981.jpg</v>
      </c>
      <c r="M71" s="2">
        <v>43789.296886574077</v>
      </c>
      <c r="N71" s="2">
        <v>43789.294710648152</v>
      </c>
      <c r="O71" t="s">
        <v>32</v>
      </c>
      <c r="P71" s="2">
        <v>43789.297083333331</v>
      </c>
      <c r="Q71" t="s">
        <v>191</v>
      </c>
      <c r="R71" s="3" t="s">
        <v>192</v>
      </c>
    </row>
    <row r="72" spans="1:18" x14ac:dyDescent="0.45">
      <c r="A72" t="s">
        <v>196</v>
      </c>
      <c r="B72" t="s">
        <v>20</v>
      </c>
      <c r="C72" s="1">
        <v>43789</v>
      </c>
      <c r="D72" s="1">
        <v>43827</v>
      </c>
      <c r="E72" t="s">
        <v>21</v>
      </c>
      <c r="F72">
        <v>3.5</v>
      </c>
      <c r="G72" t="str">
        <f>HYPERLINK("https://www.commcarehq.org/a/demo-18/api/form/attachment/ae6dee88-4ab8-4be8-b525-476f8ceec769/1574235923621.jpg")</f>
        <v>https://www.commcarehq.org/a/demo-18/api/form/attachment/ae6dee88-4ab8-4be8-b525-476f8ceec769/1574235923621.jpg</v>
      </c>
      <c r="H72" t="str">
        <f>HYPERLINK("https://www.commcarehq.org/a/demo-18/api/form/attachment/ae6dee88-4ab8-4be8-b525-476f8ceec769/1574235940127.jpg")</f>
        <v>https://www.commcarehq.org/a/demo-18/api/form/attachment/ae6dee88-4ab8-4be8-b525-476f8ceec769/1574235940127.jpg</v>
      </c>
      <c r="I72" t="str">
        <f>HYPERLINK("https://www.commcarehq.org/a/demo-18/api/form/attachment/ae6dee88-4ab8-4be8-b525-476f8ceec769/1574236073040.jpg")</f>
        <v>https://www.commcarehq.org/a/demo-18/api/form/attachment/ae6dee88-4ab8-4be8-b525-476f8ceec769/1574236073040.jpg</v>
      </c>
      <c r="J72" t="str">
        <f>HYPERLINK("https://www.commcarehq.org/a/demo-18/api/form/attachment/ae6dee88-4ab8-4be8-b525-476f8ceec769/1574236085692.jpg")</f>
        <v>https://www.commcarehq.org/a/demo-18/api/form/attachment/ae6dee88-4ab8-4be8-b525-476f8ceec769/1574236085692.jpg</v>
      </c>
      <c r="K72" t="str">
        <f>HYPERLINK("https://www.commcarehq.org/a/demo-18/api/form/attachment/ae6dee88-4ab8-4be8-b525-476f8ceec769/1574236105378.jpg")</f>
        <v>https://www.commcarehq.org/a/demo-18/api/form/attachment/ae6dee88-4ab8-4be8-b525-476f8ceec769/1574236105378.jpg</v>
      </c>
      <c r="L72" t="str">
        <f>HYPERLINK("https://www.commcarehq.org/a/demo-18/api/form/attachment/ae6dee88-4ab8-4be8-b525-476f8ceec769/1574236118275.jpg")</f>
        <v>https://www.commcarehq.org/a/demo-18/api/form/attachment/ae6dee88-4ab8-4be8-b525-476f8ceec769/1574236118275.jpg</v>
      </c>
      <c r="M72" s="2">
        <v>43789.325474537036</v>
      </c>
      <c r="N72" s="2">
        <v>43789.32271990741</v>
      </c>
      <c r="O72" t="s">
        <v>32</v>
      </c>
      <c r="P72" s="2">
        <v>43789.325671296298</v>
      </c>
      <c r="Q72" t="s">
        <v>197</v>
      </c>
      <c r="R72" t="s">
        <v>198</v>
      </c>
    </row>
    <row r="73" spans="1:18" x14ac:dyDescent="0.45">
      <c r="A73" t="s">
        <v>187</v>
      </c>
      <c r="B73" t="s">
        <v>20</v>
      </c>
      <c r="C73" s="1">
        <v>43789</v>
      </c>
      <c r="D73" s="1">
        <v>43827</v>
      </c>
      <c r="E73" t="s">
        <v>21</v>
      </c>
      <c r="F73">
        <v>3</v>
      </c>
      <c r="G73" t="str">
        <f>HYPERLINK("https://www.commcarehq.org/a/demo-18/api/form/attachment/ec7a9232-5180-4c13-b02e-43005d96d779/1574234406073.jpg")</f>
        <v>https://www.commcarehq.org/a/demo-18/api/form/attachment/ec7a9232-5180-4c13-b02e-43005d96d779/1574234406073.jpg</v>
      </c>
      <c r="H73" t="str">
        <f>HYPERLINK("https://www.commcarehq.org/a/demo-18/api/form/attachment/ec7a9232-5180-4c13-b02e-43005d96d779/1574234419828.jpg")</f>
        <v>https://www.commcarehq.org/a/demo-18/api/form/attachment/ec7a9232-5180-4c13-b02e-43005d96d779/1574234419828.jpg</v>
      </c>
      <c r="I73" t="str">
        <f>HYPERLINK("https://www.commcarehq.org/a/demo-18/api/form/attachment/ec7a9232-5180-4c13-b02e-43005d96d779/1574234478707.jpg")</f>
        <v>https://www.commcarehq.org/a/demo-18/api/form/attachment/ec7a9232-5180-4c13-b02e-43005d96d779/1574234478707.jpg</v>
      </c>
      <c r="J73" t="str">
        <f>HYPERLINK("https://www.commcarehq.org/a/demo-18/api/form/attachment/ec7a9232-5180-4c13-b02e-43005d96d779/1574234489375.jpg")</f>
        <v>https://www.commcarehq.org/a/demo-18/api/form/attachment/ec7a9232-5180-4c13-b02e-43005d96d779/1574234489375.jpg</v>
      </c>
      <c r="K73" t="str">
        <f>HYPERLINK("https://www.commcarehq.org/a/demo-18/api/form/attachment/ec7a9232-5180-4c13-b02e-43005d96d779/1574234507529.jpg")</f>
        <v>https://www.commcarehq.org/a/demo-18/api/form/attachment/ec7a9232-5180-4c13-b02e-43005d96d779/1574234507529.jpg</v>
      </c>
      <c r="L73" t="str">
        <f>HYPERLINK("https://www.commcarehq.org/a/demo-18/api/form/attachment/ec7a9232-5180-4c13-b02e-43005d96d779/1574234520816.jpg")</f>
        <v>https://www.commcarehq.org/a/demo-18/api/form/attachment/ec7a9232-5180-4c13-b02e-43005d96d779/1574234520816.jpg</v>
      </c>
      <c r="M73" s="2">
        <v>43789.307303240741</v>
      </c>
      <c r="N73" s="2">
        <v>43789.305092592593</v>
      </c>
      <c r="O73" t="s">
        <v>32</v>
      </c>
      <c r="P73" s="2">
        <v>43789.307511574072</v>
      </c>
      <c r="Q73" t="s">
        <v>188</v>
      </c>
      <c r="R73" t="s">
        <v>189</v>
      </c>
    </row>
    <row r="74" spans="1:18" x14ac:dyDescent="0.45">
      <c r="A74" t="s">
        <v>193</v>
      </c>
      <c r="B74" t="s">
        <v>20</v>
      </c>
      <c r="C74" s="1">
        <v>43789</v>
      </c>
      <c r="D74" s="1">
        <v>43827</v>
      </c>
      <c r="E74" t="s">
        <v>21</v>
      </c>
      <c r="F74">
        <v>3</v>
      </c>
      <c r="G74" t="str">
        <f>HYPERLINK("https://www.commcarehq.org/a/demo-18/api/form/attachment/59710c01-1a0b-4e18-9af3-6c7aa5dab3ca/1574239187320.jpg")</f>
        <v>https://www.commcarehq.org/a/demo-18/api/form/attachment/59710c01-1a0b-4e18-9af3-6c7aa5dab3ca/1574239187320.jpg</v>
      </c>
      <c r="H74" t="str">
        <f>HYPERLINK("https://www.commcarehq.org/a/demo-18/api/form/attachment/59710c01-1a0b-4e18-9af3-6c7aa5dab3ca/1574239211029.jpg")</f>
        <v>https://www.commcarehq.org/a/demo-18/api/form/attachment/59710c01-1a0b-4e18-9af3-6c7aa5dab3ca/1574239211029.jpg</v>
      </c>
      <c r="I74" t="str">
        <f>HYPERLINK("https://www.commcarehq.org/a/demo-18/api/form/attachment/59710c01-1a0b-4e18-9af3-6c7aa5dab3ca/1574239290885.jpg")</f>
        <v>https://www.commcarehq.org/a/demo-18/api/form/attachment/59710c01-1a0b-4e18-9af3-6c7aa5dab3ca/1574239290885.jpg</v>
      </c>
      <c r="J74" t="str">
        <f>HYPERLINK("https://www.commcarehq.org/a/demo-18/api/form/attachment/59710c01-1a0b-4e18-9af3-6c7aa5dab3ca/1574239301682.jpg")</f>
        <v>https://www.commcarehq.org/a/demo-18/api/form/attachment/59710c01-1a0b-4e18-9af3-6c7aa5dab3ca/1574239301682.jpg</v>
      </c>
      <c r="K74" t="str">
        <f>HYPERLINK("https://www.commcarehq.org/a/demo-18/api/form/attachment/59710c01-1a0b-4e18-9af3-6c7aa5dab3ca/1574239323798.jpg")</f>
        <v>https://www.commcarehq.org/a/demo-18/api/form/attachment/59710c01-1a0b-4e18-9af3-6c7aa5dab3ca/1574239323798.jpg</v>
      </c>
      <c r="L74" t="str">
        <f>HYPERLINK("https://www.commcarehq.org/a/demo-18/api/form/attachment/59710c01-1a0b-4e18-9af3-6c7aa5dab3ca/1574239337733.jpg")</f>
        <v>https://www.commcarehq.org/a/demo-18/api/form/attachment/59710c01-1a0b-4e18-9af3-6c7aa5dab3ca/1574239337733.jpg</v>
      </c>
      <c r="M74" s="2">
        <v>43789.362719907411</v>
      </c>
      <c r="N74" s="2">
        <v>43789.360648148147</v>
      </c>
      <c r="O74" t="s">
        <v>32</v>
      </c>
      <c r="P74" s="2">
        <v>43789.362916666665</v>
      </c>
      <c r="Q74" t="s">
        <v>194</v>
      </c>
      <c r="R74" t="s">
        <v>195</v>
      </c>
    </row>
    <row r="75" spans="1:18" x14ac:dyDescent="0.45">
      <c r="A75" t="s">
        <v>223</v>
      </c>
      <c r="B75" t="s">
        <v>20</v>
      </c>
      <c r="C75" s="1">
        <v>43794</v>
      </c>
      <c r="D75" s="1">
        <v>43832</v>
      </c>
      <c r="E75" t="s">
        <v>21</v>
      </c>
      <c r="F75">
        <v>3</v>
      </c>
      <c r="G75" t="str">
        <f>HYPERLINK("https://www.commcarehq.org/a/demo-18/api/form/attachment/f2fdcec5-ffa2-4370-bdb6-e69e5e691f2b/1574665091579.jpg")</f>
        <v>https://www.commcarehq.org/a/demo-18/api/form/attachment/f2fdcec5-ffa2-4370-bdb6-e69e5e691f2b/1574665091579.jpg</v>
      </c>
      <c r="H75" t="str">
        <f>HYPERLINK("https://www.commcarehq.org/a/demo-18/api/form/attachment/f2fdcec5-ffa2-4370-bdb6-e69e5e691f2b/1574665108326.jpg")</f>
        <v>https://www.commcarehq.org/a/demo-18/api/form/attachment/f2fdcec5-ffa2-4370-bdb6-e69e5e691f2b/1574665108326.jpg</v>
      </c>
      <c r="I75" t="str">
        <f>HYPERLINK("https://www.commcarehq.org/a/demo-18/api/form/attachment/f2fdcec5-ffa2-4370-bdb6-e69e5e691f2b/1574665257716.jpg")</f>
        <v>https://www.commcarehq.org/a/demo-18/api/form/attachment/f2fdcec5-ffa2-4370-bdb6-e69e5e691f2b/1574665257716.jpg</v>
      </c>
      <c r="J75" t="str">
        <f>HYPERLINK("https://www.commcarehq.org/a/demo-18/api/form/attachment/f2fdcec5-ffa2-4370-bdb6-e69e5e691f2b/1574665268767.jpg")</f>
        <v>https://www.commcarehq.org/a/demo-18/api/form/attachment/f2fdcec5-ffa2-4370-bdb6-e69e5e691f2b/1574665268767.jpg</v>
      </c>
      <c r="K75" t="str">
        <f>HYPERLINK("https://www.commcarehq.org/a/demo-18/api/form/attachment/f2fdcec5-ffa2-4370-bdb6-e69e5e691f2b/1574665293609.jpg")</f>
        <v>https://www.commcarehq.org/a/demo-18/api/form/attachment/f2fdcec5-ffa2-4370-bdb6-e69e5e691f2b/1574665293609.jpg</v>
      </c>
      <c r="L75" t="str">
        <f>HYPERLINK("https://www.commcarehq.org/a/demo-18/api/form/attachment/f2fdcec5-ffa2-4370-bdb6-e69e5e691f2b/1574665303619.jpg")</f>
        <v>https://www.commcarehq.org/a/demo-18/api/form/attachment/f2fdcec5-ffa2-4370-bdb6-e69e5e691f2b/1574665303619.jpg</v>
      </c>
      <c r="M75" s="2">
        <v>43794.292881944442</v>
      </c>
      <c r="N75" s="2">
        <v>43794.289814814816</v>
      </c>
      <c r="O75" t="s">
        <v>32</v>
      </c>
      <c r="P75" s="2">
        <v>43794.293206018519</v>
      </c>
      <c r="Q75" t="s">
        <v>224</v>
      </c>
      <c r="R75" t="s">
        <v>225</v>
      </c>
    </row>
    <row r="76" spans="1:18" x14ac:dyDescent="0.45">
      <c r="A76" t="s">
        <v>226</v>
      </c>
      <c r="B76" t="s">
        <v>20</v>
      </c>
      <c r="C76" s="1">
        <v>43794</v>
      </c>
      <c r="D76" s="1">
        <v>43832</v>
      </c>
      <c r="E76" t="s">
        <v>21</v>
      </c>
      <c r="F76">
        <v>3</v>
      </c>
      <c r="G76" t="str">
        <f>HYPERLINK("https://www.commcarehq.org/a/demo-18/api/form/attachment/634ca22d-c25b-4cd6-954a-d572b11cc6c2/1574665530061.jpg")</f>
        <v>https://www.commcarehq.org/a/demo-18/api/form/attachment/634ca22d-c25b-4cd6-954a-d572b11cc6c2/1574665530061.jpg</v>
      </c>
      <c r="H76" t="str">
        <f>HYPERLINK("https://www.commcarehq.org/a/demo-18/api/form/attachment/634ca22d-c25b-4cd6-954a-d572b11cc6c2/1574665551039.jpg")</f>
        <v>https://www.commcarehq.org/a/demo-18/api/form/attachment/634ca22d-c25b-4cd6-954a-d572b11cc6c2/1574665551039.jpg</v>
      </c>
      <c r="I76" t="str">
        <f>HYPERLINK("https://www.commcarehq.org/a/demo-18/api/form/attachment/634ca22d-c25b-4cd6-954a-d572b11cc6c2/1574665597685.jpg")</f>
        <v>https://www.commcarehq.org/a/demo-18/api/form/attachment/634ca22d-c25b-4cd6-954a-d572b11cc6c2/1574665597685.jpg</v>
      </c>
      <c r="J76" t="str">
        <f>HYPERLINK("https://www.commcarehq.org/a/demo-18/api/form/attachment/634ca22d-c25b-4cd6-954a-d572b11cc6c2/1574665607567.jpg")</f>
        <v>https://www.commcarehq.org/a/demo-18/api/form/attachment/634ca22d-c25b-4cd6-954a-d572b11cc6c2/1574665607567.jpg</v>
      </c>
      <c r="K76" t="str">
        <f>HYPERLINK("https://www.commcarehq.org/a/demo-18/api/form/attachment/634ca22d-c25b-4cd6-954a-d572b11cc6c2/1574665624636.jpg")</f>
        <v>https://www.commcarehq.org/a/demo-18/api/form/attachment/634ca22d-c25b-4cd6-954a-d572b11cc6c2/1574665624636.jpg</v>
      </c>
      <c r="L76" t="str">
        <f>HYPERLINK("https://www.commcarehq.org/a/demo-18/api/form/attachment/634ca22d-c25b-4cd6-954a-d572b11cc6c2/1574665634728.jpg")</f>
        <v>https://www.commcarehq.org/a/demo-18/api/form/attachment/634ca22d-c25b-4cd6-954a-d572b11cc6c2/1574665634728.jpg</v>
      </c>
      <c r="M76" s="2">
        <v>43794.296724537038</v>
      </c>
      <c r="N76" s="2">
        <v>43794.295173611114</v>
      </c>
      <c r="O76" t="s">
        <v>32</v>
      </c>
      <c r="P76" s="2">
        <v>43794.296932870369</v>
      </c>
      <c r="Q76" t="s">
        <v>227</v>
      </c>
      <c r="R76" s="3" t="s">
        <v>228</v>
      </c>
    </row>
    <row r="77" spans="1:18" x14ac:dyDescent="0.45">
      <c r="A77" t="s">
        <v>178</v>
      </c>
      <c r="B77" t="s">
        <v>20</v>
      </c>
      <c r="C77" s="1">
        <v>43790</v>
      </c>
      <c r="D77" s="1">
        <v>43828</v>
      </c>
      <c r="E77" t="s">
        <v>21</v>
      </c>
      <c r="F77">
        <v>3.4</v>
      </c>
      <c r="G77" t="str">
        <f>HYPERLINK("https://www.commcarehq.org/a/demo-18/api/form/attachment/b1fb78b2-5bf5-4ad5-a52d-a4dc82ab8ccc/1574325453221.jpg")</f>
        <v>https://www.commcarehq.org/a/demo-18/api/form/attachment/b1fb78b2-5bf5-4ad5-a52d-a4dc82ab8ccc/1574325453221.jpg</v>
      </c>
      <c r="H77" t="str">
        <f>HYPERLINK("https://www.commcarehq.org/a/demo-18/api/form/attachment/b1fb78b2-5bf5-4ad5-a52d-a4dc82ab8ccc/1574325468545.jpg")</f>
        <v>https://www.commcarehq.org/a/demo-18/api/form/attachment/b1fb78b2-5bf5-4ad5-a52d-a4dc82ab8ccc/1574325468545.jpg</v>
      </c>
      <c r="I77" t="str">
        <f>HYPERLINK("https://www.commcarehq.org/a/demo-18/api/form/attachment/b1fb78b2-5bf5-4ad5-a52d-a4dc82ab8ccc/1574325515209.jpg")</f>
        <v>https://www.commcarehq.org/a/demo-18/api/form/attachment/b1fb78b2-5bf5-4ad5-a52d-a4dc82ab8ccc/1574325515209.jpg</v>
      </c>
      <c r="J77" t="str">
        <f>HYPERLINK("https://www.commcarehq.org/a/demo-18/api/form/attachment/b1fb78b2-5bf5-4ad5-a52d-a4dc82ab8ccc/1574325526440.jpg")</f>
        <v>https://www.commcarehq.org/a/demo-18/api/form/attachment/b1fb78b2-5bf5-4ad5-a52d-a4dc82ab8ccc/1574325526440.jpg</v>
      </c>
      <c r="K77" t="str">
        <f>HYPERLINK("https://www.commcarehq.org/a/demo-18/api/form/attachment/b1fb78b2-5bf5-4ad5-a52d-a4dc82ab8ccc/1574325557541.jpg")</f>
        <v>https://www.commcarehq.org/a/demo-18/api/form/attachment/b1fb78b2-5bf5-4ad5-a52d-a4dc82ab8ccc/1574325557541.jpg</v>
      </c>
      <c r="L77" t="str">
        <f>HYPERLINK("https://www.commcarehq.org/a/demo-18/api/form/attachment/b1fb78b2-5bf5-4ad5-a52d-a4dc82ab8ccc/1574325567347.jpg")</f>
        <v>https://www.commcarehq.org/a/demo-18/api/form/attachment/b1fb78b2-5bf5-4ad5-a52d-a4dc82ab8ccc/1574325567347.jpg</v>
      </c>
      <c r="M77" s="2">
        <v>43790.36074074074</v>
      </c>
      <c r="N77" s="2">
        <v>43790.3590625</v>
      </c>
      <c r="O77" t="s">
        <v>32</v>
      </c>
      <c r="P77" s="2">
        <v>43790.364699074074</v>
      </c>
      <c r="Q77" t="s">
        <v>179</v>
      </c>
      <c r="R77" t="s">
        <v>180</v>
      </c>
    </row>
    <row r="78" spans="1:18" x14ac:dyDescent="0.45">
      <c r="A78" t="s">
        <v>181</v>
      </c>
      <c r="B78" t="s">
        <v>20</v>
      </c>
      <c r="C78" s="1">
        <v>43790</v>
      </c>
      <c r="D78" s="1">
        <v>43828</v>
      </c>
      <c r="E78" t="s">
        <v>21</v>
      </c>
      <c r="F78">
        <v>2.6</v>
      </c>
      <c r="G78" t="str">
        <f>HYPERLINK("https://www.commcarehq.org/a/demo-18/api/form/attachment/3ab1ddee-54de-48ac-bd62-18bc4eaaabe5/1574329746765.jpg")</f>
        <v>https://www.commcarehq.org/a/demo-18/api/form/attachment/3ab1ddee-54de-48ac-bd62-18bc4eaaabe5/1574329746765.jpg</v>
      </c>
      <c r="H78" t="str">
        <f>HYPERLINK("https://www.commcarehq.org/a/demo-18/api/form/attachment/3ab1ddee-54de-48ac-bd62-18bc4eaaabe5/1574329764009.jpg")</f>
        <v>https://www.commcarehq.org/a/demo-18/api/form/attachment/3ab1ddee-54de-48ac-bd62-18bc4eaaabe5/1574329764009.jpg</v>
      </c>
      <c r="I78" t="str">
        <f>HYPERLINK("https://www.commcarehq.org/a/demo-18/api/form/attachment/3ab1ddee-54de-48ac-bd62-18bc4eaaabe5/1574329822616.jpg")</f>
        <v>https://www.commcarehq.org/a/demo-18/api/form/attachment/3ab1ddee-54de-48ac-bd62-18bc4eaaabe5/1574329822616.jpg</v>
      </c>
      <c r="J78" t="str">
        <f>HYPERLINK("https://www.commcarehq.org/a/demo-18/api/form/attachment/3ab1ddee-54de-48ac-bd62-18bc4eaaabe5/1574329836793.jpg")</f>
        <v>https://www.commcarehq.org/a/demo-18/api/form/attachment/3ab1ddee-54de-48ac-bd62-18bc4eaaabe5/1574329836793.jpg</v>
      </c>
      <c r="K78" t="str">
        <f>HYPERLINK("https://www.commcarehq.org/a/demo-18/api/form/attachment/3ab1ddee-54de-48ac-bd62-18bc4eaaabe5/1574329852024.jpg")</f>
        <v>https://www.commcarehq.org/a/demo-18/api/form/attachment/3ab1ddee-54de-48ac-bd62-18bc4eaaabe5/1574329852024.jpg</v>
      </c>
      <c r="L78" t="str">
        <f>HYPERLINK("https://www.commcarehq.org/a/demo-18/api/form/attachment/3ab1ddee-54de-48ac-bd62-18bc4eaaabe5/1574329865862.jpg")</f>
        <v>https://www.commcarehq.org/a/demo-18/api/form/attachment/3ab1ddee-54de-48ac-bd62-18bc4eaaabe5/1574329865862.jpg</v>
      </c>
      <c r="M78" s="2">
        <v>43790.410497685189</v>
      </c>
      <c r="N78" s="2">
        <v>43790.408831018518</v>
      </c>
      <c r="O78" t="s">
        <v>32</v>
      </c>
      <c r="P78" s="2">
        <v>43790.462650462963</v>
      </c>
      <c r="Q78" t="s">
        <v>182</v>
      </c>
      <c r="R78" s="3" t="s">
        <v>183</v>
      </c>
    </row>
    <row r="79" spans="1:18" x14ac:dyDescent="0.45">
      <c r="A79" t="s">
        <v>184</v>
      </c>
      <c r="B79" t="s">
        <v>20</v>
      </c>
      <c r="C79" s="1">
        <v>43790</v>
      </c>
      <c r="D79" s="1">
        <v>43828</v>
      </c>
      <c r="E79" t="s">
        <v>21</v>
      </c>
      <c r="F79">
        <v>3</v>
      </c>
      <c r="G79" t="str">
        <f>HYPERLINK("https://www.commcarehq.org/a/demo-18/api/form/attachment/fa79a313-422b-4279-8d09-9dc5f8fabfd1/1574329221883.jpg")</f>
        <v>https://www.commcarehq.org/a/demo-18/api/form/attachment/fa79a313-422b-4279-8d09-9dc5f8fabfd1/1574329221883.jpg</v>
      </c>
      <c r="H79" t="str">
        <f>HYPERLINK("https://www.commcarehq.org/a/demo-18/api/form/attachment/fa79a313-422b-4279-8d09-9dc5f8fabfd1/1574329239111.jpg")</f>
        <v>https://www.commcarehq.org/a/demo-18/api/form/attachment/fa79a313-422b-4279-8d09-9dc5f8fabfd1/1574329239111.jpg</v>
      </c>
      <c r="I79" t="str">
        <f>HYPERLINK("https://www.commcarehq.org/a/demo-18/api/form/attachment/fa79a313-422b-4279-8d09-9dc5f8fabfd1/1574329289154.jpg")</f>
        <v>https://www.commcarehq.org/a/demo-18/api/form/attachment/fa79a313-422b-4279-8d09-9dc5f8fabfd1/1574329289154.jpg</v>
      </c>
      <c r="J79" t="str">
        <f>HYPERLINK("https://www.commcarehq.org/a/demo-18/api/form/attachment/fa79a313-422b-4279-8d09-9dc5f8fabfd1/1574329309361.jpg")</f>
        <v>https://www.commcarehq.org/a/demo-18/api/form/attachment/fa79a313-422b-4279-8d09-9dc5f8fabfd1/1574329309361.jpg</v>
      </c>
      <c r="K79" t="str">
        <f>HYPERLINK("https://www.commcarehq.org/a/demo-18/api/form/attachment/fa79a313-422b-4279-8d09-9dc5f8fabfd1/1574329392793.jpg")</f>
        <v>https://www.commcarehq.org/a/demo-18/api/form/attachment/fa79a313-422b-4279-8d09-9dc5f8fabfd1/1574329392793.jpg</v>
      </c>
      <c r="L79" t="str">
        <f>HYPERLINK("https://www.commcarehq.org/a/demo-18/api/form/attachment/fa79a313-422b-4279-8d09-9dc5f8fabfd1/1574329410473.jpg")</f>
        <v>https://www.commcarehq.org/a/demo-18/api/form/attachment/fa79a313-422b-4279-8d09-9dc5f8fabfd1/1574329410473.jpg</v>
      </c>
      <c r="M79" s="2">
        <v>43790.405243055553</v>
      </c>
      <c r="N79" s="2">
        <v>43790.402627314812</v>
      </c>
      <c r="O79" t="s">
        <v>32</v>
      </c>
      <c r="P79" s="2">
        <v>43790.462511574071</v>
      </c>
      <c r="Q79" t="s">
        <v>185</v>
      </c>
      <c r="R79" t="s">
        <v>186</v>
      </c>
    </row>
    <row r="80" spans="1:18" x14ac:dyDescent="0.45">
      <c r="A80" t="s">
        <v>235</v>
      </c>
      <c r="B80" t="s">
        <v>20</v>
      </c>
      <c r="C80" s="1">
        <v>43796</v>
      </c>
      <c r="D80" s="1">
        <v>43834</v>
      </c>
      <c r="E80" t="s">
        <v>21</v>
      </c>
      <c r="F80">
        <v>2.5</v>
      </c>
      <c r="G80" t="str">
        <f>HYPERLINK("https://www.commcarehq.org/a/demo-18/api/form/attachment/cfc99802-957a-4020-911b-46faaab09e78/1574838019630.jpg")</f>
        <v>https://www.commcarehq.org/a/demo-18/api/form/attachment/cfc99802-957a-4020-911b-46faaab09e78/1574838019630.jpg</v>
      </c>
      <c r="H80" t="str">
        <f>HYPERLINK("https://www.commcarehq.org/a/demo-18/api/form/attachment/cfc99802-957a-4020-911b-46faaab09e78/1574838037024.jpg")</f>
        <v>https://www.commcarehq.org/a/demo-18/api/form/attachment/cfc99802-957a-4020-911b-46faaab09e78/1574838037024.jpg</v>
      </c>
      <c r="I80" t="str">
        <f>HYPERLINK("https://www.commcarehq.org/a/demo-18/api/form/attachment/cfc99802-957a-4020-911b-46faaab09e78/1574838110588.jpg")</f>
        <v>https://www.commcarehq.org/a/demo-18/api/form/attachment/cfc99802-957a-4020-911b-46faaab09e78/1574838110588.jpg</v>
      </c>
      <c r="J80" t="str">
        <f>HYPERLINK("https://www.commcarehq.org/a/demo-18/api/form/attachment/cfc99802-957a-4020-911b-46faaab09e78/1574838120293.jpg")</f>
        <v>https://www.commcarehq.org/a/demo-18/api/form/attachment/cfc99802-957a-4020-911b-46faaab09e78/1574838120293.jpg</v>
      </c>
      <c r="K80" t="str">
        <f>HYPERLINK("https://www.commcarehq.org/a/demo-18/api/form/attachment/cfc99802-957a-4020-911b-46faaab09e78/1574838153086.jpg")</f>
        <v>https://www.commcarehq.org/a/demo-18/api/form/attachment/cfc99802-957a-4020-911b-46faaab09e78/1574838153086.jpg</v>
      </c>
      <c r="L80" t="str">
        <f>HYPERLINK("https://www.commcarehq.org/a/demo-18/api/form/attachment/cfc99802-957a-4020-911b-46faaab09e78/1574838162654.jpg")</f>
        <v>https://www.commcarehq.org/a/demo-18/api/form/attachment/cfc99802-957a-4020-911b-46faaab09e78/1574838162654.jpg</v>
      </c>
      <c r="M80" s="2">
        <v>43796.293564814812</v>
      </c>
      <c r="N80" s="2">
        <v>43796.291365740741</v>
      </c>
      <c r="O80" t="s">
        <v>32</v>
      </c>
      <c r="P80" s="2">
        <v>43796.381655092591</v>
      </c>
      <c r="Q80" t="s">
        <v>236</v>
      </c>
      <c r="R80" t="s">
        <v>237</v>
      </c>
    </row>
    <row r="81" spans="1:18" x14ac:dyDescent="0.45">
      <c r="A81" t="s">
        <v>199</v>
      </c>
      <c r="B81" t="s">
        <v>20</v>
      </c>
      <c r="C81" s="1">
        <v>43775</v>
      </c>
      <c r="D81" s="1">
        <v>43813</v>
      </c>
      <c r="E81" t="s">
        <v>21</v>
      </c>
      <c r="F81">
        <v>3.3</v>
      </c>
      <c r="G81" t="str">
        <f>HYPERLINK("https://www.commcarehq.org/a/demo-18/api/form/attachment/5ee3944e-d41c-4d98-8555-68a3cd0d1016/1573027495903.jpg")</f>
        <v>https://www.commcarehq.org/a/demo-18/api/form/attachment/5ee3944e-d41c-4d98-8555-68a3cd0d1016/1573027495903.jpg</v>
      </c>
      <c r="H81" t="str">
        <f>HYPERLINK("https://www.commcarehq.org/a/demo-18/api/form/attachment/5ee3944e-d41c-4d98-8555-68a3cd0d1016/1573027520064.jpg")</f>
        <v>https://www.commcarehq.org/a/demo-18/api/form/attachment/5ee3944e-d41c-4d98-8555-68a3cd0d1016/1573027520064.jpg</v>
      </c>
      <c r="I81" t="str">
        <f>HYPERLINK("https://www.commcarehq.org/a/demo-18/api/form/attachment/5ee3944e-d41c-4d98-8555-68a3cd0d1016/1573027651862.jpg")</f>
        <v>https://www.commcarehq.org/a/demo-18/api/form/attachment/5ee3944e-d41c-4d98-8555-68a3cd0d1016/1573027651862.jpg</v>
      </c>
      <c r="J81" t="str">
        <f>HYPERLINK("https://www.commcarehq.org/a/demo-18/api/form/attachment/5ee3944e-d41c-4d98-8555-68a3cd0d1016/1573027664192.jpg")</f>
        <v>https://www.commcarehq.org/a/demo-18/api/form/attachment/5ee3944e-d41c-4d98-8555-68a3cd0d1016/1573027664192.jpg</v>
      </c>
      <c r="K81" t="str">
        <f>HYPERLINK("https://www.commcarehq.org/a/demo-18/api/form/attachment/5ee3944e-d41c-4d98-8555-68a3cd0d1016/1573027716845.jpg")</f>
        <v>https://www.commcarehq.org/a/demo-18/api/form/attachment/5ee3944e-d41c-4d98-8555-68a3cd0d1016/1573027716845.jpg</v>
      </c>
      <c r="L81" t="str">
        <f>HYPERLINK("https://www.commcarehq.org/a/demo-18/api/form/attachment/5ee3944e-d41c-4d98-8555-68a3cd0d1016/1573027728577.jpg")</f>
        <v>https://www.commcarehq.org/a/demo-18/api/form/attachment/5ee3944e-d41c-4d98-8555-68a3cd0d1016/1573027728577.jpg</v>
      </c>
      <c r="M81" s="2">
        <v>43775.339560185188</v>
      </c>
      <c r="N81" s="2">
        <v>43775.336412037039</v>
      </c>
      <c r="O81" t="s">
        <v>32</v>
      </c>
      <c r="P81" s="2">
        <v>43775.393275462964</v>
      </c>
      <c r="Q81" t="s">
        <v>200</v>
      </c>
      <c r="R81" t="s">
        <v>201</v>
      </c>
    </row>
    <row r="82" spans="1:18" x14ac:dyDescent="0.45">
      <c r="A82" t="s">
        <v>220</v>
      </c>
      <c r="B82" t="s">
        <v>20</v>
      </c>
      <c r="C82" s="1">
        <v>43777</v>
      </c>
      <c r="D82" s="1">
        <v>43815</v>
      </c>
      <c r="E82" t="s">
        <v>21</v>
      </c>
      <c r="F82">
        <v>3</v>
      </c>
      <c r="G82" t="str">
        <f>HYPERLINK("https://www.commcarehq.org/a/demo-18/api/form/attachment/fc32c3a1-6398-41ed-9afb-3007f0b32bcb/1573201558012.jpg")</f>
        <v>https://www.commcarehq.org/a/demo-18/api/form/attachment/fc32c3a1-6398-41ed-9afb-3007f0b32bcb/1573201558012.jpg</v>
      </c>
      <c r="H82" t="str">
        <f>HYPERLINK("https://www.commcarehq.org/a/demo-18/api/form/attachment/fc32c3a1-6398-41ed-9afb-3007f0b32bcb/1573201589140.jpg")</f>
        <v>https://www.commcarehq.org/a/demo-18/api/form/attachment/fc32c3a1-6398-41ed-9afb-3007f0b32bcb/1573201589140.jpg</v>
      </c>
      <c r="I82" t="str">
        <f>HYPERLINK("https://www.commcarehq.org/a/demo-18/api/form/attachment/fc32c3a1-6398-41ed-9afb-3007f0b32bcb/1573201641076.jpg")</f>
        <v>https://www.commcarehq.org/a/demo-18/api/form/attachment/fc32c3a1-6398-41ed-9afb-3007f0b32bcb/1573201641076.jpg</v>
      </c>
      <c r="J82" t="str">
        <f>HYPERLINK("https://www.commcarehq.org/a/demo-18/api/form/attachment/fc32c3a1-6398-41ed-9afb-3007f0b32bcb/1573201654287.jpg")</f>
        <v>https://www.commcarehq.org/a/demo-18/api/form/attachment/fc32c3a1-6398-41ed-9afb-3007f0b32bcb/1573201654287.jpg</v>
      </c>
      <c r="K82" t="str">
        <f>HYPERLINK("https://www.commcarehq.org/a/demo-18/api/form/attachment/fc32c3a1-6398-41ed-9afb-3007f0b32bcb/1573201680355.jpg")</f>
        <v>https://www.commcarehq.org/a/demo-18/api/form/attachment/fc32c3a1-6398-41ed-9afb-3007f0b32bcb/1573201680355.jpg</v>
      </c>
      <c r="L82" t="str">
        <f>HYPERLINK("https://www.commcarehq.org/a/demo-18/api/form/attachment/fc32c3a1-6398-41ed-9afb-3007f0b32bcb/1573201696534.jpg")</f>
        <v>https://www.commcarehq.org/a/demo-18/api/form/attachment/fc32c3a1-6398-41ed-9afb-3007f0b32bcb/1573201696534.jpg</v>
      </c>
      <c r="M82" s="2">
        <v>43777.352986111109</v>
      </c>
      <c r="N82" s="2">
        <v>43777.350347222222</v>
      </c>
      <c r="O82" t="s">
        <v>22</v>
      </c>
      <c r="P82" s="2">
        <v>43777.628472222219</v>
      </c>
      <c r="Q82" t="s">
        <v>221</v>
      </c>
      <c r="R82" t="s">
        <v>222</v>
      </c>
    </row>
    <row r="83" spans="1:18" x14ac:dyDescent="0.45">
      <c r="A83" t="s">
        <v>265</v>
      </c>
      <c r="B83" t="s">
        <v>20</v>
      </c>
      <c r="C83" s="1">
        <v>43775</v>
      </c>
      <c r="D83" s="1">
        <v>43813</v>
      </c>
      <c r="E83" t="s">
        <v>21</v>
      </c>
      <c r="F83">
        <v>3.2</v>
      </c>
      <c r="G83" t="str">
        <f>HYPERLINK("https://www.commcarehq.org/a/demo-18/api/form/attachment/4da54726-17cd-4e17-8ba6-17a984730fac/1573025678477.jpg")</f>
        <v>https://www.commcarehq.org/a/demo-18/api/form/attachment/4da54726-17cd-4e17-8ba6-17a984730fac/1573025678477.jpg</v>
      </c>
      <c r="H83" t="str">
        <f>HYPERLINK("https://www.commcarehq.org/a/demo-18/api/form/attachment/4da54726-17cd-4e17-8ba6-17a984730fac/1573025706834.jpg")</f>
        <v>https://www.commcarehq.org/a/demo-18/api/form/attachment/4da54726-17cd-4e17-8ba6-17a984730fac/1573025706834.jpg</v>
      </c>
      <c r="I83" t="str">
        <f>HYPERLINK("https://www.commcarehq.org/a/demo-18/api/form/attachment/4da54726-17cd-4e17-8ba6-17a984730fac/1573025806390.jpg")</f>
        <v>https://www.commcarehq.org/a/demo-18/api/form/attachment/4da54726-17cd-4e17-8ba6-17a984730fac/1573025806390.jpg</v>
      </c>
      <c r="J83" t="str">
        <f>HYPERLINK("https://www.commcarehq.org/a/demo-18/api/form/attachment/4da54726-17cd-4e17-8ba6-17a984730fac/1573025823612.jpg")</f>
        <v>https://www.commcarehq.org/a/demo-18/api/form/attachment/4da54726-17cd-4e17-8ba6-17a984730fac/1573025823612.jpg</v>
      </c>
      <c r="K83" t="str">
        <f>HYPERLINK("https://www.commcarehq.org/a/demo-18/api/form/attachment/4da54726-17cd-4e17-8ba6-17a984730fac/1573025849501.jpg")</f>
        <v>https://www.commcarehq.org/a/demo-18/api/form/attachment/4da54726-17cd-4e17-8ba6-17a984730fac/1573025849501.jpg</v>
      </c>
      <c r="L83" t="str">
        <f>HYPERLINK("https://www.commcarehq.org/a/demo-18/api/form/attachment/4da54726-17cd-4e17-8ba6-17a984730fac/1573025878971.jpg")</f>
        <v>https://www.commcarehq.org/a/demo-18/api/form/attachment/4da54726-17cd-4e17-8ba6-17a984730fac/1573025878971.jpg</v>
      </c>
      <c r="M83" s="2">
        <v>43775.318310185183</v>
      </c>
      <c r="N83" s="2">
        <v>43775.314988425926</v>
      </c>
      <c r="O83" t="s">
        <v>22</v>
      </c>
      <c r="P83" s="2">
        <v>43775.327627314815</v>
      </c>
      <c r="Q83" t="s">
        <v>266</v>
      </c>
      <c r="R83" t="s">
        <v>267</v>
      </c>
    </row>
    <row r="84" spans="1:18" x14ac:dyDescent="0.45">
      <c r="A84" t="s">
        <v>268</v>
      </c>
      <c r="B84" t="s">
        <v>20</v>
      </c>
      <c r="C84" s="1">
        <v>43782</v>
      </c>
      <c r="D84" s="1">
        <v>43820</v>
      </c>
      <c r="E84" t="s">
        <v>21</v>
      </c>
      <c r="F84">
        <v>2.8</v>
      </c>
      <c r="G84" t="str">
        <f>HYPERLINK("https://www.commcarehq.org/a/demo-18/api/form/attachment/3939841e-594a-4133-a472-9c14f729589c/1573627855782.jpg")</f>
        <v>https://www.commcarehq.org/a/demo-18/api/form/attachment/3939841e-594a-4133-a472-9c14f729589c/1573627855782.jpg</v>
      </c>
      <c r="H84" t="str">
        <f>HYPERLINK("https://www.commcarehq.org/a/demo-18/api/form/attachment/3939841e-594a-4133-a472-9c14f729589c/1573627866767.jpg")</f>
        <v>https://www.commcarehq.org/a/demo-18/api/form/attachment/3939841e-594a-4133-a472-9c14f729589c/1573627866767.jpg</v>
      </c>
      <c r="I84" t="str">
        <f>HYPERLINK("https://www.commcarehq.org/a/demo-18/api/form/attachment/3939841e-594a-4133-a472-9c14f729589c/1573627947233.jpg")</f>
        <v>https://www.commcarehq.org/a/demo-18/api/form/attachment/3939841e-594a-4133-a472-9c14f729589c/1573627947233.jpg</v>
      </c>
      <c r="J84" t="str">
        <f>HYPERLINK("https://www.commcarehq.org/a/demo-18/api/form/attachment/3939841e-594a-4133-a472-9c14f729589c/1573627960503.jpg")</f>
        <v>https://www.commcarehq.org/a/demo-18/api/form/attachment/3939841e-594a-4133-a472-9c14f729589c/1573627960503.jpg</v>
      </c>
      <c r="K84" t="str">
        <f>HYPERLINK("https://www.commcarehq.org/a/demo-18/api/form/attachment/3939841e-594a-4133-a472-9c14f729589c/1573627981956.jpg")</f>
        <v>https://www.commcarehq.org/a/demo-18/api/form/attachment/3939841e-594a-4133-a472-9c14f729589c/1573627981956.jpg</v>
      </c>
      <c r="L84" t="str">
        <f>HYPERLINK("https://www.commcarehq.org/a/demo-18/api/form/attachment/3939841e-594a-4133-a472-9c14f729589c/1573627996631.jpg")</f>
        <v>https://www.commcarehq.org/a/demo-18/api/form/attachment/3939841e-594a-4133-a472-9c14f729589c/1573627996631.jpg</v>
      </c>
      <c r="M84" s="2">
        <v>43782.28701388889</v>
      </c>
      <c r="N84" s="2">
        <v>43782.284791666665</v>
      </c>
      <c r="O84" t="s">
        <v>32</v>
      </c>
      <c r="P84" s="2">
        <v>43782.37939814815</v>
      </c>
      <c r="Q84" t="s">
        <v>269</v>
      </c>
      <c r="R84" s="3" t="s">
        <v>270</v>
      </c>
    </row>
    <row r="85" spans="1:18" x14ac:dyDescent="0.45">
      <c r="A85" t="s">
        <v>271</v>
      </c>
      <c r="B85" t="s">
        <v>20</v>
      </c>
      <c r="C85" s="1">
        <v>43783</v>
      </c>
      <c r="D85" s="1">
        <v>43821</v>
      </c>
      <c r="E85" t="s">
        <v>21</v>
      </c>
      <c r="F85">
        <v>3</v>
      </c>
      <c r="G85" t="str">
        <f>HYPERLINK("https://www.commcarehq.org/a/demo-18/api/form/attachment/1f33c872-65d7-454d-ba6d-6e05c4408de4/1573716878975.jpg")</f>
        <v>https://www.commcarehq.org/a/demo-18/api/form/attachment/1f33c872-65d7-454d-ba6d-6e05c4408de4/1573716878975.jpg</v>
      </c>
      <c r="H85" t="str">
        <f>HYPERLINK("https://www.commcarehq.org/a/demo-18/api/form/attachment/1f33c872-65d7-454d-ba6d-6e05c4408de4/1573716899332.jpg")</f>
        <v>https://www.commcarehq.org/a/demo-18/api/form/attachment/1f33c872-65d7-454d-ba6d-6e05c4408de4/1573716899332.jpg</v>
      </c>
      <c r="I85" t="str">
        <f>HYPERLINK("https://www.commcarehq.org/a/demo-18/api/form/attachment/1f33c872-65d7-454d-ba6d-6e05c4408de4/1573716952657.jpg")</f>
        <v>https://www.commcarehq.org/a/demo-18/api/form/attachment/1f33c872-65d7-454d-ba6d-6e05c4408de4/1573716952657.jpg</v>
      </c>
      <c r="J85" t="str">
        <f>HYPERLINK("https://www.commcarehq.org/a/demo-18/api/form/attachment/1f33c872-65d7-454d-ba6d-6e05c4408de4/1573716964585.jpg")</f>
        <v>https://www.commcarehq.org/a/demo-18/api/form/attachment/1f33c872-65d7-454d-ba6d-6e05c4408de4/1573716964585.jpg</v>
      </c>
      <c r="K85" t="str">
        <f>HYPERLINK("https://www.commcarehq.org/a/demo-18/api/form/attachment/1f33c872-65d7-454d-ba6d-6e05c4408de4/1573717002302.jpg")</f>
        <v>https://www.commcarehq.org/a/demo-18/api/form/attachment/1f33c872-65d7-454d-ba6d-6e05c4408de4/1573717002302.jpg</v>
      </c>
      <c r="L85" t="str">
        <f>HYPERLINK("https://www.commcarehq.org/a/demo-18/api/form/attachment/1f33c872-65d7-454d-ba6d-6e05c4408de4/1573717018144.jpg")</f>
        <v>https://www.commcarehq.org/a/demo-18/api/form/attachment/1f33c872-65d7-454d-ba6d-6e05c4408de4/1573717018144.jpg</v>
      </c>
      <c r="M85" s="2">
        <v>43783.317361111112</v>
      </c>
      <c r="N85" s="2">
        <v>43783.315057870372</v>
      </c>
      <c r="O85" t="s">
        <v>32</v>
      </c>
      <c r="P85" s="2">
        <v>43783.317569444444</v>
      </c>
      <c r="Q85" t="s">
        <v>272</v>
      </c>
      <c r="R85" t="s">
        <v>273</v>
      </c>
    </row>
    <row r="86" spans="1:18" x14ac:dyDescent="0.45">
      <c r="A86" t="s">
        <v>274</v>
      </c>
      <c r="B86" t="s">
        <v>20</v>
      </c>
      <c r="C86" s="1">
        <v>43777</v>
      </c>
      <c r="D86" s="1">
        <v>43815</v>
      </c>
      <c r="E86" t="s">
        <v>21</v>
      </c>
      <c r="F86">
        <v>3.1</v>
      </c>
      <c r="G86" t="str">
        <f>HYPERLINK("https://www.commcarehq.org/a/demo-18/api/form/attachment/e464438a-bda1-44d8-9cb9-6aff7c3b8499/1573196354398.jpg")</f>
        <v>https://www.commcarehq.org/a/demo-18/api/form/attachment/e464438a-bda1-44d8-9cb9-6aff7c3b8499/1573196354398.jpg</v>
      </c>
      <c r="H86" t="str">
        <f>HYPERLINK("https://www.commcarehq.org/a/demo-18/api/form/attachment/e464438a-bda1-44d8-9cb9-6aff7c3b8499/1573196374818.jpg")</f>
        <v>https://www.commcarehq.org/a/demo-18/api/form/attachment/e464438a-bda1-44d8-9cb9-6aff7c3b8499/1573196374818.jpg</v>
      </c>
      <c r="I86" t="str">
        <f>HYPERLINK("https://www.commcarehq.org/a/demo-18/api/form/attachment/e464438a-bda1-44d8-9cb9-6aff7c3b8499/1573196438588.jpg")</f>
        <v>https://www.commcarehq.org/a/demo-18/api/form/attachment/e464438a-bda1-44d8-9cb9-6aff7c3b8499/1573196438588.jpg</v>
      </c>
      <c r="J86" t="str">
        <f>HYPERLINK("https://www.commcarehq.org/a/demo-18/api/form/attachment/e464438a-bda1-44d8-9cb9-6aff7c3b8499/1573196452800.jpg")</f>
        <v>https://www.commcarehq.org/a/demo-18/api/form/attachment/e464438a-bda1-44d8-9cb9-6aff7c3b8499/1573196452800.jpg</v>
      </c>
      <c r="K86" t="str">
        <f>HYPERLINK("https://www.commcarehq.org/a/demo-18/api/form/attachment/e464438a-bda1-44d8-9cb9-6aff7c3b8499/1573196543900.jpg")</f>
        <v>https://www.commcarehq.org/a/demo-18/api/form/attachment/e464438a-bda1-44d8-9cb9-6aff7c3b8499/1573196543900.jpg</v>
      </c>
      <c r="L86" t="str">
        <f>HYPERLINK("https://www.commcarehq.org/a/demo-18/api/form/attachment/e464438a-bda1-44d8-9cb9-6aff7c3b8499/1573196556347.jpg")</f>
        <v>https://www.commcarehq.org/a/demo-18/api/form/attachment/e464438a-bda1-44d8-9cb9-6aff7c3b8499/1573196556347.jpg</v>
      </c>
      <c r="M86" s="2">
        <v>43777.293645833335</v>
      </c>
      <c r="N86" s="2">
        <v>43777.290798611109</v>
      </c>
      <c r="O86" t="s">
        <v>22</v>
      </c>
      <c r="P86" s="2">
        <v>43777.627199074072</v>
      </c>
      <c r="Q86" t="s">
        <v>275</v>
      </c>
      <c r="R86" t="s">
        <v>276</v>
      </c>
    </row>
    <row r="87" spans="1:18" x14ac:dyDescent="0.45">
      <c r="A87" t="s">
        <v>277</v>
      </c>
      <c r="B87" t="s">
        <v>20</v>
      </c>
      <c r="C87" s="1">
        <v>43777</v>
      </c>
      <c r="D87" s="1">
        <v>43815</v>
      </c>
      <c r="E87" t="s">
        <v>21</v>
      </c>
      <c r="F87">
        <v>3.5</v>
      </c>
      <c r="G87" t="str">
        <f>HYPERLINK("https://www.commcarehq.org/a/demo-18/api/form/attachment/e4105f62-c0aa-426f-9fd2-611657db052d/1573199141567.jpg")</f>
        <v>https://www.commcarehq.org/a/demo-18/api/form/attachment/e4105f62-c0aa-426f-9fd2-611657db052d/1573199141567.jpg</v>
      </c>
      <c r="H87" t="str">
        <f>HYPERLINK("https://www.commcarehq.org/a/demo-18/api/form/attachment/e4105f62-c0aa-426f-9fd2-611657db052d/1573199163971.jpg")</f>
        <v>https://www.commcarehq.org/a/demo-18/api/form/attachment/e4105f62-c0aa-426f-9fd2-611657db052d/1573199163971.jpg</v>
      </c>
      <c r="I87" t="str">
        <f>HYPERLINK("https://www.commcarehq.org/a/demo-18/api/form/attachment/e4105f62-c0aa-426f-9fd2-611657db052d/1573199237808.jpg")</f>
        <v>https://www.commcarehq.org/a/demo-18/api/form/attachment/e4105f62-c0aa-426f-9fd2-611657db052d/1573199237808.jpg</v>
      </c>
      <c r="J87" t="str">
        <f>HYPERLINK("https://www.commcarehq.org/a/demo-18/api/form/attachment/e4105f62-c0aa-426f-9fd2-611657db052d/1573199251271.jpg")</f>
        <v>https://www.commcarehq.org/a/demo-18/api/form/attachment/e4105f62-c0aa-426f-9fd2-611657db052d/1573199251271.jpg</v>
      </c>
      <c r="K87" t="str">
        <f>HYPERLINK("https://www.commcarehq.org/a/demo-18/api/form/attachment/e4105f62-c0aa-426f-9fd2-611657db052d/1573199279723.jpg")</f>
        <v>https://www.commcarehq.org/a/demo-18/api/form/attachment/e4105f62-c0aa-426f-9fd2-611657db052d/1573199279723.jpg</v>
      </c>
      <c r="L87" t="str">
        <f>HYPERLINK("https://www.commcarehq.org/a/demo-18/api/form/attachment/e4105f62-c0aa-426f-9fd2-611657db052d/1573199293313.jpg")</f>
        <v>https://www.commcarehq.org/a/demo-18/api/form/attachment/e4105f62-c0aa-426f-9fd2-611657db052d/1573199293313.jpg</v>
      </c>
      <c r="M87" s="2">
        <v>43777.325185185182</v>
      </c>
      <c r="N87" s="2">
        <v>43777.322557870371</v>
      </c>
      <c r="O87" t="s">
        <v>22</v>
      </c>
      <c r="P87" s="2">
        <v>43777.627743055556</v>
      </c>
      <c r="Q87" t="s">
        <v>278</v>
      </c>
      <c r="R87" t="s">
        <v>279</v>
      </c>
    </row>
    <row r="88" spans="1:18" x14ac:dyDescent="0.45">
      <c r="A88" t="s">
        <v>310</v>
      </c>
      <c r="B88" t="s">
        <v>20</v>
      </c>
      <c r="C88" s="1">
        <v>43805</v>
      </c>
      <c r="D88" s="1">
        <v>43843</v>
      </c>
      <c r="E88" t="s">
        <v>21</v>
      </c>
      <c r="F88">
        <v>2.6</v>
      </c>
      <c r="G88" t="str">
        <f>HYPERLINK("https://www.commcarehq.org/a/demo-18/api/form/attachment/769d7330-1dda-429f-bcb7-b1b6bfd98fa7/1575618245034.jpg")</f>
        <v>https://www.commcarehq.org/a/demo-18/api/form/attachment/769d7330-1dda-429f-bcb7-b1b6bfd98fa7/1575618245034.jpg</v>
      </c>
      <c r="H88" t="str">
        <f>HYPERLINK("https://www.commcarehq.org/a/demo-18/api/form/attachment/769d7330-1dda-429f-bcb7-b1b6bfd98fa7/1575618259657.jpg")</f>
        <v>https://www.commcarehq.org/a/demo-18/api/form/attachment/769d7330-1dda-429f-bcb7-b1b6bfd98fa7/1575618259657.jpg</v>
      </c>
      <c r="I88" t="str">
        <f>HYPERLINK("https://www.commcarehq.org/a/demo-18/api/form/attachment/769d7330-1dda-429f-bcb7-b1b6bfd98fa7/1575618302769.jpg")</f>
        <v>https://www.commcarehq.org/a/demo-18/api/form/attachment/769d7330-1dda-429f-bcb7-b1b6bfd98fa7/1575618302769.jpg</v>
      </c>
      <c r="J88" t="str">
        <f>HYPERLINK("https://www.commcarehq.org/a/demo-18/api/form/attachment/769d7330-1dda-429f-bcb7-b1b6bfd98fa7/1575618311164.jpg")</f>
        <v>https://www.commcarehq.org/a/demo-18/api/form/attachment/769d7330-1dda-429f-bcb7-b1b6bfd98fa7/1575618311164.jpg</v>
      </c>
      <c r="K88" t="str">
        <f>HYPERLINK("https://www.commcarehq.org/a/demo-18/api/form/attachment/769d7330-1dda-429f-bcb7-b1b6bfd98fa7/1575618328266.jpg")</f>
        <v>https://www.commcarehq.org/a/demo-18/api/form/attachment/769d7330-1dda-429f-bcb7-b1b6bfd98fa7/1575618328266.jpg</v>
      </c>
      <c r="L88" t="str">
        <f>HYPERLINK("https://www.commcarehq.org/a/demo-18/api/form/attachment/769d7330-1dda-429f-bcb7-b1b6bfd98fa7/1575618341145.jpg")</f>
        <v>https://www.commcarehq.org/a/demo-18/api/form/attachment/769d7330-1dda-429f-bcb7-b1b6bfd98fa7/1575618341145.jpg</v>
      </c>
      <c r="M88" s="2">
        <v>43805.32340277778</v>
      </c>
      <c r="N88" s="2">
        <v>43805.322013888886</v>
      </c>
      <c r="O88" t="s">
        <v>32</v>
      </c>
      <c r="P88" s="2">
        <v>43805.323599537034</v>
      </c>
      <c r="Q88" t="s">
        <v>311</v>
      </c>
      <c r="R88" t="s">
        <v>312</v>
      </c>
    </row>
    <row r="89" spans="1:18" x14ac:dyDescent="0.45">
      <c r="A89" t="s">
        <v>313</v>
      </c>
      <c r="B89" t="s">
        <v>20</v>
      </c>
      <c r="C89" s="1">
        <v>43804</v>
      </c>
      <c r="D89" s="1">
        <v>43842</v>
      </c>
      <c r="E89" t="s">
        <v>21</v>
      </c>
      <c r="F89">
        <v>3.1</v>
      </c>
      <c r="G89" t="str">
        <f>HYPERLINK("https://www.commcarehq.org/a/demo-18/api/form/attachment/d140587d-8b3d-4a0e-8224-d9bc64349646/1575531241434.jpg")</f>
        <v>https://www.commcarehq.org/a/demo-18/api/form/attachment/d140587d-8b3d-4a0e-8224-d9bc64349646/1575531241434.jpg</v>
      </c>
      <c r="H89" t="str">
        <f>HYPERLINK("https://www.commcarehq.org/a/demo-18/api/form/attachment/d140587d-8b3d-4a0e-8224-d9bc64349646/1575531273728.jpg")</f>
        <v>https://www.commcarehq.org/a/demo-18/api/form/attachment/d140587d-8b3d-4a0e-8224-d9bc64349646/1575531273728.jpg</v>
      </c>
      <c r="I89" t="str">
        <f>HYPERLINK("https://www.commcarehq.org/a/demo-18/api/form/attachment/d140587d-8b3d-4a0e-8224-d9bc64349646/1575531345456.jpg")</f>
        <v>https://www.commcarehq.org/a/demo-18/api/form/attachment/d140587d-8b3d-4a0e-8224-d9bc64349646/1575531345456.jpg</v>
      </c>
      <c r="J89" t="str">
        <f>HYPERLINK("https://www.commcarehq.org/a/demo-18/api/form/attachment/d140587d-8b3d-4a0e-8224-d9bc64349646/1575531355158.jpg")</f>
        <v>https://www.commcarehq.org/a/demo-18/api/form/attachment/d140587d-8b3d-4a0e-8224-d9bc64349646/1575531355158.jpg</v>
      </c>
      <c r="K89" t="str">
        <f>HYPERLINK("https://www.commcarehq.org/a/demo-18/api/form/attachment/d140587d-8b3d-4a0e-8224-d9bc64349646/1575531371913.jpg")</f>
        <v>https://www.commcarehq.org/a/demo-18/api/form/attachment/d140587d-8b3d-4a0e-8224-d9bc64349646/1575531371913.jpg</v>
      </c>
      <c r="L89" t="str">
        <f>HYPERLINK("https://www.commcarehq.org/a/demo-18/api/form/attachment/d140587d-8b3d-4a0e-8224-d9bc64349646/1575531397865.jpg")</f>
        <v>https://www.commcarehq.org/a/demo-18/api/form/attachment/d140587d-8b3d-4a0e-8224-d9bc64349646/1575531397865.jpg</v>
      </c>
      <c r="M89" s="2">
        <v>43804.317118055558</v>
      </c>
      <c r="N89" s="2">
        <v>43804.314849537041</v>
      </c>
      <c r="O89" t="s">
        <v>32</v>
      </c>
      <c r="P89" s="2">
        <v>43804.406388888892</v>
      </c>
      <c r="Q89" t="s">
        <v>314</v>
      </c>
      <c r="R89" t="s">
        <v>315</v>
      </c>
    </row>
    <row r="90" spans="1:18" x14ac:dyDescent="0.45">
      <c r="A90" t="s">
        <v>316</v>
      </c>
      <c r="B90" t="s">
        <v>20</v>
      </c>
      <c r="C90" s="1">
        <v>43808</v>
      </c>
      <c r="D90" s="1">
        <v>43846</v>
      </c>
      <c r="E90" t="s">
        <v>21</v>
      </c>
      <c r="F90">
        <v>3.2</v>
      </c>
      <c r="G90" t="str">
        <f>HYPERLINK("https://www.commcarehq.org/a/demo-18/api/form/attachment/b7abc63c-4218-4b3a-b4aa-f83de2321592/1575874692293.jpg")</f>
        <v>https://www.commcarehq.org/a/demo-18/api/form/attachment/b7abc63c-4218-4b3a-b4aa-f83de2321592/1575874692293.jpg</v>
      </c>
      <c r="H90" t="str">
        <f>HYPERLINK("https://www.commcarehq.org/a/demo-18/api/form/attachment/b7abc63c-4218-4b3a-b4aa-f83de2321592/1575874718311.jpg")</f>
        <v>https://www.commcarehq.org/a/demo-18/api/form/attachment/b7abc63c-4218-4b3a-b4aa-f83de2321592/1575874718311.jpg</v>
      </c>
      <c r="I90" t="str">
        <f>HYPERLINK("https://www.commcarehq.org/a/demo-18/api/form/attachment/b7abc63c-4218-4b3a-b4aa-f83de2321592/1575874782892.jpg")</f>
        <v>https://www.commcarehq.org/a/demo-18/api/form/attachment/b7abc63c-4218-4b3a-b4aa-f83de2321592/1575874782892.jpg</v>
      </c>
      <c r="J90" t="str">
        <f>HYPERLINK("https://www.commcarehq.org/a/demo-18/api/form/attachment/b7abc63c-4218-4b3a-b4aa-f83de2321592/1575874791595.jpg")</f>
        <v>https://www.commcarehq.org/a/demo-18/api/form/attachment/b7abc63c-4218-4b3a-b4aa-f83de2321592/1575874791595.jpg</v>
      </c>
      <c r="K90" t="str">
        <f>HYPERLINK("https://www.commcarehq.org/a/demo-18/api/form/attachment/b7abc63c-4218-4b3a-b4aa-f83de2321592/1575874813612.jpg")</f>
        <v>https://www.commcarehq.org/a/demo-18/api/form/attachment/b7abc63c-4218-4b3a-b4aa-f83de2321592/1575874813612.jpg</v>
      </c>
      <c r="L90" t="str">
        <f>HYPERLINK("https://www.commcarehq.org/a/demo-18/api/form/attachment/b7abc63c-4218-4b3a-b4aa-f83de2321592/1575874824247.jpg")</f>
        <v>https://www.commcarehq.org/a/demo-18/api/form/attachment/b7abc63c-4218-4b3a-b4aa-f83de2321592/1575874824247.jpg</v>
      </c>
      <c r="M90" s="2">
        <v>43808.291967592595</v>
      </c>
      <c r="N90" s="2">
        <v>43808.29010416667</v>
      </c>
      <c r="O90" t="s">
        <v>32</v>
      </c>
      <c r="P90" s="2">
        <v>43808.418900462966</v>
      </c>
      <c r="Q90" t="s">
        <v>317</v>
      </c>
      <c r="R90" t="s">
        <v>318</v>
      </c>
    </row>
    <row r="91" spans="1:18" x14ac:dyDescent="0.45">
      <c r="A91" t="s">
        <v>319</v>
      </c>
      <c r="B91" t="s">
        <v>20</v>
      </c>
      <c r="C91" s="1">
        <v>43808</v>
      </c>
      <c r="D91" s="1">
        <v>43846</v>
      </c>
      <c r="E91" t="s">
        <v>21</v>
      </c>
      <c r="F91">
        <v>3.1</v>
      </c>
      <c r="G91" t="str">
        <f>HYPERLINK("https://www.commcarehq.org/a/demo-18/api/form/attachment/e8b96029-76de-417c-8756-51a61188a814/1575880112451.jpg")</f>
        <v>https://www.commcarehq.org/a/demo-18/api/form/attachment/e8b96029-76de-417c-8756-51a61188a814/1575880112451.jpg</v>
      </c>
      <c r="H91" t="str">
        <f>HYPERLINK("https://www.commcarehq.org/a/demo-18/api/form/attachment/e8b96029-76de-417c-8756-51a61188a814/1575880130301.jpg")</f>
        <v>https://www.commcarehq.org/a/demo-18/api/form/attachment/e8b96029-76de-417c-8756-51a61188a814/1575880130301.jpg</v>
      </c>
      <c r="I91" t="str">
        <f>HYPERLINK("https://www.commcarehq.org/a/demo-18/api/form/attachment/e8b96029-76de-417c-8756-51a61188a814/1575880169690.jpg")</f>
        <v>https://www.commcarehq.org/a/demo-18/api/form/attachment/e8b96029-76de-417c-8756-51a61188a814/1575880169690.jpg</v>
      </c>
      <c r="J91" t="str">
        <f>HYPERLINK("https://www.commcarehq.org/a/demo-18/api/form/attachment/e8b96029-76de-417c-8756-51a61188a814/1575880177849.jpg")</f>
        <v>https://www.commcarehq.org/a/demo-18/api/form/attachment/e8b96029-76de-417c-8756-51a61188a814/1575880177849.jpg</v>
      </c>
      <c r="K91" t="str">
        <f>HYPERLINK("https://www.commcarehq.org/a/demo-18/api/form/attachment/e8b96029-76de-417c-8756-51a61188a814/1575880197302.jpg")</f>
        <v>https://www.commcarehq.org/a/demo-18/api/form/attachment/e8b96029-76de-417c-8756-51a61188a814/1575880197302.jpg</v>
      </c>
      <c r="L91" t="str">
        <f>HYPERLINK("https://www.commcarehq.org/a/demo-18/api/form/attachment/e8b96029-76de-417c-8756-51a61188a814/1575880206752.jpg")</f>
        <v>https://www.commcarehq.org/a/demo-18/api/form/attachment/e8b96029-76de-417c-8756-51a61188a814/1575880206752.jpg</v>
      </c>
      <c r="M91" s="2">
        <v>43808.354259259257</v>
      </c>
      <c r="N91" s="2">
        <v>43808.352858796294</v>
      </c>
      <c r="O91" t="s">
        <v>32</v>
      </c>
      <c r="P91" s="2">
        <v>43808.421273148146</v>
      </c>
      <c r="Q91" t="s">
        <v>320</v>
      </c>
      <c r="R91" t="s">
        <v>321</v>
      </c>
    </row>
    <row r="92" spans="1:18" x14ac:dyDescent="0.45">
      <c r="A92" t="s">
        <v>280</v>
      </c>
      <c r="B92" t="s">
        <v>20</v>
      </c>
      <c r="C92" s="1">
        <v>43811</v>
      </c>
      <c r="D92" s="1">
        <v>43849</v>
      </c>
      <c r="E92" t="s">
        <v>21</v>
      </c>
      <c r="F92">
        <v>2.9</v>
      </c>
      <c r="G92" t="str">
        <f>HYPERLINK("https://www.commcarehq.org/a/demo-18/api/form/attachment/8323259a-3072-46bd-851d-abbaa75f8671/1576140628764.jpg")</f>
        <v>https://www.commcarehq.org/a/demo-18/api/form/attachment/8323259a-3072-46bd-851d-abbaa75f8671/1576140628764.jpg</v>
      </c>
      <c r="H92" t="str">
        <f>HYPERLINK("https://www.commcarehq.org/a/demo-18/api/form/attachment/8323259a-3072-46bd-851d-abbaa75f8671/1576140638315.jpg")</f>
        <v>https://www.commcarehq.org/a/demo-18/api/form/attachment/8323259a-3072-46bd-851d-abbaa75f8671/1576140638315.jpg</v>
      </c>
      <c r="I92" t="str">
        <f>HYPERLINK("https://www.commcarehq.org/a/demo-18/api/form/attachment/8323259a-3072-46bd-851d-abbaa75f8671/1576140717618.jpg")</f>
        <v>https://www.commcarehq.org/a/demo-18/api/form/attachment/8323259a-3072-46bd-851d-abbaa75f8671/1576140717618.jpg</v>
      </c>
      <c r="J92" t="str">
        <f>HYPERLINK("https://www.commcarehq.org/a/demo-18/api/form/attachment/8323259a-3072-46bd-851d-abbaa75f8671/1576140727037.jpg")</f>
        <v>https://www.commcarehq.org/a/demo-18/api/form/attachment/8323259a-3072-46bd-851d-abbaa75f8671/1576140727037.jpg</v>
      </c>
      <c r="K92" t="str">
        <f>HYPERLINK("https://www.commcarehq.org/a/demo-18/api/form/attachment/8323259a-3072-46bd-851d-abbaa75f8671/1576140768583.jpg")</f>
        <v>https://www.commcarehq.org/a/demo-18/api/form/attachment/8323259a-3072-46bd-851d-abbaa75f8671/1576140768583.jpg</v>
      </c>
      <c r="L92" t="str">
        <f>HYPERLINK("https://www.commcarehq.org/a/demo-18/api/form/attachment/8323259a-3072-46bd-851d-abbaa75f8671/1576140778530.jpg")</f>
        <v>https://www.commcarehq.org/a/demo-18/api/form/attachment/8323259a-3072-46bd-851d-abbaa75f8671/1576140778530.jpg</v>
      </c>
      <c r="M92" s="2">
        <v>43811.370138888888</v>
      </c>
      <c r="N92" s="2">
        <v>43811.367905092593</v>
      </c>
      <c r="O92" t="s">
        <v>32</v>
      </c>
      <c r="P92" s="2">
        <v>43811.416006944448</v>
      </c>
      <c r="Q92" t="s">
        <v>281</v>
      </c>
      <c r="R92" t="s">
        <v>282</v>
      </c>
    </row>
    <row r="93" spans="1:18" x14ac:dyDescent="0.45">
      <c r="A93" t="s">
        <v>283</v>
      </c>
      <c r="B93" t="s">
        <v>20</v>
      </c>
      <c r="C93" s="1">
        <v>43812</v>
      </c>
      <c r="D93" s="1">
        <v>43850</v>
      </c>
      <c r="E93" t="s">
        <v>21</v>
      </c>
      <c r="F93">
        <v>3.2</v>
      </c>
      <c r="G93" t="str">
        <f>HYPERLINK("https://www.commcarehq.org/a/demo-18/api/form/attachment/53c4d875-526e-4f14-b588-9238884066b5/1576228404507.jpg")</f>
        <v>https://www.commcarehq.org/a/demo-18/api/form/attachment/53c4d875-526e-4f14-b588-9238884066b5/1576228404507.jpg</v>
      </c>
      <c r="H93" t="str">
        <f>HYPERLINK("https://www.commcarehq.org/a/demo-18/api/form/attachment/53c4d875-526e-4f14-b588-9238884066b5/1576228426372.jpg")</f>
        <v>https://www.commcarehq.org/a/demo-18/api/form/attachment/53c4d875-526e-4f14-b588-9238884066b5/1576228426372.jpg</v>
      </c>
      <c r="I93" t="str">
        <f>HYPERLINK("https://www.commcarehq.org/a/demo-18/api/form/attachment/53c4d875-526e-4f14-b588-9238884066b5/1576228474030.jpg")</f>
        <v>https://www.commcarehq.org/a/demo-18/api/form/attachment/53c4d875-526e-4f14-b588-9238884066b5/1576228474030.jpg</v>
      </c>
      <c r="J93" t="str">
        <f>HYPERLINK("https://www.commcarehq.org/a/demo-18/api/form/attachment/53c4d875-526e-4f14-b588-9238884066b5/1576228483636.jpg")</f>
        <v>https://www.commcarehq.org/a/demo-18/api/form/attachment/53c4d875-526e-4f14-b588-9238884066b5/1576228483636.jpg</v>
      </c>
      <c r="K93" t="str">
        <f>HYPERLINK("https://www.commcarehq.org/a/demo-18/api/form/attachment/53c4d875-526e-4f14-b588-9238884066b5/1576228504333.jpg")</f>
        <v>https://www.commcarehq.org/a/demo-18/api/form/attachment/53c4d875-526e-4f14-b588-9238884066b5/1576228504333.jpg</v>
      </c>
      <c r="L93" t="str">
        <f>HYPERLINK("https://www.commcarehq.org/a/demo-18/api/form/attachment/53c4d875-526e-4f14-b588-9238884066b5/1576228513888.jpg")</f>
        <v>https://www.commcarehq.org/a/demo-18/api/form/attachment/53c4d875-526e-4f14-b588-9238884066b5/1576228513888.jpg</v>
      </c>
      <c r="M93" s="2">
        <v>43812.38559027778</v>
      </c>
      <c r="N93" s="2">
        <v>43812.383912037039</v>
      </c>
      <c r="O93" t="s">
        <v>32</v>
      </c>
      <c r="P93" s="2">
        <v>43812.385787037034</v>
      </c>
      <c r="Q93" t="s">
        <v>284</v>
      </c>
      <c r="R93" t="s">
        <v>285</v>
      </c>
    </row>
    <row r="94" spans="1:18" x14ac:dyDescent="0.45">
      <c r="A94" t="s">
        <v>286</v>
      </c>
      <c r="B94" t="s">
        <v>20</v>
      </c>
      <c r="C94" s="1">
        <v>43815</v>
      </c>
      <c r="D94" s="1">
        <v>43853</v>
      </c>
      <c r="E94" t="s">
        <v>21</v>
      </c>
      <c r="F94">
        <v>3</v>
      </c>
      <c r="G94" t="str">
        <f>HYPERLINK("https://www.commcarehq.org/a/demo-18/api/form/attachment/5566a11a-f612-44c9-9640-f5243af4425f/1576480537136.jpg")</f>
        <v>https://www.commcarehq.org/a/demo-18/api/form/attachment/5566a11a-f612-44c9-9640-f5243af4425f/1576480537136.jpg</v>
      </c>
      <c r="H94" t="str">
        <f>HYPERLINK("https://www.commcarehq.org/a/demo-18/api/form/attachment/5566a11a-f612-44c9-9640-f5243af4425f/1576480552735.jpg")</f>
        <v>https://www.commcarehq.org/a/demo-18/api/form/attachment/5566a11a-f612-44c9-9640-f5243af4425f/1576480552735.jpg</v>
      </c>
      <c r="I94" t="str">
        <f>HYPERLINK("https://www.commcarehq.org/a/demo-18/api/form/attachment/5566a11a-f612-44c9-9640-f5243af4425f/1576480637575.jpg")</f>
        <v>https://www.commcarehq.org/a/demo-18/api/form/attachment/5566a11a-f612-44c9-9640-f5243af4425f/1576480637575.jpg</v>
      </c>
      <c r="J94" t="str">
        <f>HYPERLINK("https://www.commcarehq.org/a/demo-18/api/form/attachment/5566a11a-f612-44c9-9640-f5243af4425f/1576480647716.jpg")</f>
        <v>https://www.commcarehq.org/a/demo-18/api/form/attachment/5566a11a-f612-44c9-9640-f5243af4425f/1576480647716.jpg</v>
      </c>
      <c r="K94" t="str">
        <f>HYPERLINK("https://www.commcarehq.org/a/demo-18/api/form/attachment/5566a11a-f612-44c9-9640-f5243af4425f/1576480680484.jpg")</f>
        <v>https://www.commcarehq.org/a/demo-18/api/form/attachment/5566a11a-f612-44c9-9640-f5243af4425f/1576480680484.jpg</v>
      </c>
      <c r="L94" t="str">
        <f>HYPERLINK("https://www.commcarehq.org/a/demo-18/api/form/attachment/5566a11a-f612-44c9-9640-f5243af4425f/1576480690597.jpg")</f>
        <v>https://www.commcarehq.org/a/demo-18/api/form/attachment/5566a11a-f612-44c9-9640-f5243af4425f/1576480690597.jpg</v>
      </c>
      <c r="M94" s="2">
        <v>43815.304305555554</v>
      </c>
      <c r="N94" s="2">
        <v>43815.301944444444</v>
      </c>
      <c r="O94" t="s">
        <v>32</v>
      </c>
      <c r="P94" s="2">
        <v>43815.304490740738</v>
      </c>
      <c r="Q94" t="s">
        <v>287</v>
      </c>
      <c r="R94" s="3" t="s">
        <v>288</v>
      </c>
    </row>
    <row r="95" spans="1:18" x14ac:dyDescent="0.45">
      <c r="A95" t="s">
        <v>301</v>
      </c>
      <c r="B95" t="s">
        <v>20</v>
      </c>
      <c r="C95" s="1">
        <v>43794</v>
      </c>
      <c r="D95" s="1">
        <v>43832</v>
      </c>
      <c r="E95" t="s">
        <v>21</v>
      </c>
      <c r="F95">
        <v>3.1</v>
      </c>
      <c r="G95" t="str">
        <f>HYPERLINK("https://www.commcarehq.org/a/demo-18/api/form/attachment/13489e88-8895-4fcb-a75c-2ef0191ee646/1574666458116.jpg")</f>
        <v>https://www.commcarehq.org/a/demo-18/api/form/attachment/13489e88-8895-4fcb-a75c-2ef0191ee646/1574666458116.jpg</v>
      </c>
      <c r="H95" t="str">
        <f>HYPERLINK("https://www.commcarehq.org/a/demo-18/api/form/attachment/13489e88-8895-4fcb-a75c-2ef0191ee646/1574666475049.jpg")</f>
        <v>https://www.commcarehq.org/a/demo-18/api/form/attachment/13489e88-8895-4fcb-a75c-2ef0191ee646/1574666475049.jpg</v>
      </c>
      <c r="I95" t="str">
        <f>HYPERLINK("https://www.commcarehq.org/a/demo-18/api/form/attachment/13489e88-8895-4fcb-a75c-2ef0191ee646/1574666524258.jpg")</f>
        <v>https://www.commcarehq.org/a/demo-18/api/form/attachment/13489e88-8895-4fcb-a75c-2ef0191ee646/1574666524258.jpg</v>
      </c>
      <c r="J95" t="str">
        <f>HYPERLINK("https://www.commcarehq.org/a/demo-18/api/form/attachment/13489e88-8895-4fcb-a75c-2ef0191ee646/1574666534375.jpg")</f>
        <v>https://www.commcarehq.org/a/demo-18/api/form/attachment/13489e88-8895-4fcb-a75c-2ef0191ee646/1574666534375.jpg</v>
      </c>
      <c r="K95" t="str">
        <f>HYPERLINK("https://www.commcarehq.org/a/demo-18/api/form/attachment/13489e88-8895-4fcb-a75c-2ef0191ee646/1574666551687.jpg")</f>
        <v>https://www.commcarehq.org/a/demo-18/api/form/attachment/13489e88-8895-4fcb-a75c-2ef0191ee646/1574666551687.jpg</v>
      </c>
      <c r="L95" t="str">
        <f>HYPERLINK("https://www.commcarehq.org/a/demo-18/api/form/attachment/13489e88-8895-4fcb-a75c-2ef0191ee646/1574666561415.jpg")</f>
        <v>https://www.commcarehq.org/a/demo-18/api/form/attachment/13489e88-8895-4fcb-a75c-2ef0191ee646/1574666561415.jpg</v>
      </c>
      <c r="M95" s="2">
        <v>43794.307442129626</v>
      </c>
      <c r="N95" s="2">
        <v>43794.305891203701</v>
      </c>
      <c r="O95" t="s">
        <v>32</v>
      </c>
      <c r="P95" s="2">
        <v>43794.307604166665</v>
      </c>
      <c r="Q95" t="s">
        <v>302</v>
      </c>
      <c r="R95" t="s">
        <v>303</v>
      </c>
    </row>
    <row r="96" spans="1:18" x14ac:dyDescent="0.45">
      <c r="A96" t="s">
        <v>304</v>
      </c>
      <c r="B96" t="s">
        <v>20</v>
      </c>
      <c r="C96" s="1">
        <v>43798</v>
      </c>
      <c r="D96" s="1">
        <v>43836</v>
      </c>
      <c r="E96" t="s">
        <v>21</v>
      </c>
      <c r="F96">
        <v>3.2</v>
      </c>
      <c r="G96" t="str">
        <f>HYPERLINK("https://www.commcarehq.org/a/demo-18/api/form/attachment/1c628b2a-3a55-4b8b-9d42-74e650dae136/1575009701349.jpg")</f>
        <v>https://www.commcarehq.org/a/demo-18/api/form/attachment/1c628b2a-3a55-4b8b-9d42-74e650dae136/1575009701349.jpg</v>
      </c>
      <c r="H96" t="str">
        <f>HYPERLINK("https://www.commcarehq.org/a/demo-18/api/form/attachment/1c628b2a-3a55-4b8b-9d42-74e650dae136/1575009724284.jpg")</f>
        <v>https://www.commcarehq.org/a/demo-18/api/form/attachment/1c628b2a-3a55-4b8b-9d42-74e650dae136/1575009724284.jpg</v>
      </c>
      <c r="I96" t="str">
        <f>HYPERLINK("https://www.commcarehq.org/a/demo-18/api/form/attachment/1c628b2a-3a55-4b8b-9d42-74e650dae136/1575009826668.jpg")</f>
        <v>https://www.commcarehq.org/a/demo-18/api/form/attachment/1c628b2a-3a55-4b8b-9d42-74e650dae136/1575009826668.jpg</v>
      </c>
      <c r="J96" t="str">
        <f>HYPERLINK("https://www.commcarehq.org/a/demo-18/api/form/attachment/1c628b2a-3a55-4b8b-9d42-74e650dae136/1575009837380.jpg")</f>
        <v>https://www.commcarehq.org/a/demo-18/api/form/attachment/1c628b2a-3a55-4b8b-9d42-74e650dae136/1575009837380.jpg</v>
      </c>
      <c r="K96" t="str">
        <f>HYPERLINK("https://www.commcarehq.org/a/demo-18/api/form/attachment/1c628b2a-3a55-4b8b-9d42-74e650dae136/1575009857618.jpg")</f>
        <v>https://www.commcarehq.org/a/demo-18/api/form/attachment/1c628b2a-3a55-4b8b-9d42-74e650dae136/1575009857618.jpg</v>
      </c>
      <c r="L96" t="str">
        <f>HYPERLINK("https://www.commcarehq.org/a/demo-18/api/form/attachment/1c628b2a-3a55-4b8b-9d42-74e650dae136/1575009868747.jpg")</f>
        <v>https://www.commcarehq.org/a/demo-18/api/form/attachment/1c628b2a-3a55-4b8b-9d42-74e650dae136/1575009868747.jpg</v>
      </c>
      <c r="M96" s="2">
        <v>43798.280902777777</v>
      </c>
      <c r="N96" s="2">
        <v>43798.278460648151</v>
      </c>
      <c r="O96" t="s">
        <v>32</v>
      </c>
      <c r="P96" s="2">
        <v>43798.36513888889</v>
      </c>
      <c r="Q96" t="s">
        <v>305</v>
      </c>
      <c r="R96" t="s">
        <v>306</v>
      </c>
    </row>
    <row r="97" spans="1:18" x14ac:dyDescent="0.45">
      <c r="A97" t="s">
        <v>307</v>
      </c>
      <c r="B97" t="s">
        <v>20</v>
      </c>
      <c r="C97" s="1">
        <v>43796</v>
      </c>
      <c r="D97" s="1">
        <v>43834</v>
      </c>
      <c r="E97" t="s">
        <v>21</v>
      </c>
      <c r="F97">
        <v>2.6</v>
      </c>
      <c r="G97" t="str">
        <f>HYPERLINK("https://www.commcarehq.org/a/demo-18/api/form/attachment/96fc6935-62bc-4ee6-b158-6aa9b13fc404/1574838936805.jpg")</f>
        <v>https://www.commcarehq.org/a/demo-18/api/form/attachment/96fc6935-62bc-4ee6-b158-6aa9b13fc404/1574838936805.jpg</v>
      </c>
      <c r="H97" t="str">
        <f>HYPERLINK("https://www.commcarehq.org/a/demo-18/api/form/attachment/96fc6935-62bc-4ee6-b158-6aa9b13fc404/1574838955480.jpg")</f>
        <v>https://www.commcarehq.org/a/demo-18/api/form/attachment/96fc6935-62bc-4ee6-b158-6aa9b13fc404/1574838955480.jpg</v>
      </c>
      <c r="I97" t="str">
        <f>HYPERLINK("https://www.commcarehq.org/a/demo-18/api/form/attachment/96fc6935-62bc-4ee6-b158-6aa9b13fc404/1574839013985.jpg")</f>
        <v>https://www.commcarehq.org/a/demo-18/api/form/attachment/96fc6935-62bc-4ee6-b158-6aa9b13fc404/1574839013985.jpg</v>
      </c>
      <c r="J97" t="str">
        <f>HYPERLINK("https://www.commcarehq.org/a/demo-18/api/form/attachment/96fc6935-62bc-4ee6-b158-6aa9b13fc404/1574839026696.jpg")</f>
        <v>https://www.commcarehq.org/a/demo-18/api/form/attachment/96fc6935-62bc-4ee6-b158-6aa9b13fc404/1574839026696.jpg</v>
      </c>
      <c r="K97" t="str">
        <f>HYPERLINK("https://www.commcarehq.org/a/demo-18/api/form/attachment/96fc6935-62bc-4ee6-b158-6aa9b13fc404/1574839049464.jpg")</f>
        <v>https://www.commcarehq.org/a/demo-18/api/form/attachment/96fc6935-62bc-4ee6-b158-6aa9b13fc404/1574839049464.jpg</v>
      </c>
      <c r="L97" t="str">
        <f>HYPERLINK("https://www.commcarehq.org/a/demo-18/api/form/attachment/96fc6935-62bc-4ee6-b158-6aa9b13fc404/1574839057540.jpg")</f>
        <v>https://www.commcarehq.org/a/demo-18/api/form/attachment/96fc6935-62bc-4ee6-b158-6aa9b13fc404/1574839057540.jpg</v>
      </c>
      <c r="M97" s="2">
        <v>43796.303912037038</v>
      </c>
      <c r="N97" s="2">
        <v>43796.302175925928</v>
      </c>
      <c r="O97" t="s">
        <v>32</v>
      </c>
      <c r="P97" s="2">
        <v>43796.382048611114</v>
      </c>
      <c r="Q97" t="s">
        <v>308</v>
      </c>
      <c r="R97" t="s">
        <v>309</v>
      </c>
    </row>
    <row r="98" spans="1:18" x14ac:dyDescent="0.45">
      <c r="A98" t="s">
        <v>289</v>
      </c>
      <c r="B98" t="s">
        <v>20</v>
      </c>
      <c r="C98" s="1">
        <v>43787</v>
      </c>
      <c r="D98" s="1">
        <v>43825</v>
      </c>
      <c r="E98" t="s">
        <v>21</v>
      </c>
      <c r="F98">
        <v>3.7</v>
      </c>
      <c r="G98" t="str">
        <f>HYPERLINK("https://www.commcarehq.org/a/demo-18/api/form/attachment/f0a632f2-6a0c-4006-8a2b-b843b11c36ae/1574060042901.jpg")</f>
        <v>https://www.commcarehq.org/a/demo-18/api/form/attachment/f0a632f2-6a0c-4006-8a2b-b843b11c36ae/1574060042901.jpg</v>
      </c>
      <c r="H98" t="str">
        <f>HYPERLINK("https://www.commcarehq.org/a/demo-18/api/form/attachment/f0a632f2-6a0c-4006-8a2b-b843b11c36ae/1574060054289.jpg")</f>
        <v>https://www.commcarehq.org/a/demo-18/api/form/attachment/f0a632f2-6a0c-4006-8a2b-b843b11c36ae/1574060054289.jpg</v>
      </c>
      <c r="I98" t="str">
        <f>HYPERLINK("https://www.commcarehq.org/a/demo-18/api/form/attachment/f0a632f2-6a0c-4006-8a2b-b843b11c36ae/1574060104436.jpg")</f>
        <v>https://www.commcarehq.org/a/demo-18/api/form/attachment/f0a632f2-6a0c-4006-8a2b-b843b11c36ae/1574060104436.jpg</v>
      </c>
      <c r="J98" t="str">
        <f>HYPERLINK("https://www.commcarehq.org/a/demo-18/api/form/attachment/f0a632f2-6a0c-4006-8a2b-b843b11c36ae/1574060114663.jpg")</f>
        <v>https://www.commcarehq.org/a/demo-18/api/form/attachment/f0a632f2-6a0c-4006-8a2b-b843b11c36ae/1574060114663.jpg</v>
      </c>
      <c r="K98" t="str">
        <f>HYPERLINK("https://www.commcarehq.org/a/demo-18/api/form/attachment/f0a632f2-6a0c-4006-8a2b-b843b11c36ae/1574060137221.jpg")</f>
        <v>https://www.commcarehq.org/a/demo-18/api/form/attachment/f0a632f2-6a0c-4006-8a2b-b843b11c36ae/1574060137221.jpg</v>
      </c>
      <c r="L98" t="str">
        <f>HYPERLINK("https://www.commcarehq.org/a/demo-18/api/form/attachment/f0a632f2-6a0c-4006-8a2b-b843b11c36ae/1574060151108.jpg")</f>
        <v>https://www.commcarehq.org/a/demo-18/api/form/attachment/f0a632f2-6a0c-4006-8a2b-b843b11c36ae/1574060151108.jpg</v>
      </c>
      <c r="M98" s="2">
        <v>43787.2887962963</v>
      </c>
      <c r="N98" s="2">
        <v>43787.287083333336</v>
      </c>
      <c r="O98" t="s">
        <v>32</v>
      </c>
      <c r="P98" s="2">
        <v>43787.288981481484</v>
      </c>
      <c r="Q98" t="s">
        <v>290</v>
      </c>
      <c r="R98" t="s">
        <v>291</v>
      </c>
    </row>
    <row r="99" spans="1:18" x14ac:dyDescent="0.45">
      <c r="A99" t="s">
        <v>292</v>
      </c>
      <c r="B99" t="s">
        <v>20</v>
      </c>
      <c r="C99" s="1">
        <v>43787</v>
      </c>
      <c r="D99" s="1">
        <v>43825</v>
      </c>
      <c r="E99" t="s">
        <v>21</v>
      </c>
      <c r="F99">
        <v>3.5</v>
      </c>
      <c r="G99" t="str">
        <f>HYPERLINK("https://www.commcarehq.org/a/demo-18/api/form/attachment/da92d3a0-9350-4dcf-a852-ec43dc5ba33d/1574061440138.jpg")</f>
        <v>https://www.commcarehq.org/a/demo-18/api/form/attachment/da92d3a0-9350-4dcf-a852-ec43dc5ba33d/1574061440138.jpg</v>
      </c>
      <c r="H99" t="str">
        <f>HYPERLINK("https://www.commcarehq.org/a/demo-18/api/form/attachment/da92d3a0-9350-4dcf-a852-ec43dc5ba33d/1574061469950.jpg")</f>
        <v>https://www.commcarehq.org/a/demo-18/api/form/attachment/da92d3a0-9350-4dcf-a852-ec43dc5ba33d/1574061469950.jpg</v>
      </c>
      <c r="I99" t="str">
        <f>HYPERLINK("https://www.commcarehq.org/a/demo-18/api/form/attachment/da92d3a0-9350-4dcf-a852-ec43dc5ba33d/1574061555335.jpg")</f>
        <v>https://www.commcarehq.org/a/demo-18/api/form/attachment/da92d3a0-9350-4dcf-a852-ec43dc5ba33d/1574061555335.jpg</v>
      </c>
      <c r="J99" t="str">
        <f>HYPERLINK("https://www.commcarehq.org/a/demo-18/api/form/attachment/da92d3a0-9350-4dcf-a852-ec43dc5ba33d/1574061565593.jpg")</f>
        <v>https://www.commcarehq.org/a/demo-18/api/form/attachment/da92d3a0-9350-4dcf-a852-ec43dc5ba33d/1574061565593.jpg</v>
      </c>
      <c r="K99" t="str">
        <f>HYPERLINK("https://www.commcarehq.org/a/demo-18/api/form/attachment/da92d3a0-9350-4dcf-a852-ec43dc5ba33d/1574061589218.jpg")</f>
        <v>https://www.commcarehq.org/a/demo-18/api/form/attachment/da92d3a0-9350-4dcf-a852-ec43dc5ba33d/1574061589218.jpg</v>
      </c>
      <c r="L99" t="str">
        <f>HYPERLINK("https://www.commcarehq.org/a/demo-18/api/form/attachment/da92d3a0-9350-4dcf-a852-ec43dc5ba33d/1574061600233.jpg")</f>
        <v>https://www.commcarehq.org/a/demo-18/api/form/attachment/da92d3a0-9350-4dcf-a852-ec43dc5ba33d/1574061600233.jpg</v>
      </c>
      <c r="M99" s="2">
        <v>43787.305567129632</v>
      </c>
      <c r="N99" s="2">
        <v>43787.303252314814</v>
      </c>
      <c r="O99" t="s">
        <v>32</v>
      </c>
      <c r="P99" s="2">
        <v>43787.305763888886</v>
      </c>
      <c r="Q99" t="s">
        <v>293</v>
      </c>
      <c r="R99" t="s">
        <v>294</v>
      </c>
    </row>
    <row r="100" spans="1:18" x14ac:dyDescent="0.45">
      <c r="A100" t="s">
        <v>295</v>
      </c>
      <c r="B100" t="s">
        <v>20</v>
      </c>
      <c r="C100" s="1">
        <v>43787</v>
      </c>
      <c r="D100" s="1">
        <v>43825</v>
      </c>
      <c r="E100" t="s">
        <v>21</v>
      </c>
      <c r="F100">
        <v>2.6</v>
      </c>
      <c r="G100" t="str">
        <f>HYPERLINK("https://www.commcarehq.org/a/demo-18/api/form/attachment/215db025-385a-4db4-8945-106a8af5e114/1574062765431.jpg")</f>
        <v>https://www.commcarehq.org/a/demo-18/api/form/attachment/215db025-385a-4db4-8945-106a8af5e114/1574062765431.jpg</v>
      </c>
      <c r="H100" t="str">
        <f>HYPERLINK("https://www.commcarehq.org/a/demo-18/api/form/attachment/215db025-385a-4db4-8945-106a8af5e114/1574062779948.jpg")</f>
        <v>https://www.commcarehq.org/a/demo-18/api/form/attachment/215db025-385a-4db4-8945-106a8af5e114/1574062779948.jpg</v>
      </c>
      <c r="I100" t="str">
        <f>HYPERLINK("https://www.commcarehq.org/a/demo-18/api/form/attachment/215db025-385a-4db4-8945-106a8af5e114/1574062826537.jpg")</f>
        <v>https://www.commcarehq.org/a/demo-18/api/form/attachment/215db025-385a-4db4-8945-106a8af5e114/1574062826537.jpg</v>
      </c>
      <c r="J100" t="str">
        <f>HYPERLINK("https://www.commcarehq.org/a/demo-18/api/form/attachment/215db025-385a-4db4-8945-106a8af5e114/1574062836516.jpg")</f>
        <v>https://www.commcarehq.org/a/demo-18/api/form/attachment/215db025-385a-4db4-8945-106a8af5e114/1574062836516.jpg</v>
      </c>
      <c r="K100" t="str">
        <f>HYPERLINK("https://www.commcarehq.org/a/demo-18/api/form/attachment/215db025-385a-4db4-8945-106a8af5e114/1574062856306.jpg")</f>
        <v>https://www.commcarehq.org/a/demo-18/api/form/attachment/215db025-385a-4db4-8945-106a8af5e114/1574062856306.jpg</v>
      </c>
      <c r="L100" t="str">
        <f>HYPERLINK("https://www.commcarehq.org/a/demo-18/api/form/attachment/215db025-385a-4db4-8945-106a8af5e114/1574062867210.jpg")</f>
        <v>https://www.commcarehq.org/a/demo-18/api/form/attachment/215db025-385a-4db4-8945-106a8af5e114/1574062867210.jpg</v>
      </c>
      <c r="M100" s="2">
        <v>43787.320231481484</v>
      </c>
      <c r="N100" s="2">
        <v>43787.318738425929</v>
      </c>
      <c r="O100" t="s">
        <v>32</v>
      </c>
      <c r="P100" s="2">
        <v>43787.429652777777</v>
      </c>
      <c r="Q100" t="s">
        <v>296</v>
      </c>
      <c r="R100" t="s">
        <v>297</v>
      </c>
    </row>
    <row r="101" spans="1:18" x14ac:dyDescent="0.45">
      <c r="A101" t="s">
        <v>298</v>
      </c>
      <c r="B101" t="s">
        <v>20</v>
      </c>
      <c r="C101" s="1">
        <v>43789</v>
      </c>
      <c r="D101" s="1">
        <v>43827</v>
      </c>
      <c r="E101" t="s">
        <v>21</v>
      </c>
      <c r="F101">
        <v>2.8</v>
      </c>
      <c r="G101" t="str">
        <f>HYPERLINK("https://www.commcarehq.org/a/demo-18/api/form/attachment/4d580ded-0772-47c0-abc5-4469a57da888/1574236590482.jpg")</f>
        <v>https://www.commcarehq.org/a/demo-18/api/form/attachment/4d580ded-0772-47c0-abc5-4469a57da888/1574236590482.jpg</v>
      </c>
      <c r="H101" t="str">
        <f>HYPERLINK("https://www.commcarehq.org/a/demo-18/api/form/attachment/4d580ded-0772-47c0-abc5-4469a57da888/1574236605083.jpg")</f>
        <v>https://www.commcarehq.org/a/demo-18/api/form/attachment/4d580ded-0772-47c0-abc5-4469a57da888/1574236605083.jpg</v>
      </c>
      <c r="I101" t="str">
        <f>HYPERLINK("https://www.commcarehq.org/a/demo-18/api/form/attachment/4d580ded-0772-47c0-abc5-4469a57da888/1574236694054.jpg")</f>
        <v>https://www.commcarehq.org/a/demo-18/api/form/attachment/4d580ded-0772-47c0-abc5-4469a57da888/1574236694054.jpg</v>
      </c>
      <c r="J101" t="str">
        <f>HYPERLINK("https://www.commcarehq.org/a/demo-18/api/form/attachment/4d580ded-0772-47c0-abc5-4469a57da888/1574236703668.jpg")</f>
        <v>https://www.commcarehq.org/a/demo-18/api/form/attachment/4d580ded-0772-47c0-abc5-4469a57da888/1574236703668.jpg</v>
      </c>
      <c r="K101" t="str">
        <f>HYPERLINK("https://www.commcarehq.org/a/demo-18/api/form/attachment/4d580ded-0772-47c0-abc5-4469a57da888/1574236764557.jpg")</f>
        <v>https://www.commcarehq.org/a/demo-18/api/form/attachment/4d580ded-0772-47c0-abc5-4469a57da888/1574236764557.jpg</v>
      </c>
      <c r="L101" t="str">
        <f>HYPERLINK("https://www.commcarehq.org/a/demo-18/api/form/attachment/4d580ded-0772-47c0-abc5-4469a57da888/1574236775160.jpg")</f>
        <v>https://www.commcarehq.org/a/demo-18/api/form/attachment/4d580ded-0772-47c0-abc5-4469a57da888/1574236775160.jpg</v>
      </c>
      <c r="M101" s="2">
        <v>43789.333078703705</v>
      </c>
      <c r="N101" s="2">
        <v>43789.330567129633</v>
      </c>
      <c r="O101" t="s">
        <v>32</v>
      </c>
      <c r="P101" s="2">
        <v>43789.333275462966</v>
      </c>
      <c r="Q101" t="s">
        <v>299</v>
      </c>
      <c r="R101" t="s">
        <v>300</v>
      </c>
    </row>
    <row r="102" spans="1:18" x14ac:dyDescent="0.45">
      <c r="A102" t="s">
        <v>382</v>
      </c>
      <c r="B102" t="s">
        <v>20</v>
      </c>
      <c r="C102" s="1">
        <v>43797</v>
      </c>
      <c r="D102" s="1">
        <v>43835</v>
      </c>
      <c r="E102" t="s">
        <v>21</v>
      </c>
      <c r="F102">
        <v>2.5</v>
      </c>
      <c r="G102" t="str">
        <f>HYPERLINK("https://www.commcarehq.org/a/demo-18/api/form/attachment/71e7e77b-5cbf-4c00-af80-a9b0dc3dd647/1574927884802.jpg")</f>
        <v>https://www.commcarehq.org/a/demo-18/api/form/attachment/71e7e77b-5cbf-4c00-af80-a9b0dc3dd647/1574927884802.jpg</v>
      </c>
      <c r="H102" t="str">
        <f>HYPERLINK("https://www.commcarehq.org/a/demo-18/api/form/attachment/71e7e77b-5cbf-4c00-af80-a9b0dc3dd647/1574927899915.jpg")</f>
        <v>https://www.commcarehq.org/a/demo-18/api/form/attachment/71e7e77b-5cbf-4c00-af80-a9b0dc3dd647/1574927899915.jpg</v>
      </c>
      <c r="I102" t="str">
        <f>HYPERLINK("https://www.commcarehq.org/a/demo-18/api/form/attachment/71e7e77b-5cbf-4c00-af80-a9b0dc3dd647/1574928138192.jpg")</f>
        <v>https://www.commcarehq.org/a/demo-18/api/form/attachment/71e7e77b-5cbf-4c00-af80-a9b0dc3dd647/1574928138192.jpg</v>
      </c>
      <c r="J102" t="str">
        <f>HYPERLINK("https://www.commcarehq.org/a/demo-18/api/form/attachment/71e7e77b-5cbf-4c00-af80-a9b0dc3dd647/1574928146785.jpg")</f>
        <v>https://www.commcarehq.org/a/demo-18/api/form/attachment/71e7e77b-5cbf-4c00-af80-a9b0dc3dd647/1574928146785.jpg</v>
      </c>
      <c r="K102" t="str">
        <f>HYPERLINK("https://www.commcarehq.org/a/demo-18/api/form/attachment/71e7e77b-5cbf-4c00-af80-a9b0dc3dd647/1574928164767.jpg")</f>
        <v>https://www.commcarehq.org/a/demo-18/api/form/attachment/71e7e77b-5cbf-4c00-af80-a9b0dc3dd647/1574928164767.jpg</v>
      </c>
      <c r="L102" t="str">
        <f>HYPERLINK("https://www.commcarehq.org/a/demo-18/api/form/attachment/71e7e77b-5cbf-4c00-af80-a9b0dc3dd647/1574928173841.jpg")</f>
        <v>https://www.commcarehq.org/a/demo-18/api/form/attachment/71e7e77b-5cbf-4c00-af80-a9b0dc3dd647/1574928173841.jpg</v>
      </c>
      <c r="M102" s="2">
        <v>43797.335358796299</v>
      </c>
      <c r="N102" s="2">
        <v>43797.331655092596</v>
      </c>
      <c r="O102" t="s">
        <v>32</v>
      </c>
      <c r="P102" s="2">
        <v>43797.335555555554</v>
      </c>
      <c r="Q102" t="s">
        <v>383</v>
      </c>
      <c r="R102" t="s">
        <v>384</v>
      </c>
    </row>
    <row r="103" spans="1:18" x14ac:dyDescent="0.45">
      <c r="A103" t="s">
        <v>385</v>
      </c>
      <c r="B103" t="s">
        <v>20</v>
      </c>
      <c r="C103" s="1">
        <v>43798</v>
      </c>
      <c r="D103" s="1">
        <v>43836</v>
      </c>
      <c r="E103" t="s">
        <v>21</v>
      </c>
      <c r="F103">
        <v>2.9</v>
      </c>
      <c r="G103" t="str">
        <f>HYPERLINK("https://www.commcarehq.org/a/demo-18/api/form/attachment/5c09af30-384a-41c5-ba55-1c4b33b9f44d/1575010617965.jpg")</f>
        <v>https://www.commcarehq.org/a/demo-18/api/form/attachment/5c09af30-384a-41c5-ba55-1c4b33b9f44d/1575010617965.jpg</v>
      </c>
      <c r="H103" t="str">
        <f>HYPERLINK("https://www.commcarehq.org/a/demo-18/api/form/attachment/5c09af30-384a-41c5-ba55-1c4b33b9f44d/1575010632697.jpg")</f>
        <v>https://www.commcarehq.org/a/demo-18/api/form/attachment/5c09af30-384a-41c5-ba55-1c4b33b9f44d/1575010632697.jpg</v>
      </c>
      <c r="I103" t="str">
        <f>HYPERLINK("https://www.commcarehq.org/a/demo-18/api/form/attachment/5c09af30-384a-41c5-ba55-1c4b33b9f44d/1575010687119.jpg")</f>
        <v>https://www.commcarehq.org/a/demo-18/api/form/attachment/5c09af30-384a-41c5-ba55-1c4b33b9f44d/1575010687119.jpg</v>
      </c>
      <c r="J103" t="str">
        <f>HYPERLINK("https://www.commcarehq.org/a/demo-18/api/form/attachment/5c09af30-384a-41c5-ba55-1c4b33b9f44d/1575010695313.jpg")</f>
        <v>https://www.commcarehq.org/a/demo-18/api/form/attachment/5c09af30-384a-41c5-ba55-1c4b33b9f44d/1575010695313.jpg</v>
      </c>
      <c r="K103" t="str">
        <f>HYPERLINK("https://www.commcarehq.org/a/demo-18/api/form/attachment/5c09af30-384a-41c5-ba55-1c4b33b9f44d/1575010714556.jpg")</f>
        <v>https://www.commcarehq.org/a/demo-18/api/form/attachment/5c09af30-384a-41c5-ba55-1c4b33b9f44d/1575010714556.jpg</v>
      </c>
      <c r="L103" t="str">
        <f>HYPERLINK("https://www.commcarehq.org/a/demo-18/api/form/attachment/5c09af30-384a-41c5-ba55-1c4b33b9f44d/1575010727578.jpg")</f>
        <v>https://www.commcarehq.org/a/demo-18/api/form/attachment/5c09af30-384a-41c5-ba55-1c4b33b9f44d/1575010727578.jpg</v>
      </c>
      <c r="M103" s="2">
        <v>43798.290914351855</v>
      </c>
      <c r="N103" s="2">
        <v>43798.289224537039</v>
      </c>
      <c r="O103" t="s">
        <v>32</v>
      </c>
      <c r="P103" s="2">
        <v>43798.365532407406</v>
      </c>
      <c r="Q103" t="s">
        <v>386</v>
      </c>
      <c r="R103" s="3" t="s">
        <v>387</v>
      </c>
    </row>
    <row r="104" spans="1:18" x14ac:dyDescent="0.45">
      <c r="A104" t="s">
        <v>388</v>
      </c>
      <c r="B104" t="s">
        <v>20</v>
      </c>
      <c r="C104" s="1">
        <v>43801</v>
      </c>
      <c r="D104" s="1">
        <v>43839</v>
      </c>
      <c r="E104" t="s">
        <v>21</v>
      </c>
      <c r="F104">
        <v>3</v>
      </c>
      <c r="G104" t="str">
        <f>HYPERLINK("https://www.commcarehq.org/a/demo-18/api/form/attachment/3ce7b0ba-3899-4e6f-b202-3561e7603dbd/1575270801417.jpg")</f>
        <v>https://www.commcarehq.org/a/demo-18/api/form/attachment/3ce7b0ba-3899-4e6f-b202-3561e7603dbd/1575270801417.jpg</v>
      </c>
      <c r="H104" t="str">
        <f>HYPERLINK("https://www.commcarehq.org/a/demo-18/api/form/attachment/3ce7b0ba-3899-4e6f-b202-3561e7603dbd/1575270817312.jpg")</f>
        <v>https://www.commcarehq.org/a/demo-18/api/form/attachment/3ce7b0ba-3899-4e6f-b202-3561e7603dbd/1575270817312.jpg</v>
      </c>
      <c r="I104" t="str">
        <f>HYPERLINK("https://www.commcarehq.org/a/demo-18/api/form/attachment/3ce7b0ba-3899-4e6f-b202-3561e7603dbd/1575270870056.jpg")</f>
        <v>https://www.commcarehq.org/a/demo-18/api/form/attachment/3ce7b0ba-3899-4e6f-b202-3561e7603dbd/1575270870056.jpg</v>
      </c>
      <c r="J104" t="str">
        <f>HYPERLINK("https://www.commcarehq.org/a/demo-18/api/form/attachment/3ce7b0ba-3899-4e6f-b202-3561e7603dbd/1575270879692.jpg")</f>
        <v>https://www.commcarehq.org/a/demo-18/api/form/attachment/3ce7b0ba-3899-4e6f-b202-3561e7603dbd/1575270879692.jpg</v>
      </c>
      <c r="K104" t="str">
        <f>HYPERLINK("https://www.commcarehq.org/a/demo-18/api/form/attachment/3ce7b0ba-3899-4e6f-b202-3561e7603dbd/1575270895138.jpg")</f>
        <v>https://www.commcarehq.org/a/demo-18/api/form/attachment/3ce7b0ba-3899-4e6f-b202-3561e7603dbd/1575270895138.jpg</v>
      </c>
      <c r="L104" t="str">
        <f>HYPERLINK("https://www.commcarehq.org/a/demo-18/api/form/attachment/3ce7b0ba-3899-4e6f-b202-3561e7603dbd/1575270905540.jpg")</f>
        <v>https://www.commcarehq.org/a/demo-18/api/form/attachment/3ce7b0ba-3899-4e6f-b202-3561e7603dbd/1575270905540.jpg</v>
      </c>
      <c r="M104" s="2">
        <v>43801.302175925928</v>
      </c>
      <c r="N104" s="2">
        <v>43801.300659722219</v>
      </c>
      <c r="O104" t="s">
        <v>32</v>
      </c>
      <c r="P104" s="2">
        <v>43801.302361111113</v>
      </c>
      <c r="Q104" t="s">
        <v>389</v>
      </c>
      <c r="R104" t="s">
        <v>390</v>
      </c>
    </row>
    <row r="105" spans="1:18" x14ac:dyDescent="0.45">
      <c r="A105" t="s">
        <v>391</v>
      </c>
      <c r="B105" t="s">
        <v>20</v>
      </c>
      <c r="C105" s="1">
        <v>43801</v>
      </c>
      <c r="D105" s="1">
        <v>43839</v>
      </c>
      <c r="E105" t="s">
        <v>21</v>
      </c>
      <c r="F105">
        <v>3</v>
      </c>
      <c r="G105" t="str">
        <f>HYPERLINK("https://www.commcarehq.org/a/demo-18/api/form/attachment/0c44f3cb-698b-4789-9f9c-f4b9289f9a90/1575274273340.jpg")</f>
        <v>https://www.commcarehq.org/a/demo-18/api/form/attachment/0c44f3cb-698b-4789-9f9c-f4b9289f9a90/1575274273340.jpg</v>
      </c>
      <c r="H105" t="str">
        <f>HYPERLINK("https://www.commcarehq.org/a/demo-18/api/form/attachment/0c44f3cb-698b-4789-9f9c-f4b9289f9a90/1575274296421.jpg")</f>
        <v>https://www.commcarehq.org/a/demo-18/api/form/attachment/0c44f3cb-698b-4789-9f9c-f4b9289f9a90/1575274296421.jpg</v>
      </c>
      <c r="I105" t="str">
        <f>HYPERLINK("https://www.commcarehq.org/a/demo-18/api/form/attachment/0c44f3cb-698b-4789-9f9c-f4b9289f9a90/1575274384927.jpg")</f>
        <v>https://www.commcarehq.org/a/demo-18/api/form/attachment/0c44f3cb-698b-4789-9f9c-f4b9289f9a90/1575274384927.jpg</v>
      </c>
      <c r="J105" t="str">
        <f>HYPERLINK("https://www.commcarehq.org/a/demo-18/api/form/attachment/0c44f3cb-698b-4789-9f9c-f4b9289f9a90/1575274396508.jpg")</f>
        <v>https://www.commcarehq.org/a/demo-18/api/form/attachment/0c44f3cb-698b-4789-9f9c-f4b9289f9a90/1575274396508.jpg</v>
      </c>
      <c r="K105" t="str">
        <f>HYPERLINK("https://www.commcarehq.org/a/demo-18/api/form/attachment/0c44f3cb-698b-4789-9f9c-f4b9289f9a90/1575274436416.jpg")</f>
        <v>https://www.commcarehq.org/a/demo-18/api/form/attachment/0c44f3cb-698b-4789-9f9c-f4b9289f9a90/1575274436416.jpg</v>
      </c>
      <c r="L105" t="str">
        <f>HYPERLINK("https://www.commcarehq.org/a/demo-18/api/form/attachment/0c44f3cb-698b-4789-9f9c-f4b9289f9a90/1575274453135.jpg")</f>
        <v>https://www.commcarehq.org/a/demo-18/api/form/attachment/0c44f3cb-698b-4789-9f9c-f4b9289f9a90/1575274453135.jpg</v>
      </c>
      <c r="M105" s="2">
        <v>43801.343229166669</v>
      </c>
      <c r="N105" s="2">
        <v>43801.340740740743</v>
      </c>
      <c r="O105" t="s">
        <v>32</v>
      </c>
      <c r="P105" s="2">
        <v>43801.343402777777</v>
      </c>
      <c r="Q105" t="s">
        <v>392</v>
      </c>
      <c r="R105" t="s">
        <v>393</v>
      </c>
    </row>
    <row r="106" spans="1:18" x14ac:dyDescent="0.45">
      <c r="A106" t="s">
        <v>394</v>
      </c>
      <c r="B106" t="s">
        <v>20</v>
      </c>
      <c r="C106" s="1">
        <v>43803</v>
      </c>
      <c r="D106" s="1">
        <v>43841</v>
      </c>
      <c r="E106" t="s">
        <v>21</v>
      </c>
      <c r="F106">
        <v>2.9</v>
      </c>
      <c r="G106" t="str">
        <f>HYPERLINK("https://www.commcarehq.org/a/demo-18/api/form/attachment/0f275ad4-9576-46b8-8f15-140be5ab8049/1575443516602.jpg")</f>
        <v>https://www.commcarehq.org/a/demo-18/api/form/attachment/0f275ad4-9576-46b8-8f15-140be5ab8049/1575443516602.jpg</v>
      </c>
      <c r="H106" t="str">
        <f>HYPERLINK("https://www.commcarehq.org/a/demo-18/api/form/attachment/0f275ad4-9576-46b8-8f15-140be5ab8049/1575443537119.jpg")</f>
        <v>https://www.commcarehq.org/a/demo-18/api/form/attachment/0f275ad4-9576-46b8-8f15-140be5ab8049/1575443537119.jpg</v>
      </c>
      <c r="I106" t="str">
        <f>HYPERLINK("https://www.commcarehq.org/a/demo-18/api/form/attachment/0f275ad4-9576-46b8-8f15-140be5ab8049/1575443669499.jpg")</f>
        <v>https://www.commcarehq.org/a/demo-18/api/form/attachment/0f275ad4-9576-46b8-8f15-140be5ab8049/1575443669499.jpg</v>
      </c>
      <c r="J106" t="str">
        <f>HYPERLINK("https://www.commcarehq.org/a/demo-18/api/form/attachment/0f275ad4-9576-46b8-8f15-140be5ab8049/1575443677216.jpg")</f>
        <v>https://www.commcarehq.org/a/demo-18/api/form/attachment/0f275ad4-9576-46b8-8f15-140be5ab8049/1575443677216.jpg</v>
      </c>
      <c r="K106" t="str">
        <f>HYPERLINK("https://www.commcarehq.org/a/demo-18/api/form/attachment/0f275ad4-9576-46b8-8f15-140be5ab8049/1575443694389.jpg")</f>
        <v>https://www.commcarehq.org/a/demo-18/api/form/attachment/0f275ad4-9576-46b8-8f15-140be5ab8049/1575443694389.jpg</v>
      </c>
      <c r="L106" t="str">
        <f>HYPERLINK("https://www.commcarehq.org/a/demo-18/api/form/attachment/0f275ad4-9576-46b8-8f15-140be5ab8049/1575443705012.jpg")</f>
        <v>https://www.commcarehq.org/a/demo-18/api/form/attachment/0f275ad4-9576-46b8-8f15-140be5ab8049/1575443705012.jpg</v>
      </c>
      <c r="M106" s="2">
        <v>43803.302175925928</v>
      </c>
      <c r="N106" s="2">
        <v>43803.299467592595</v>
      </c>
      <c r="O106" t="s">
        <v>32</v>
      </c>
      <c r="P106" s="2">
        <v>43803.302418981482</v>
      </c>
      <c r="Q106" t="s">
        <v>395</v>
      </c>
      <c r="R106" t="s">
        <v>396</v>
      </c>
    </row>
    <row r="107" spans="1:18" x14ac:dyDescent="0.45">
      <c r="A107" t="s">
        <v>397</v>
      </c>
      <c r="B107" t="s">
        <v>20</v>
      </c>
      <c r="C107" s="1">
        <v>43796</v>
      </c>
      <c r="D107" s="1">
        <v>43834</v>
      </c>
      <c r="E107" t="s">
        <v>21</v>
      </c>
      <c r="F107">
        <v>2.7</v>
      </c>
      <c r="G107" t="str">
        <f>HYPERLINK("https://www.commcarehq.org/a/demo-18/api/form/attachment/30496a5d-9b8c-42fa-9c40-caf11693ca05/1574838398295.jpg")</f>
        <v>https://www.commcarehq.org/a/demo-18/api/form/attachment/30496a5d-9b8c-42fa-9c40-caf11693ca05/1574838398295.jpg</v>
      </c>
      <c r="H107" t="str">
        <f>HYPERLINK("https://www.commcarehq.org/a/demo-18/api/form/attachment/30496a5d-9b8c-42fa-9c40-caf11693ca05/1574838413347.jpg")</f>
        <v>https://www.commcarehq.org/a/demo-18/api/form/attachment/30496a5d-9b8c-42fa-9c40-caf11693ca05/1574838413347.jpg</v>
      </c>
      <c r="I107" t="str">
        <f>HYPERLINK("https://www.commcarehq.org/a/demo-18/api/form/attachment/30496a5d-9b8c-42fa-9c40-caf11693ca05/1574838478688.jpg")</f>
        <v>https://www.commcarehq.org/a/demo-18/api/form/attachment/30496a5d-9b8c-42fa-9c40-caf11693ca05/1574838478688.jpg</v>
      </c>
      <c r="J107" t="str">
        <f>HYPERLINK("https://www.commcarehq.org/a/demo-18/api/form/attachment/30496a5d-9b8c-42fa-9c40-caf11693ca05/1574838487255.jpg")</f>
        <v>https://www.commcarehq.org/a/demo-18/api/form/attachment/30496a5d-9b8c-42fa-9c40-caf11693ca05/1574838487255.jpg</v>
      </c>
      <c r="K107" t="str">
        <f>HYPERLINK("https://www.commcarehq.org/a/demo-18/api/form/attachment/30496a5d-9b8c-42fa-9c40-caf11693ca05/1574838508026.jpg")</f>
        <v>https://www.commcarehq.org/a/demo-18/api/form/attachment/30496a5d-9b8c-42fa-9c40-caf11693ca05/1574838508026.jpg</v>
      </c>
      <c r="L107" t="str">
        <f>HYPERLINK("https://www.commcarehq.org/a/demo-18/api/form/attachment/30496a5d-9b8c-42fa-9c40-caf11693ca05/1574838519032.jpg")</f>
        <v>https://www.commcarehq.org/a/demo-18/api/form/attachment/30496a5d-9b8c-42fa-9c40-caf11693ca05/1574838519032.jpg</v>
      </c>
      <c r="M107" s="2">
        <v>43796.297696759262</v>
      </c>
      <c r="N107" s="2">
        <v>43796.295983796299</v>
      </c>
      <c r="O107" t="s">
        <v>32</v>
      </c>
      <c r="P107" s="2">
        <v>43796.381828703707</v>
      </c>
      <c r="Q107" t="s">
        <v>398</v>
      </c>
      <c r="R107" t="s">
        <v>399</v>
      </c>
    </row>
    <row r="108" spans="1:18" x14ac:dyDescent="0.45">
      <c r="A108" t="s">
        <v>400</v>
      </c>
      <c r="B108" t="s">
        <v>20</v>
      </c>
      <c r="C108" s="1">
        <v>43796</v>
      </c>
      <c r="D108" s="1">
        <v>43834</v>
      </c>
      <c r="E108" t="s">
        <v>21</v>
      </c>
      <c r="F108">
        <v>3.2</v>
      </c>
      <c r="G108" t="str">
        <f>HYPERLINK("https://www.commcarehq.org/a/demo-18/api/form/attachment/96165bc8-8c57-47ad-a196-4d1bafd19bde/1574839595994.jpg")</f>
        <v>https://www.commcarehq.org/a/demo-18/api/form/attachment/96165bc8-8c57-47ad-a196-4d1bafd19bde/1574839595994.jpg</v>
      </c>
      <c r="H108" t="str">
        <f>HYPERLINK("https://www.commcarehq.org/a/demo-18/api/form/attachment/96165bc8-8c57-47ad-a196-4d1bafd19bde/1574839614266.jpg")</f>
        <v>https://www.commcarehq.org/a/demo-18/api/form/attachment/96165bc8-8c57-47ad-a196-4d1bafd19bde/1574839614266.jpg</v>
      </c>
      <c r="I108" t="str">
        <f>HYPERLINK("https://www.commcarehq.org/a/demo-18/api/form/attachment/96165bc8-8c57-47ad-a196-4d1bafd19bde/1574839657679.jpg")</f>
        <v>https://www.commcarehq.org/a/demo-18/api/form/attachment/96165bc8-8c57-47ad-a196-4d1bafd19bde/1574839657679.jpg</v>
      </c>
      <c r="J108" t="str">
        <f>HYPERLINK("https://www.commcarehq.org/a/demo-18/api/form/attachment/96165bc8-8c57-47ad-a196-4d1bafd19bde/1574839668167.jpg")</f>
        <v>https://www.commcarehq.org/a/demo-18/api/form/attachment/96165bc8-8c57-47ad-a196-4d1bafd19bde/1574839668167.jpg</v>
      </c>
      <c r="K108" t="str">
        <f>HYPERLINK("https://www.commcarehq.org/a/demo-18/api/form/attachment/96165bc8-8c57-47ad-a196-4d1bafd19bde/1574839683764.jpg")</f>
        <v>https://www.commcarehq.org/a/demo-18/api/form/attachment/96165bc8-8c57-47ad-a196-4d1bafd19bde/1574839683764.jpg</v>
      </c>
      <c r="L108" t="str">
        <f>HYPERLINK("https://www.commcarehq.org/a/demo-18/api/form/attachment/96165bc8-8c57-47ad-a196-4d1bafd19bde/1574839696247.jpg")</f>
        <v>https://www.commcarehq.org/a/demo-18/api/form/attachment/96165bc8-8c57-47ad-a196-4d1bafd19bde/1574839696247.jpg</v>
      </c>
      <c r="M108" s="2">
        <v>43796.311319444445</v>
      </c>
      <c r="N108" s="2">
        <v>43796.309884259259</v>
      </c>
      <c r="O108" t="s">
        <v>32</v>
      </c>
      <c r="P108" s="2">
        <v>43796.382581018515</v>
      </c>
      <c r="Q108" t="s">
        <v>401</v>
      </c>
      <c r="R108" t="s">
        <v>402</v>
      </c>
    </row>
    <row r="109" spans="1:18" x14ac:dyDescent="0.45">
      <c r="A109" t="s">
        <v>403</v>
      </c>
      <c r="B109" t="s">
        <v>20</v>
      </c>
      <c r="C109" s="1">
        <v>43796</v>
      </c>
      <c r="D109" s="1">
        <v>43834</v>
      </c>
      <c r="E109" t="s">
        <v>21</v>
      </c>
      <c r="F109">
        <v>3.4</v>
      </c>
      <c r="G109" t="str">
        <f>HYPERLINK("https://www.commcarehq.org/a/demo-18/api/form/attachment/df54a525-e3a9-4bc4-87fb-9713ae2c6658/1574839233827.jpg")</f>
        <v>https://www.commcarehq.org/a/demo-18/api/form/attachment/df54a525-e3a9-4bc4-87fb-9713ae2c6658/1574839233827.jpg</v>
      </c>
      <c r="H109" t="str">
        <f>HYPERLINK("https://www.commcarehq.org/a/demo-18/api/form/attachment/df54a525-e3a9-4bc4-87fb-9713ae2c6658/1574839247774.jpg")</f>
        <v>https://www.commcarehq.org/a/demo-18/api/form/attachment/df54a525-e3a9-4bc4-87fb-9713ae2c6658/1574839247774.jpg</v>
      </c>
      <c r="I109" t="str">
        <f>HYPERLINK("https://www.commcarehq.org/a/demo-18/api/form/attachment/df54a525-e3a9-4bc4-87fb-9713ae2c6658/1574839288088.jpg")</f>
        <v>https://www.commcarehq.org/a/demo-18/api/form/attachment/df54a525-e3a9-4bc4-87fb-9713ae2c6658/1574839288088.jpg</v>
      </c>
      <c r="J109" t="str">
        <f>HYPERLINK("https://www.commcarehq.org/a/demo-18/api/form/attachment/df54a525-e3a9-4bc4-87fb-9713ae2c6658/1574839302578.jpg")</f>
        <v>https://www.commcarehq.org/a/demo-18/api/form/attachment/df54a525-e3a9-4bc4-87fb-9713ae2c6658/1574839302578.jpg</v>
      </c>
      <c r="K109" t="str">
        <f>HYPERLINK("https://www.commcarehq.org/a/demo-18/api/form/attachment/df54a525-e3a9-4bc4-87fb-9713ae2c6658/1574839321869.jpg")</f>
        <v>https://www.commcarehq.org/a/demo-18/api/form/attachment/df54a525-e3a9-4bc4-87fb-9713ae2c6658/1574839321869.jpg</v>
      </c>
      <c r="L109" t="str">
        <f>HYPERLINK("https://www.commcarehq.org/a/demo-18/api/form/attachment/df54a525-e3a9-4bc4-87fb-9713ae2c6658/1574839330810.jpg")</f>
        <v>https://www.commcarehq.org/a/demo-18/api/form/attachment/df54a525-e3a9-4bc4-87fb-9713ae2c6658/1574839330810.jpg</v>
      </c>
      <c r="M109" s="2">
        <v>43796.30709490741</v>
      </c>
      <c r="N109" s="2">
        <v>43796.305659722224</v>
      </c>
      <c r="O109" t="s">
        <v>32</v>
      </c>
      <c r="P109" s="2">
        <v>43796.382314814815</v>
      </c>
      <c r="Q109" t="s">
        <v>404</v>
      </c>
      <c r="R109" t="s">
        <v>405</v>
      </c>
    </row>
    <row r="110" spans="1:18" x14ac:dyDescent="0.45">
      <c r="A110" t="s">
        <v>406</v>
      </c>
      <c r="B110" t="s">
        <v>20</v>
      </c>
      <c r="C110" s="1">
        <v>43808</v>
      </c>
      <c r="D110" s="1">
        <v>43846</v>
      </c>
      <c r="E110" t="s">
        <v>21</v>
      </c>
      <c r="F110">
        <v>3.5</v>
      </c>
      <c r="G110" t="str">
        <f>HYPERLINK("https://www.commcarehq.org/a/demo-18/api/form/attachment/8d0bda86-ee17-44a8-a5c3-1b509a87cc13/1575875235584.jpg")</f>
        <v>https://www.commcarehq.org/a/demo-18/api/form/attachment/8d0bda86-ee17-44a8-a5c3-1b509a87cc13/1575875235584.jpg</v>
      </c>
      <c r="H110" t="str">
        <f>HYPERLINK("https://www.commcarehq.org/a/demo-18/api/form/attachment/8d0bda86-ee17-44a8-a5c3-1b509a87cc13/1575875258403.jpg")</f>
        <v>https://www.commcarehq.org/a/demo-18/api/form/attachment/8d0bda86-ee17-44a8-a5c3-1b509a87cc13/1575875258403.jpg</v>
      </c>
      <c r="I110" t="str">
        <f>HYPERLINK("https://www.commcarehq.org/a/demo-18/api/form/attachment/8d0bda86-ee17-44a8-a5c3-1b509a87cc13/1575875325927.jpg")</f>
        <v>https://www.commcarehq.org/a/demo-18/api/form/attachment/8d0bda86-ee17-44a8-a5c3-1b509a87cc13/1575875325927.jpg</v>
      </c>
      <c r="J110" t="str">
        <f>HYPERLINK("https://www.commcarehq.org/a/demo-18/api/form/attachment/8d0bda86-ee17-44a8-a5c3-1b509a87cc13/1575875334934.jpg")</f>
        <v>https://www.commcarehq.org/a/demo-18/api/form/attachment/8d0bda86-ee17-44a8-a5c3-1b509a87cc13/1575875334934.jpg</v>
      </c>
      <c r="K110" t="str">
        <f>HYPERLINK("https://www.commcarehq.org/a/demo-18/api/form/attachment/8d0bda86-ee17-44a8-a5c3-1b509a87cc13/1575875352756.jpg")</f>
        <v>https://www.commcarehq.org/a/demo-18/api/form/attachment/8d0bda86-ee17-44a8-a5c3-1b509a87cc13/1575875352756.jpg</v>
      </c>
      <c r="L110" t="str">
        <f>HYPERLINK("https://www.commcarehq.org/a/demo-18/api/form/attachment/8d0bda86-ee17-44a8-a5c3-1b509a87cc13/1575875362572.jpg")</f>
        <v>https://www.commcarehq.org/a/demo-18/api/form/attachment/8d0bda86-ee17-44a8-a5c3-1b509a87cc13/1575875362572.jpg</v>
      </c>
      <c r="M110" s="2">
        <v>43808.298194444447</v>
      </c>
      <c r="N110" s="2">
        <v>43808.296446759261</v>
      </c>
      <c r="O110" t="s">
        <v>32</v>
      </c>
      <c r="P110" s="2">
        <v>43808.41915509259</v>
      </c>
      <c r="Q110" t="s">
        <v>407</v>
      </c>
      <c r="R110" t="s">
        <v>408</v>
      </c>
    </row>
    <row r="111" spans="1:18" x14ac:dyDescent="0.45">
      <c r="A111" t="s">
        <v>409</v>
      </c>
      <c r="B111" t="s">
        <v>20</v>
      </c>
      <c r="C111" s="1">
        <v>43808</v>
      </c>
      <c r="D111" s="1">
        <v>43846</v>
      </c>
      <c r="E111" t="s">
        <v>21</v>
      </c>
      <c r="F111">
        <v>2.9</v>
      </c>
      <c r="G111" t="str">
        <f>HYPERLINK("https://www.commcarehq.org/a/demo-18/api/form/attachment/0f8946fa-5cc2-45b6-bf93-3f8903dc46ed/1575874219352.jpg")</f>
        <v>https://www.commcarehq.org/a/demo-18/api/form/attachment/0f8946fa-5cc2-45b6-bf93-3f8903dc46ed/1575874219352.jpg</v>
      </c>
      <c r="H111" t="str">
        <f>HYPERLINK("https://www.commcarehq.org/a/demo-18/api/form/attachment/0f8946fa-5cc2-45b6-bf93-3f8903dc46ed/1575874234168.jpg")</f>
        <v>https://www.commcarehq.org/a/demo-18/api/form/attachment/0f8946fa-5cc2-45b6-bf93-3f8903dc46ed/1575874234168.jpg</v>
      </c>
      <c r="I111" t="str">
        <f>HYPERLINK("https://www.commcarehq.org/a/demo-18/api/form/attachment/0f8946fa-5cc2-45b6-bf93-3f8903dc46ed/1575874372243.jpg")</f>
        <v>https://www.commcarehq.org/a/demo-18/api/form/attachment/0f8946fa-5cc2-45b6-bf93-3f8903dc46ed/1575874372243.jpg</v>
      </c>
      <c r="J111" t="str">
        <f>HYPERLINK("https://www.commcarehq.org/a/demo-18/api/form/attachment/0f8946fa-5cc2-45b6-bf93-3f8903dc46ed/1575874380744.jpg")</f>
        <v>https://www.commcarehq.org/a/demo-18/api/form/attachment/0f8946fa-5cc2-45b6-bf93-3f8903dc46ed/1575874380744.jpg</v>
      </c>
      <c r="K111" t="str">
        <f>HYPERLINK("https://www.commcarehq.org/a/demo-18/api/form/attachment/0f8946fa-5cc2-45b6-bf93-3f8903dc46ed/1575874395525.jpg")</f>
        <v>https://www.commcarehq.org/a/demo-18/api/form/attachment/0f8946fa-5cc2-45b6-bf93-3f8903dc46ed/1575874395525.jpg</v>
      </c>
      <c r="L111" t="str">
        <f>HYPERLINK("https://www.commcarehq.org/a/demo-18/api/form/attachment/0f8946fa-5cc2-45b6-bf93-3f8903dc46ed/1575874404908.jpg")</f>
        <v>https://www.commcarehq.org/a/demo-18/api/form/attachment/0f8946fa-5cc2-45b6-bf93-3f8903dc46ed/1575874404908.jpg</v>
      </c>
      <c r="M111" s="2">
        <v>43808.287106481483</v>
      </c>
      <c r="N111" s="2">
        <v>43808.28460648148</v>
      </c>
      <c r="O111" t="s">
        <v>32</v>
      </c>
      <c r="P111" s="2">
        <v>43808.418634259258</v>
      </c>
      <c r="Q111" t="s">
        <v>410</v>
      </c>
      <c r="R111" t="s">
        <v>411</v>
      </c>
    </row>
    <row r="112" spans="1:18" x14ac:dyDescent="0.45">
      <c r="A112" t="s">
        <v>412</v>
      </c>
      <c r="B112" t="s">
        <v>20</v>
      </c>
      <c r="C112" s="1">
        <v>43812</v>
      </c>
      <c r="D112" s="1">
        <v>43850</v>
      </c>
      <c r="E112" t="s">
        <v>21</v>
      </c>
      <c r="F112">
        <v>3.1</v>
      </c>
      <c r="G112" t="str">
        <f>HYPERLINK("https://www.commcarehq.org/a/demo-18/api/form/attachment/739670ca-2d51-4f7f-969c-a55b59ac5970/1576226588182.jpg")</f>
        <v>https://www.commcarehq.org/a/demo-18/api/form/attachment/739670ca-2d51-4f7f-969c-a55b59ac5970/1576226588182.jpg</v>
      </c>
      <c r="H112" t="str">
        <f>HYPERLINK("https://www.commcarehq.org/a/demo-18/api/form/attachment/739670ca-2d51-4f7f-969c-a55b59ac5970/1576226603305.jpg")</f>
        <v>https://www.commcarehq.org/a/demo-18/api/form/attachment/739670ca-2d51-4f7f-969c-a55b59ac5970/1576226603305.jpg</v>
      </c>
      <c r="I112" t="str">
        <f>HYPERLINK("https://www.commcarehq.org/a/demo-18/api/form/attachment/739670ca-2d51-4f7f-969c-a55b59ac5970/1576226682927.jpg")</f>
        <v>https://www.commcarehq.org/a/demo-18/api/form/attachment/739670ca-2d51-4f7f-969c-a55b59ac5970/1576226682927.jpg</v>
      </c>
      <c r="J112" t="str">
        <f>HYPERLINK("https://www.commcarehq.org/a/demo-18/api/form/attachment/739670ca-2d51-4f7f-969c-a55b59ac5970/1576226691989.jpg")</f>
        <v>https://www.commcarehq.org/a/demo-18/api/form/attachment/739670ca-2d51-4f7f-969c-a55b59ac5970/1576226691989.jpg</v>
      </c>
      <c r="K112" t="str">
        <f>HYPERLINK("https://www.commcarehq.org/a/demo-18/api/form/attachment/739670ca-2d51-4f7f-969c-a55b59ac5970/1576226712476.jpg")</f>
        <v>https://www.commcarehq.org/a/demo-18/api/form/attachment/739670ca-2d51-4f7f-969c-a55b59ac5970/1576226712476.jpg</v>
      </c>
      <c r="L112" t="str">
        <f>HYPERLINK("https://www.commcarehq.org/a/demo-18/api/form/attachment/739670ca-2d51-4f7f-969c-a55b59ac5970/1576226725277.jpg")</f>
        <v>https://www.commcarehq.org/a/demo-18/api/form/attachment/739670ca-2d51-4f7f-969c-a55b59ac5970/1576226725277.jpg</v>
      </c>
      <c r="M112" s="2">
        <v>43812.364895833336</v>
      </c>
      <c r="N112" s="2">
        <v>43812.362847222219</v>
      </c>
      <c r="O112" t="s">
        <v>32</v>
      </c>
      <c r="P112" s="2">
        <v>43812.365104166667</v>
      </c>
      <c r="Q112" t="s">
        <v>413</v>
      </c>
      <c r="R112" t="s">
        <v>414</v>
      </c>
    </row>
    <row r="113" spans="1:18" x14ac:dyDescent="0.45">
      <c r="A113" t="s">
        <v>415</v>
      </c>
      <c r="B113" t="s">
        <v>20</v>
      </c>
      <c r="C113" s="1">
        <v>43812</v>
      </c>
      <c r="D113" s="1">
        <v>43850</v>
      </c>
      <c r="E113" t="s">
        <v>21</v>
      </c>
      <c r="F113">
        <v>3.5</v>
      </c>
      <c r="G113" t="str">
        <f>HYPERLINK("https://www.commcarehq.org/a/demo-18/api/form/attachment/bc554072-f7a9-4b7f-891c-720b435934ee/1576227419100.jpg")</f>
        <v>https://www.commcarehq.org/a/demo-18/api/form/attachment/bc554072-f7a9-4b7f-891c-720b435934ee/1576227419100.jpg</v>
      </c>
      <c r="H113" t="str">
        <f>HYPERLINK("https://www.commcarehq.org/a/demo-18/api/form/attachment/bc554072-f7a9-4b7f-891c-720b435934ee/1576227440744.jpg")</f>
        <v>https://www.commcarehq.org/a/demo-18/api/form/attachment/bc554072-f7a9-4b7f-891c-720b435934ee/1576227440744.jpg</v>
      </c>
      <c r="I113" t="str">
        <f>HYPERLINK("https://www.commcarehq.org/a/demo-18/api/form/attachment/bc554072-f7a9-4b7f-891c-720b435934ee/1576227487134.jpg")</f>
        <v>https://www.commcarehq.org/a/demo-18/api/form/attachment/bc554072-f7a9-4b7f-891c-720b435934ee/1576227487134.jpg</v>
      </c>
      <c r="J113" t="str">
        <f>HYPERLINK("https://www.commcarehq.org/a/demo-18/api/form/attachment/bc554072-f7a9-4b7f-891c-720b435934ee/1576227496873.jpg")</f>
        <v>https://www.commcarehq.org/a/demo-18/api/form/attachment/bc554072-f7a9-4b7f-891c-720b435934ee/1576227496873.jpg</v>
      </c>
      <c r="K113" t="str">
        <f>HYPERLINK("https://www.commcarehq.org/a/demo-18/api/form/attachment/bc554072-f7a9-4b7f-891c-720b435934ee/1576227514406.jpg")</f>
        <v>https://www.commcarehq.org/a/demo-18/api/form/attachment/bc554072-f7a9-4b7f-891c-720b435934ee/1576227514406.jpg</v>
      </c>
      <c r="L113" t="str">
        <f>HYPERLINK("https://www.commcarehq.org/a/demo-18/api/form/attachment/bc554072-f7a9-4b7f-891c-720b435934ee/1576227523955.jpg")</f>
        <v>https://www.commcarehq.org/a/demo-18/api/form/attachment/bc554072-f7a9-4b7f-891c-720b435934ee/1576227523955.jpg</v>
      </c>
      <c r="M113" s="2">
        <v>43812.374131944445</v>
      </c>
      <c r="N113" s="2">
        <v>43812.372557870367</v>
      </c>
      <c r="O113" t="s">
        <v>32</v>
      </c>
      <c r="P113" s="2">
        <v>43812.374340277776</v>
      </c>
      <c r="Q113" t="s">
        <v>416</v>
      </c>
      <c r="R113" t="s">
        <v>417</v>
      </c>
    </row>
    <row r="114" spans="1:18" x14ac:dyDescent="0.45">
      <c r="A114" t="s">
        <v>358</v>
      </c>
      <c r="B114" t="s">
        <v>20</v>
      </c>
      <c r="C114" s="1">
        <v>43787</v>
      </c>
      <c r="D114" s="1">
        <v>43825</v>
      </c>
      <c r="E114" t="s">
        <v>21</v>
      </c>
      <c r="F114">
        <v>3</v>
      </c>
      <c r="G114" t="str">
        <f>HYPERLINK("https://www.commcarehq.org/a/demo-18/api/form/attachment/7c2c3d36-3e4e-4641-9ce9-2549bbd49f0c/1574071843364.jpg")</f>
        <v>https://www.commcarehq.org/a/demo-18/api/form/attachment/7c2c3d36-3e4e-4641-9ce9-2549bbd49f0c/1574071843364.jpg</v>
      </c>
      <c r="H114" t="str">
        <f>HYPERLINK("https://www.commcarehq.org/a/demo-18/api/form/attachment/7c2c3d36-3e4e-4641-9ce9-2549bbd49f0c/1574071865539.jpg")</f>
        <v>https://www.commcarehq.org/a/demo-18/api/form/attachment/7c2c3d36-3e4e-4641-9ce9-2549bbd49f0c/1574071865539.jpg</v>
      </c>
      <c r="I114" t="str">
        <f>HYPERLINK("https://www.commcarehq.org/a/demo-18/api/form/attachment/7c2c3d36-3e4e-4641-9ce9-2549bbd49f0c/1574071924480.jpg")</f>
        <v>https://www.commcarehq.org/a/demo-18/api/form/attachment/7c2c3d36-3e4e-4641-9ce9-2549bbd49f0c/1574071924480.jpg</v>
      </c>
      <c r="J114" t="str">
        <f>HYPERLINK("https://www.commcarehq.org/a/demo-18/api/form/attachment/7c2c3d36-3e4e-4641-9ce9-2549bbd49f0c/1574071937032.jpg")</f>
        <v>https://www.commcarehq.org/a/demo-18/api/form/attachment/7c2c3d36-3e4e-4641-9ce9-2549bbd49f0c/1574071937032.jpg</v>
      </c>
      <c r="K114" t="str">
        <f>HYPERLINK("https://www.commcarehq.org/a/demo-18/api/form/attachment/7c2c3d36-3e4e-4641-9ce9-2549bbd49f0c/1574071989542.jpg")</f>
        <v>https://www.commcarehq.org/a/demo-18/api/form/attachment/7c2c3d36-3e4e-4641-9ce9-2549bbd49f0c/1574071989542.jpg</v>
      </c>
      <c r="L114" t="str">
        <f>HYPERLINK("https://www.commcarehq.org/a/demo-18/api/form/attachment/7c2c3d36-3e4e-4641-9ce9-2549bbd49f0c/1574072004668.jpg")</f>
        <v>https://www.commcarehq.org/a/demo-18/api/form/attachment/7c2c3d36-3e4e-4641-9ce9-2549bbd49f0c/1574072004668.jpg</v>
      </c>
      <c r="M114" s="2">
        <v>43787.425995370373</v>
      </c>
      <c r="N114" s="2">
        <v>43787.423703703702</v>
      </c>
      <c r="O114" t="s">
        <v>32</v>
      </c>
      <c r="P114" s="2">
        <v>43787.432395833333</v>
      </c>
      <c r="Q114" t="s">
        <v>359</v>
      </c>
      <c r="R114" t="s">
        <v>360</v>
      </c>
    </row>
    <row r="115" spans="1:18" x14ac:dyDescent="0.45">
      <c r="A115" t="s">
        <v>361</v>
      </c>
      <c r="B115" t="s">
        <v>20</v>
      </c>
      <c r="C115" s="1">
        <v>43787</v>
      </c>
      <c r="D115" s="1">
        <v>43825</v>
      </c>
      <c r="E115" t="s">
        <v>21</v>
      </c>
      <c r="F115">
        <v>2.5</v>
      </c>
      <c r="G115" t="str">
        <f>HYPERLINK("https://www.commcarehq.org/a/demo-18/api/form/attachment/e31a80a4-ea37-4845-99a0-16e11d61e638/1574062412919.jpg")</f>
        <v>https://www.commcarehq.org/a/demo-18/api/form/attachment/e31a80a4-ea37-4845-99a0-16e11d61e638/1574062412919.jpg</v>
      </c>
      <c r="H115" t="str">
        <f>HYPERLINK("https://www.commcarehq.org/a/demo-18/api/form/attachment/e31a80a4-ea37-4845-99a0-16e11d61e638/1574062425241.jpg")</f>
        <v>https://www.commcarehq.org/a/demo-18/api/form/attachment/e31a80a4-ea37-4845-99a0-16e11d61e638/1574062425241.jpg</v>
      </c>
      <c r="I115" t="str">
        <f>HYPERLINK("https://www.commcarehq.org/a/demo-18/api/form/attachment/e31a80a4-ea37-4845-99a0-16e11d61e638/1574062475535.jpg")</f>
        <v>https://www.commcarehq.org/a/demo-18/api/form/attachment/e31a80a4-ea37-4845-99a0-16e11d61e638/1574062475535.jpg</v>
      </c>
      <c r="J115" t="str">
        <f>HYPERLINK("https://www.commcarehq.org/a/demo-18/api/form/attachment/e31a80a4-ea37-4845-99a0-16e11d61e638/1574062484707.jpg")</f>
        <v>https://www.commcarehq.org/a/demo-18/api/form/attachment/e31a80a4-ea37-4845-99a0-16e11d61e638/1574062484707.jpg</v>
      </c>
      <c r="K115" t="str">
        <f>HYPERLINK("https://www.commcarehq.org/a/demo-18/api/form/attachment/e31a80a4-ea37-4845-99a0-16e11d61e638/1574062512132.jpg")</f>
        <v>https://www.commcarehq.org/a/demo-18/api/form/attachment/e31a80a4-ea37-4845-99a0-16e11d61e638/1574062512132.jpg</v>
      </c>
      <c r="L115" t="str">
        <f>HYPERLINK("https://www.commcarehq.org/a/demo-18/api/form/attachment/e31a80a4-ea37-4845-99a0-16e11d61e638/1574062523188.jpg")</f>
        <v>https://www.commcarehq.org/a/demo-18/api/form/attachment/e31a80a4-ea37-4845-99a0-16e11d61e638/1574062523188.jpg</v>
      </c>
      <c r="M115" s="2">
        <v>43787.316250000003</v>
      </c>
      <c r="N115" s="2">
        <v>43787.314710648148</v>
      </c>
      <c r="O115" t="s">
        <v>32</v>
      </c>
      <c r="P115" s="2">
        <v>43787.428923611114</v>
      </c>
      <c r="Q115" t="s">
        <v>362</v>
      </c>
      <c r="R115" t="s">
        <v>363</v>
      </c>
    </row>
    <row r="116" spans="1:18" x14ac:dyDescent="0.45">
      <c r="A116" t="s">
        <v>364</v>
      </c>
      <c r="B116" t="s">
        <v>20</v>
      </c>
      <c r="C116" s="1">
        <v>43790</v>
      </c>
      <c r="D116" s="1">
        <v>43828</v>
      </c>
      <c r="E116" t="s">
        <v>21</v>
      </c>
      <c r="F116">
        <v>2.9</v>
      </c>
      <c r="G116" t="str">
        <f>HYPERLINK("https://www.commcarehq.org/a/demo-18/api/form/attachment/79908ef5-adf2-44b6-b2d3-a1108218d64d/1574327346613.jpg")</f>
        <v>https://www.commcarehq.org/a/demo-18/api/form/attachment/79908ef5-adf2-44b6-b2d3-a1108218d64d/1574327346613.jpg</v>
      </c>
      <c r="H116" t="str">
        <f>HYPERLINK("https://www.commcarehq.org/a/demo-18/api/form/attachment/79908ef5-adf2-44b6-b2d3-a1108218d64d/1574327361397.jpg")</f>
        <v>https://www.commcarehq.org/a/demo-18/api/form/attachment/79908ef5-adf2-44b6-b2d3-a1108218d64d/1574327361397.jpg</v>
      </c>
      <c r="I116" t="str">
        <f>HYPERLINK("https://www.commcarehq.org/a/demo-18/api/form/attachment/79908ef5-adf2-44b6-b2d3-a1108218d64d/1574327412395.jpg")</f>
        <v>https://www.commcarehq.org/a/demo-18/api/form/attachment/79908ef5-adf2-44b6-b2d3-a1108218d64d/1574327412395.jpg</v>
      </c>
      <c r="J116" t="str">
        <f>HYPERLINK("https://www.commcarehq.org/a/demo-18/api/form/attachment/79908ef5-adf2-44b6-b2d3-a1108218d64d/1574327421051.jpg")</f>
        <v>https://www.commcarehq.org/a/demo-18/api/form/attachment/79908ef5-adf2-44b6-b2d3-a1108218d64d/1574327421051.jpg</v>
      </c>
      <c r="K116" t="str">
        <f>HYPERLINK("https://www.commcarehq.org/a/demo-18/api/form/attachment/79908ef5-adf2-44b6-b2d3-a1108218d64d/1574327440571.jpg")</f>
        <v>https://www.commcarehq.org/a/demo-18/api/form/attachment/79908ef5-adf2-44b6-b2d3-a1108218d64d/1574327440571.jpg</v>
      </c>
      <c r="L116" t="str">
        <f>HYPERLINK("https://www.commcarehq.org/a/demo-18/api/form/attachment/79908ef5-adf2-44b6-b2d3-a1108218d64d/1574327459300.jpg")</f>
        <v>https://www.commcarehq.org/a/demo-18/api/form/attachment/79908ef5-adf2-44b6-b2d3-a1108218d64d/1574327459300.jpg</v>
      </c>
      <c r="M116" s="2">
        <v>43790.382662037038</v>
      </c>
      <c r="N116" s="2">
        <v>43790.380972222221</v>
      </c>
      <c r="O116" t="s">
        <v>32</v>
      </c>
      <c r="P116" s="2">
        <v>43790.397094907406</v>
      </c>
      <c r="Q116" t="s">
        <v>365</v>
      </c>
      <c r="R116" t="s">
        <v>366</v>
      </c>
    </row>
    <row r="117" spans="1:18" x14ac:dyDescent="0.45">
      <c r="A117" t="s">
        <v>367</v>
      </c>
      <c r="B117" t="s">
        <v>20</v>
      </c>
      <c r="C117" s="1">
        <v>43790</v>
      </c>
      <c r="D117" s="1">
        <v>43828</v>
      </c>
      <c r="E117" t="s">
        <v>21</v>
      </c>
      <c r="F117">
        <v>3.3</v>
      </c>
      <c r="G117" t="str">
        <f>HYPERLINK("https://www.commcarehq.org/a/demo-18/api/form/attachment/6518379f-9a5c-4992-88e4-bf2e5a70c75e/1574325050566.jpg")</f>
        <v>https://www.commcarehq.org/a/demo-18/api/form/attachment/6518379f-9a5c-4992-88e4-bf2e5a70c75e/1574325050566.jpg</v>
      </c>
      <c r="H117" t="str">
        <f>HYPERLINK("https://www.commcarehq.org/a/demo-18/api/form/attachment/6518379f-9a5c-4992-88e4-bf2e5a70c75e/1574325063527.jpg")</f>
        <v>https://www.commcarehq.org/a/demo-18/api/form/attachment/6518379f-9a5c-4992-88e4-bf2e5a70c75e/1574325063527.jpg</v>
      </c>
      <c r="I117" t="str">
        <f>HYPERLINK("https://www.commcarehq.org/a/demo-18/api/form/attachment/6518379f-9a5c-4992-88e4-bf2e5a70c75e/1574325139864.jpg")</f>
        <v>https://www.commcarehq.org/a/demo-18/api/form/attachment/6518379f-9a5c-4992-88e4-bf2e5a70c75e/1574325139864.jpg</v>
      </c>
      <c r="J117" t="str">
        <f>HYPERLINK("https://www.commcarehq.org/a/demo-18/api/form/attachment/6518379f-9a5c-4992-88e4-bf2e5a70c75e/1574325150011.jpg")</f>
        <v>https://www.commcarehq.org/a/demo-18/api/form/attachment/6518379f-9a5c-4992-88e4-bf2e5a70c75e/1574325150011.jpg</v>
      </c>
      <c r="K117" t="str">
        <f>HYPERLINK("https://www.commcarehq.org/a/demo-18/api/form/attachment/6518379f-9a5c-4992-88e4-bf2e5a70c75e/1574325179347.jpg")</f>
        <v>https://www.commcarehq.org/a/demo-18/api/form/attachment/6518379f-9a5c-4992-88e4-bf2e5a70c75e/1574325179347.jpg</v>
      </c>
      <c r="L117" t="str">
        <f>HYPERLINK("https://www.commcarehq.org/a/demo-18/api/form/attachment/6518379f-9a5c-4992-88e4-bf2e5a70c75e/1574325188033.jpg")</f>
        <v>https://www.commcarehq.org/a/demo-18/api/form/attachment/6518379f-9a5c-4992-88e4-bf2e5a70c75e/1574325188033.jpg</v>
      </c>
      <c r="M117" s="2">
        <v>43790.356354166666</v>
      </c>
      <c r="N117" s="2">
        <v>43790.354456018518</v>
      </c>
      <c r="O117" t="s">
        <v>32</v>
      </c>
      <c r="P117" s="2">
        <v>43790.356562499997</v>
      </c>
      <c r="Q117" t="s">
        <v>368</v>
      </c>
      <c r="R117" t="s">
        <v>369</v>
      </c>
    </row>
    <row r="118" spans="1:18" x14ac:dyDescent="0.45">
      <c r="A118" t="s">
        <v>370</v>
      </c>
      <c r="B118" t="s">
        <v>20</v>
      </c>
      <c r="C118" s="1">
        <v>43790</v>
      </c>
      <c r="D118" s="1">
        <v>43828</v>
      </c>
      <c r="E118" t="s">
        <v>21</v>
      </c>
      <c r="F118">
        <v>2.7</v>
      </c>
      <c r="G118" t="str">
        <f>HYPERLINK("https://www.commcarehq.org/a/demo-18/api/form/attachment/8980c92d-367b-49ca-a578-3c855be05287/1574325937666.jpg")</f>
        <v>https://www.commcarehq.org/a/demo-18/api/form/attachment/8980c92d-367b-49ca-a578-3c855be05287/1574325937666.jpg</v>
      </c>
      <c r="H118" t="str">
        <f>HYPERLINK("https://www.commcarehq.org/a/demo-18/api/form/attachment/8980c92d-367b-49ca-a578-3c855be05287/1574325953915.jpg")</f>
        <v>https://www.commcarehq.org/a/demo-18/api/form/attachment/8980c92d-367b-49ca-a578-3c855be05287/1574325953915.jpg</v>
      </c>
      <c r="I118" t="str">
        <f>HYPERLINK("https://www.commcarehq.org/a/demo-18/api/form/attachment/8980c92d-367b-49ca-a578-3c855be05287/1574326013284.jpg")</f>
        <v>https://www.commcarehq.org/a/demo-18/api/form/attachment/8980c92d-367b-49ca-a578-3c855be05287/1574326013284.jpg</v>
      </c>
      <c r="J118" t="str">
        <f>HYPERLINK("https://www.commcarehq.org/a/demo-18/api/form/attachment/8980c92d-367b-49ca-a578-3c855be05287/1574326022281.jpg")</f>
        <v>https://www.commcarehq.org/a/demo-18/api/form/attachment/8980c92d-367b-49ca-a578-3c855be05287/1574326022281.jpg</v>
      </c>
      <c r="K118" t="str">
        <f>HYPERLINK("https://www.commcarehq.org/a/demo-18/api/form/attachment/8980c92d-367b-49ca-a578-3c855be05287/1574326044634.jpg")</f>
        <v>https://www.commcarehq.org/a/demo-18/api/form/attachment/8980c92d-367b-49ca-a578-3c855be05287/1574326044634.jpg</v>
      </c>
      <c r="L118" t="str">
        <f>HYPERLINK("https://www.commcarehq.org/a/demo-18/api/form/attachment/8980c92d-367b-49ca-a578-3c855be05287/1574326054474.jpg")</f>
        <v>https://www.commcarehq.org/a/demo-18/api/form/attachment/8980c92d-367b-49ca-a578-3c855be05287/1574326054474.jpg</v>
      </c>
      <c r="M118" s="2">
        <v>43790.366388888891</v>
      </c>
      <c r="N118" s="2">
        <v>43790.364537037036</v>
      </c>
      <c r="O118" t="s">
        <v>32</v>
      </c>
      <c r="P118" s="2">
        <v>43790.366550925923</v>
      </c>
      <c r="Q118" t="s">
        <v>371</v>
      </c>
      <c r="R118" t="s">
        <v>372</v>
      </c>
    </row>
    <row r="119" spans="1:18" x14ac:dyDescent="0.45">
      <c r="A119" t="s">
        <v>373</v>
      </c>
      <c r="B119" t="s">
        <v>20</v>
      </c>
      <c r="C119" s="1">
        <v>43789</v>
      </c>
      <c r="D119" s="1">
        <v>43827</v>
      </c>
      <c r="E119" t="s">
        <v>21</v>
      </c>
      <c r="F119">
        <v>3.5</v>
      </c>
      <c r="G119" t="str">
        <f>HYPERLINK("https://www.commcarehq.org/a/demo-18/api/form/attachment/22358fe2-fad2-41a2-8d35-b45feec228b1/1574233944255.jpg")</f>
        <v>https://www.commcarehq.org/a/demo-18/api/form/attachment/22358fe2-fad2-41a2-8d35-b45feec228b1/1574233944255.jpg</v>
      </c>
      <c r="H119" t="str">
        <f>HYPERLINK("https://www.commcarehq.org/a/demo-18/api/form/attachment/22358fe2-fad2-41a2-8d35-b45feec228b1/1574233959356.jpg")</f>
        <v>https://www.commcarehq.org/a/demo-18/api/form/attachment/22358fe2-fad2-41a2-8d35-b45feec228b1/1574233959356.jpg</v>
      </c>
      <c r="I119" t="str">
        <f>HYPERLINK("https://www.commcarehq.org/a/demo-18/api/form/attachment/22358fe2-fad2-41a2-8d35-b45feec228b1/1574234053124.jpg")</f>
        <v>https://www.commcarehq.org/a/demo-18/api/form/attachment/22358fe2-fad2-41a2-8d35-b45feec228b1/1574234053124.jpg</v>
      </c>
      <c r="J119" t="str">
        <f>HYPERLINK("https://www.commcarehq.org/a/demo-18/api/form/attachment/22358fe2-fad2-41a2-8d35-b45feec228b1/1574234065838.jpg")</f>
        <v>https://www.commcarehq.org/a/demo-18/api/form/attachment/22358fe2-fad2-41a2-8d35-b45feec228b1/1574234065838.jpg</v>
      </c>
      <c r="K119" t="str">
        <f>HYPERLINK("https://www.commcarehq.org/a/demo-18/api/form/attachment/22358fe2-fad2-41a2-8d35-b45feec228b1/1574234107819.jpg")</f>
        <v>https://www.commcarehq.org/a/demo-18/api/form/attachment/22358fe2-fad2-41a2-8d35-b45feec228b1/1574234107819.jpg</v>
      </c>
      <c r="L119" t="str">
        <f>HYPERLINK("https://www.commcarehq.org/a/demo-18/api/form/attachment/22358fe2-fad2-41a2-8d35-b45feec228b1/1574234119306.jpg")</f>
        <v>https://www.commcarehq.org/a/demo-18/api/form/attachment/22358fe2-fad2-41a2-8d35-b45feec228b1/1574234119306.jpg</v>
      </c>
      <c r="M119" s="2">
        <v>43789.30232638889</v>
      </c>
      <c r="N119" s="2">
        <v>43789.299930555557</v>
      </c>
      <c r="O119" t="s">
        <v>32</v>
      </c>
      <c r="P119" s="2">
        <v>43789.302511574075</v>
      </c>
      <c r="Q119" t="s">
        <v>374</v>
      </c>
      <c r="R119" t="s">
        <v>375</v>
      </c>
    </row>
    <row r="120" spans="1:18" x14ac:dyDescent="0.45">
      <c r="A120" t="s">
        <v>376</v>
      </c>
      <c r="B120" t="s">
        <v>20</v>
      </c>
      <c r="C120" s="1">
        <v>43789</v>
      </c>
      <c r="D120" s="1">
        <v>43827</v>
      </c>
      <c r="E120" t="s">
        <v>21</v>
      </c>
      <c r="F120">
        <v>2.8</v>
      </c>
      <c r="G120" t="str">
        <f>HYPERLINK("https://www.commcarehq.org/a/demo-18/api/form/attachment/cd3f1025-20ef-4598-a755-6aaae7423ebf/1574240016561.jpg")</f>
        <v>https://www.commcarehq.org/a/demo-18/api/form/attachment/cd3f1025-20ef-4598-a755-6aaae7423ebf/1574240016561.jpg</v>
      </c>
      <c r="H120" t="str">
        <f>HYPERLINK("https://www.commcarehq.org/a/demo-18/api/form/attachment/cd3f1025-20ef-4598-a755-6aaae7423ebf/1574240037460.jpg")</f>
        <v>https://www.commcarehq.org/a/demo-18/api/form/attachment/cd3f1025-20ef-4598-a755-6aaae7423ebf/1574240037460.jpg</v>
      </c>
      <c r="I120" t="str">
        <f>HYPERLINK("https://www.commcarehq.org/a/demo-18/api/form/attachment/cd3f1025-20ef-4598-a755-6aaae7423ebf/1574240097765.jpg")</f>
        <v>https://www.commcarehq.org/a/demo-18/api/form/attachment/cd3f1025-20ef-4598-a755-6aaae7423ebf/1574240097765.jpg</v>
      </c>
      <c r="J120" t="str">
        <f>HYPERLINK("https://www.commcarehq.org/a/demo-18/api/form/attachment/cd3f1025-20ef-4598-a755-6aaae7423ebf/1574240108699.jpg")</f>
        <v>https://www.commcarehq.org/a/demo-18/api/form/attachment/cd3f1025-20ef-4598-a755-6aaae7423ebf/1574240108699.jpg</v>
      </c>
      <c r="K120" t="str">
        <f>HYPERLINK("https://www.commcarehq.org/a/demo-18/api/form/attachment/cd3f1025-20ef-4598-a755-6aaae7423ebf/1574240131034.jpg")</f>
        <v>https://www.commcarehq.org/a/demo-18/api/form/attachment/cd3f1025-20ef-4598-a755-6aaae7423ebf/1574240131034.jpg</v>
      </c>
      <c r="L120" t="str">
        <f>HYPERLINK("https://www.commcarehq.org/a/demo-18/api/form/attachment/cd3f1025-20ef-4598-a755-6aaae7423ebf/1574240142303.jpg")</f>
        <v>https://www.commcarehq.org/a/demo-18/api/form/attachment/cd3f1025-20ef-4598-a755-6aaae7423ebf/1574240142303.jpg</v>
      </c>
      <c r="M120" s="2">
        <v>43789.372037037036</v>
      </c>
      <c r="N120" s="2">
        <v>43789.370196759257</v>
      </c>
      <c r="O120" t="s">
        <v>32</v>
      </c>
      <c r="P120" s="2">
        <v>43789.372245370374</v>
      </c>
      <c r="Q120" t="s">
        <v>377</v>
      </c>
      <c r="R120" t="s">
        <v>378</v>
      </c>
    </row>
    <row r="121" spans="1:18" x14ac:dyDescent="0.45">
      <c r="A121" t="s">
        <v>379</v>
      </c>
      <c r="B121" t="s">
        <v>20</v>
      </c>
      <c r="C121" s="1">
        <v>43789</v>
      </c>
      <c r="D121" s="1">
        <v>43827</v>
      </c>
      <c r="E121" t="s">
        <v>21</v>
      </c>
      <c r="F121">
        <v>3.2</v>
      </c>
      <c r="G121" t="str">
        <f>HYPERLINK("https://www.commcarehq.org/a/demo-18/api/form/attachment/7dbcdbfd-1605-4801-82fe-89936eb3d329/1574240988442.jpg")</f>
        <v>https://www.commcarehq.org/a/demo-18/api/form/attachment/7dbcdbfd-1605-4801-82fe-89936eb3d329/1574240988442.jpg</v>
      </c>
      <c r="H121" t="str">
        <f>HYPERLINK("https://www.commcarehq.org/a/demo-18/api/form/attachment/7dbcdbfd-1605-4801-82fe-89936eb3d329/1574241003461.jpg")</f>
        <v>https://www.commcarehq.org/a/demo-18/api/form/attachment/7dbcdbfd-1605-4801-82fe-89936eb3d329/1574241003461.jpg</v>
      </c>
      <c r="I121" t="str">
        <f>HYPERLINK("https://www.commcarehq.org/a/demo-18/api/form/attachment/7dbcdbfd-1605-4801-82fe-89936eb3d329/1574241073861.jpg")</f>
        <v>https://www.commcarehq.org/a/demo-18/api/form/attachment/7dbcdbfd-1605-4801-82fe-89936eb3d329/1574241073861.jpg</v>
      </c>
      <c r="J121" t="str">
        <f>HYPERLINK("https://www.commcarehq.org/a/demo-18/api/form/attachment/7dbcdbfd-1605-4801-82fe-89936eb3d329/1574241082724.jpg")</f>
        <v>https://www.commcarehq.org/a/demo-18/api/form/attachment/7dbcdbfd-1605-4801-82fe-89936eb3d329/1574241082724.jpg</v>
      </c>
      <c r="K121" t="str">
        <f>HYPERLINK("https://www.commcarehq.org/a/demo-18/api/form/attachment/7dbcdbfd-1605-4801-82fe-89936eb3d329/1574241108455.jpg")</f>
        <v>https://www.commcarehq.org/a/demo-18/api/form/attachment/7dbcdbfd-1605-4801-82fe-89936eb3d329/1574241108455.jpg</v>
      </c>
      <c r="L121" t="str">
        <f>HYPERLINK("https://www.commcarehq.org/a/demo-18/api/form/attachment/7dbcdbfd-1605-4801-82fe-89936eb3d329/1574241118494.jpg")</f>
        <v>https://www.commcarehq.org/a/demo-18/api/form/attachment/7dbcdbfd-1605-4801-82fe-89936eb3d329/1574241118494.jpg</v>
      </c>
      <c r="M121" s="2">
        <v>43789.383333333331</v>
      </c>
      <c r="N121" s="2">
        <v>43789.381458333337</v>
      </c>
      <c r="O121" t="s">
        <v>32</v>
      </c>
      <c r="P121" s="2">
        <v>43789.38354166667</v>
      </c>
      <c r="Q121" t="s">
        <v>380</v>
      </c>
      <c r="R121" t="s">
        <v>381</v>
      </c>
    </row>
    <row r="122" spans="1:18" x14ac:dyDescent="0.45">
      <c r="A122" t="s">
        <v>418</v>
      </c>
      <c r="B122" t="s">
        <v>20</v>
      </c>
      <c r="C122" s="1">
        <v>43815</v>
      </c>
      <c r="D122" s="1">
        <v>43853</v>
      </c>
      <c r="E122" t="s">
        <v>21</v>
      </c>
      <c r="F122">
        <v>2.8</v>
      </c>
      <c r="G122" t="str">
        <f>HYPERLINK("https://www.commcarehq.org/a/demo-18/api/form/attachment/cd6f2571-599c-4d05-aaba-53d164fd5dbb/1576480885737.jpg")</f>
        <v>https://www.commcarehq.org/a/demo-18/api/form/attachment/cd6f2571-599c-4d05-aaba-53d164fd5dbb/1576480885737.jpg</v>
      </c>
      <c r="H122" t="str">
        <f>HYPERLINK("https://www.commcarehq.org/a/demo-18/api/form/attachment/cd6f2571-599c-4d05-aaba-53d164fd5dbb/1576480903786.jpg")</f>
        <v>https://www.commcarehq.org/a/demo-18/api/form/attachment/cd6f2571-599c-4d05-aaba-53d164fd5dbb/1576480903786.jpg</v>
      </c>
      <c r="I122" t="str">
        <f>HYPERLINK("https://www.commcarehq.org/a/demo-18/api/form/attachment/cd6f2571-599c-4d05-aaba-53d164fd5dbb/1576480952738.jpg")</f>
        <v>https://www.commcarehq.org/a/demo-18/api/form/attachment/cd6f2571-599c-4d05-aaba-53d164fd5dbb/1576480952738.jpg</v>
      </c>
      <c r="J122" t="str">
        <f>HYPERLINK("https://www.commcarehq.org/a/demo-18/api/form/attachment/cd6f2571-599c-4d05-aaba-53d164fd5dbb/1576480961959.jpg")</f>
        <v>https://www.commcarehq.org/a/demo-18/api/form/attachment/cd6f2571-599c-4d05-aaba-53d164fd5dbb/1576480961959.jpg</v>
      </c>
      <c r="K122" t="str">
        <f>HYPERLINK("https://www.commcarehq.org/a/demo-18/api/form/attachment/cd6f2571-599c-4d05-aaba-53d164fd5dbb/1576480978622.jpg")</f>
        <v>https://www.commcarehq.org/a/demo-18/api/form/attachment/cd6f2571-599c-4d05-aaba-53d164fd5dbb/1576480978622.jpg</v>
      </c>
      <c r="L122" t="str">
        <f>HYPERLINK("https://www.commcarehq.org/a/demo-18/api/form/attachment/cd6f2571-599c-4d05-aaba-53d164fd5dbb/1576480987592.jpg")</f>
        <v>https://www.commcarehq.org/a/demo-18/api/form/attachment/cd6f2571-599c-4d05-aaba-53d164fd5dbb/1576480987592.jpg</v>
      </c>
      <c r="M122" s="2">
        <v>43815.307743055557</v>
      </c>
      <c r="N122" s="2">
        <v>43815.306145833332</v>
      </c>
      <c r="O122" t="s">
        <v>32</v>
      </c>
      <c r="P122" s="2">
        <v>43815.307939814818</v>
      </c>
      <c r="Q122" t="s">
        <v>419</v>
      </c>
      <c r="R122" t="s">
        <v>420</v>
      </c>
    </row>
    <row r="123" spans="1:18" x14ac:dyDescent="0.45">
      <c r="A123" t="s">
        <v>322</v>
      </c>
      <c r="B123" t="s">
        <v>20</v>
      </c>
      <c r="C123" s="1">
        <v>43775</v>
      </c>
      <c r="D123" s="1">
        <v>43813</v>
      </c>
      <c r="E123" t="s">
        <v>21</v>
      </c>
      <c r="F123">
        <v>3.5</v>
      </c>
      <c r="G123" t="str">
        <f>HYPERLINK("https://www.commcarehq.org/a/demo-18/api/form/attachment/092df509-d149-4846-a339-fb94cb4ab43e/1573027307649.jpg")</f>
        <v>https://www.commcarehq.org/a/demo-18/api/form/attachment/092df509-d149-4846-a339-fb94cb4ab43e/1573027307649.jpg</v>
      </c>
      <c r="H123" t="str">
        <f>HYPERLINK("https://www.commcarehq.org/a/demo-18/api/form/attachment/092df509-d149-4846-a339-fb94cb4ab43e/1573027319923.jpg")</f>
        <v>https://www.commcarehq.org/a/demo-18/api/form/attachment/092df509-d149-4846-a339-fb94cb4ab43e/1573027319923.jpg</v>
      </c>
      <c r="I123" t="str">
        <f>HYPERLINK("https://www.commcarehq.org/a/demo-18/api/form/attachment/092df509-d149-4846-a339-fb94cb4ab43e/1573027538932.jpg")</f>
        <v>https://www.commcarehq.org/a/demo-18/api/form/attachment/092df509-d149-4846-a339-fb94cb4ab43e/1573027538932.jpg</v>
      </c>
      <c r="J123" t="str">
        <f>HYPERLINK("https://www.commcarehq.org/a/demo-18/api/form/attachment/092df509-d149-4846-a339-fb94cb4ab43e/1573027553316.jpg")</f>
        <v>https://www.commcarehq.org/a/demo-18/api/form/attachment/092df509-d149-4846-a339-fb94cb4ab43e/1573027553316.jpg</v>
      </c>
      <c r="K123" t="str">
        <f>HYPERLINK("https://www.commcarehq.org/a/demo-18/api/form/attachment/092df509-d149-4846-a339-fb94cb4ab43e/1573027735988.jpg")</f>
        <v>https://www.commcarehq.org/a/demo-18/api/form/attachment/092df509-d149-4846-a339-fb94cb4ab43e/1573027735988.jpg</v>
      </c>
      <c r="L123" t="str">
        <f>HYPERLINK("https://www.commcarehq.org/a/demo-18/api/form/attachment/092df509-d149-4846-a339-fb94cb4ab43e/1573027752516.jpg")</f>
        <v>https://www.commcarehq.org/a/demo-18/api/form/attachment/092df509-d149-4846-a339-fb94cb4ab43e/1573027752516.jpg</v>
      </c>
      <c r="M123" s="2">
        <v>43775.339791666665</v>
      </c>
      <c r="N123" s="2">
        <v>43775.333958333336</v>
      </c>
      <c r="O123" t="s">
        <v>22</v>
      </c>
      <c r="P123" s="2">
        <v>43775.367291666669</v>
      </c>
      <c r="Q123" t="s">
        <v>323</v>
      </c>
      <c r="R123" s="3" t="s">
        <v>324</v>
      </c>
    </row>
    <row r="124" spans="1:18" x14ac:dyDescent="0.45">
      <c r="A124" t="s">
        <v>325</v>
      </c>
      <c r="B124" t="s">
        <v>20</v>
      </c>
      <c r="C124" s="1">
        <v>43775</v>
      </c>
      <c r="D124" s="1">
        <v>43813</v>
      </c>
      <c r="E124" t="s">
        <v>21</v>
      </c>
      <c r="F124">
        <v>3.2</v>
      </c>
      <c r="G124" t="str">
        <f>HYPERLINK("https://www.commcarehq.org/a/demo-18/api/form/attachment/22e71530-0d3c-41b3-adda-7038ca20c79e/1573024116805.jpg")</f>
        <v>https://www.commcarehq.org/a/demo-18/api/form/attachment/22e71530-0d3c-41b3-adda-7038ca20c79e/1573024116805.jpg</v>
      </c>
      <c r="H124" t="str">
        <f>HYPERLINK("https://www.commcarehq.org/a/demo-18/api/form/attachment/22e71530-0d3c-41b3-adda-7038ca20c79e/1573024148242.jpg")</f>
        <v>https://www.commcarehq.org/a/demo-18/api/form/attachment/22e71530-0d3c-41b3-adda-7038ca20c79e/1573024148242.jpg</v>
      </c>
      <c r="I124" t="str">
        <f>HYPERLINK("https://www.commcarehq.org/a/demo-18/api/form/attachment/22e71530-0d3c-41b3-adda-7038ca20c79e/1573024240018.jpg")</f>
        <v>https://www.commcarehq.org/a/demo-18/api/form/attachment/22e71530-0d3c-41b3-adda-7038ca20c79e/1573024240018.jpg</v>
      </c>
      <c r="J124" t="str">
        <f>HYPERLINK("https://www.commcarehq.org/a/demo-18/api/form/attachment/22e71530-0d3c-41b3-adda-7038ca20c79e/1573024256864.jpg")</f>
        <v>https://www.commcarehq.org/a/demo-18/api/form/attachment/22e71530-0d3c-41b3-adda-7038ca20c79e/1573024256864.jpg</v>
      </c>
      <c r="K124" t="str">
        <f>HYPERLINK("https://www.commcarehq.org/a/demo-18/api/form/attachment/22e71530-0d3c-41b3-adda-7038ca20c79e/1573024318048.jpg")</f>
        <v>https://www.commcarehq.org/a/demo-18/api/form/attachment/22e71530-0d3c-41b3-adda-7038ca20c79e/1573024318048.jpg</v>
      </c>
      <c r="L124" t="str">
        <f>HYPERLINK("https://www.commcarehq.org/a/demo-18/api/form/attachment/22e71530-0d3c-41b3-adda-7038ca20c79e/1573024336417.jpg")</f>
        <v>https://www.commcarehq.org/a/demo-18/api/form/attachment/22e71530-0d3c-41b3-adda-7038ca20c79e/1573024336417.jpg</v>
      </c>
      <c r="M124" s="2">
        <v>43775.300243055557</v>
      </c>
      <c r="N124" s="2">
        <v>43775.297048611108</v>
      </c>
      <c r="O124" t="s">
        <v>22</v>
      </c>
      <c r="P124" s="2">
        <v>43775.300439814811</v>
      </c>
      <c r="Q124" t="s">
        <v>326</v>
      </c>
      <c r="R124" s="3" t="s">
        <v>327</v>
      </c>
    </row>
    <row r="125" spans="1:18" x14ac:dyDescent="0.45">
      <c r="A125" t="s">
        <v>328</v>
      </c>
      <c r="B125" t="s">
        <v>20</v>
      </c>
      <c r="C125" s="1">
        <v>43780</v>
      </c>
      <c r="D125" s="1">
        <v>43818</v>
      </c>
      <c r="E125" t="s">
        <v>21</v>
      </c>
      <c r="F125">
        <v>3</v>
      </c>
      <c r="G125" t="str">
        <f>HYPERLINK("https://www.commcarehq.org/a/demo-18/api/form/attachment/eb71d4b6-4373-42cc-a3c2-37de2d6971b3/1573459915859.jpg")</f>
        <v>https://www.commcarehq.org/a/demo-18/api/form/attachment/eb71d4b6-4373-42cc-a3c2-37de2d6971b3/1573459915859.jpg</v>
      </c>
      <c r="H125" t="str">
        <f>HYPERLINK("https://www.commcarehq.org/a/demo-18/api/form/attachment/eb71d4b6-4373-42cc-a3c2-37de2d6971b3/1573459931876.jpg")</f>
        <v>https://www.commcarehq.org/a/demo-18/api/form/attachment/eb71d4b6-4373-42cc-a3c2-37de2d6971b3/1573459931876.jpg</v>
      </c>
      <c r="I125" t="str">
        <f>HYPERLINK("https://www.commcarehq.org/a/demo-18/api/form/attachment/eb71d4b6-4373-42cc-a3c2-37de2d6971b3/1573459994010.jpg")</f>
        <v>https://www.commcarehq.org/a/demo-18/api/form/attachment/eb71d4b6-4373-42cc-a3c2-37de2d6971b3/1573459994010.jpg</v>
      </c>
      <c r="J125" t="str">
        <f>HYPERLINK("https://www.commcarehq.org/a/demo-18/api/form/attachment/eb71d4b6-4373-42cc-a3c2-37de2d6971b3/1573460008306.jpg")</f>
        <v>https://www.commcarehq.org/a/demo-18/api/form/attachment/eb71d4b6-4373-42cc-a3c2-37de2d6971b3/1573460008306.jpg</v>
      </c>
      <c r="K125" t="str">
        <f>HYPERLINK("https://www.commcarehq.org/a/demo-18/api/form/attachment/eb71d4b6-4373-42cc-a3c2-37de2d6971b3/1573460035570.jpg")</f>
        <v>https://www.commcarehq.org/a/demo-18/api/form/attachment/eb71d4b6-4373-42cc-a3c2-37de2d6971b3/1573460035570.jpg</v>
      </c>
      <c r="L125" t="str">
        <f>HYPERLINK("https://www.commcarehq.org/a/demo-18/api/form/attachment/eb71d4b6-4373-42cc-a3c2-37de2d6971b3/1573460049874.jpg")</f>
        <v>https://www.commcarehq.org/a/demo-18/api/form/attachment/eb71d4b6-4373-42cc-a3c2-37de2d6971b3/1573460049874.jpg</v>
      </c>
      <c r="M125" s="2">
        <v>43780.343194444446</v>
      </c>
      <c r="N125" s="2">
        <v>43780.341296296298</v>
      </c>
      <c r="O125" t="s">
        <v>32</v>
      </c>
      <c r="P125" s="2">
        <v>43780.421805555554</v>
      </c>
      <c r="Q125" t="s">
        <v>329</v>
      </c>
      <c r="R125" t="s">
        <v>330</v>
      </c>
    </row>
    <row r="126" spans="1:18" x14ac:dyDescent="0.45">
      <c r="A126" t="s">
        <v>331</v>
      </c>
      <c r="B126" t="s">
        <v>20</v>
      </c>
      <c r="C126" s="1">
        <v>43780</v>
      </c>
      <c r="D126" s="1">
        <v>43818</v>
      </c>
      <c r="E126" t="s">
        <v>21</v>
      </c>
      <c r="F126">
        <v>2.7</v>
      </c>
      <c r="G126" t="str">
        <f>HYPERLINK("https://www.commcarehq.org/a/demo-18/api/form/attachment/660c5550-3340-4b8a-b704-ca73b81ab92d/1573457401181.jpg")</f>
        <v>https://www.commcarehq.org/a/demo-18/api/form/attachment/660c5550-3340-4b8a-b704-ca73b81ab92d/1573457401181.jpg</v>
      </c>
      <c r="H126" t="str">
        <f>HYPERLINK("https://www.commcarehq.org/a/demo-18/api/form/attachment/660c5550-3340-4b8a-b704-ca73b81ab92d/1573457422294.jpg")</f>
        <v>https://www.commcarehq.org/a/demo-18/api/form/attachment/660c5550-3340-4b8a-b704-ca73b81ab92d/1573457422294.jpg</v>
      </c>
      <c r="I126" t="str">
        <f>HYPERLINK("https://www.commcarehq.org/a/demo-18/api/form/attachment/660c5550-3340-4b8a-b704-ca73b81ab92d/1573457505409.jpg")</f>
        <v>https://www.commcarehq.org/a/demo-18/api/form/attachment/660c5550-3340-4b8a-b704-ca73b81ab92d/1573457505409.jpg</v>
      </c>
      <c r="J126" t="str">
        <f>HYPERLINK("https://www.commcarehq.org/a/demo-18/api/form/attachment/660c5550-3340-4b8a-b704-ca73b81ab92d/1573457518017.jpg")</f>
        <v>https://www.commcarehq.org/a/demo-18/api/form/attachment/660c5550-3340-4b8a-b704-ca73b81ab92d/1573457518017.jpg</v>
      </c>
      <c r="K126" t="str">
        <f>HYPERLINK("https://www.commcarehq.org/a/demo-18/api/form/attachment/660c5550-3340-4b8a-b704-ca73b81ab92d/1573457536302.jpg")</f>
        <v>https://www.commcarehq.org/a/demo-18/api/form/attachment/660c5550-3340-4b8a-b704-ca73b81ab92d/1573457536302.jpg</v>
      </c>
      <c r="L126" t="str">
        <f>HYPERLINK("https://www.commcarehq.org/a/demo-18/api/form/attachment/660c5550-3340-4b8a-b704-ca73b81ab92d/1573457552411.jpg")</f>
        <v>https://www.commcarehq.org/a/demo-18/api/form/attachment/660c5550-3340-4b8a-b704-ca73b81ab92d/1573457552411.jpg</v>
      </c>
      <c r="M126" s="2">
        <v>43780.314317129632</v>
      </c>
      <c r="N126" s="2">
        <v>43780.3122337963</v>
      </c>
      <c r="O126" t="s">
        <v>32</v>
      </c>
      <c r="P126" s="2">
        <v>43780.421053240738</v>
      </c>
      <c r="Q126" t="s">
        <v>332</v>
      </c>
      <c r="R126" s="3" t="s">
        <v>333</v>
      </c>
    </row>
    <row r="127" spans="1:18" x14ac:dyDescent="0.45">
      <c r="A127" t="s">
        <v>334</v>
      </c>
      <c r="B127" t="s">
        <v>20</v>
      </c>
      <c r="C127" s="1">
        <v>43780</v>
      </c>
      <c r="D127" s="1">
        <v>43818</v>
      </c>
      <c r="E127" t="s">
        <v>21</v>
      </c>
      <c r="F127">
        <v>2.7</v>
      </c>
      <c r="G127" t="str">
        <f>HYPERLINK("https://www.commcarehq.org/a/demo-18/api/form/attachment/8b644c51-de0b-4d13-bb80-34da58a7e6d2/1573458638738.jpg")</f>
        <v>https://www.commcarehq.org/a/demo-18/api/form/attachment/8b644c51-de0b-4d13-bb80-34da58a7e6d2/1573458638738.jpg</v>
      </c>
      <c r="H127" t="str">
        <f>HYPERLINK("https://www.commcarehq.org/a/demo-18/api/form/attachment/8b644c51-de0b-4d13-bb80-34da58a7e6d2/1573458660725.jpg")</f>
        <v>https://www.commcarehq.org/a/demo-18/api/form/attachment/8b644c51-de0b-4d13-bb80-34da58a7e6d2/1573458660725.jpg</v>
      </c>
      <c r="I127" t="str">
        <f>HYPERLINK("https://www.commcarehq.org/a/demo-18/api/form/attachment/8b644c51-de0b-4d13-bb80-34da58a7e6d2/1573458748005.jpg")</f>
        <v>https://www.commcarehq.org/a/demo-18/api/form/attachment/8b644c51-de0b-4d13-bb80-34da58a7e6d2/1573458748005.jpg</v>
      </c>
      <c r="J127" t="str">
        <f>HYPERLINK("https://www.commcarehq.org/a/demo-18/api/form/attachment/8b644c51-de0b-4d13-bb80-34da58a7e6d2/1573458760128.jpg")</f>
        <v>https://www.commcarehq.org/a/demo-18/api/form/attachment/8b644c51-de0b-4d13-bb80-34da58a7e6d2/1573458760128.jpg</v>
      </c>
      <c r="K127" t="str">
        <f>HYPERLINK("https://www.commcarehq.org/a/demo-18/api/form/attachment/8b644c51-de0b-4d13-bb80-34da58a7e6d2/1573458779837.jpg")</f>
        <v>https://www.commcarehq.org/a/demo-18/api/form/attachment/8b644c51-de0b-4d13-bb80-34da58a7e6d2/1573458779837.jpg</v>
      </c>
      <c r="L127" t="str">
        <f>HYPERLINK("https://www.commcarehq.org/a/demo-18/api/form/attachment/8b644c51-de0b-4d13-bb80-34da58a7e6d2/1573458794395.jpg")</f>
        <v>https://www.commcarehq.org/a/demo-18/api/form/attachment/8b644c51-de0b-4d13-bb80-34da58a7e6d2/1573458794395.jpg</v>
      </c>
      <c r="M127" s="2">
        <v>43780.328657407408</v>
      </c>
      <c r="N127" s="2">
        <v>43780.326377314814</v>
      </c>
      <c r="O127" t="s">
        <v>32</v>
      </c>
      <c r="P127" s="2">
        <v>43780.421249999999</v>
      </c>
      <c r="Q127" t="s">
        <v>335</v>
      </c>
      <c r="R127" t="s">
        <v>336</v>
      </c>
    </row>
    <row r="128" spans="1:18" x14ac:dyDescent="0.45">
      <c r="A128" t="s">
        <v>337</v>
      </c>
      <c r="B128" t="s">
        <v>20</v>
      </c>
      <c r="C128" s="1">
        <v>43782</v>
      </c>
      <c r="D128" s="1">
        <v>43820</v>
      </c>
      <c r="E128" t="s">
        <v>21</v>
      </c>
      <c r="F128">
        <v>3.5</v>
      </c>
      <c r="G128" t="str">
        <f>HYPERLINK("https://www.commcarehq.org/a/demo-18/api/form/attachment/1c5e8fe3-97e9-455f-8bb2-d68a2dea9781/1573630671765.jpg")</f>
        <v>https://www.commcarehq.org/a/demo-18/api/form/attachment/1c5e8fe3-97e9-455f-8bb2-d68a2dea9781/1573630671765.jpg</v>
      </c>
      <c r="H128" t="str">
        <f>HYPERLINK("https://www.commcarehq.org/a/demo-18/api/form/attachment/1c5e8fe3-97e9-455f-8bb2-d68a2dea9781/1573630689906.jpg")</f>
        <v>https://www.commcarehq.org/a/demo-18/api/form/attachment/1c5e8fe3-97e9-455f-8bb2-d68a2dea9781/1573630689906.jpg</v>
      </c>
      <c r="I128" t="str">
        <f>HYPERLINK("https://www.commcarehq.org/a/demo-18/api/form/attachment/1c5e8fe3-97e9-455f-8bb2-d68a2dea9781/1573630785722.jpg")</f>
        <v>https://www.commcarehq.org/a/demo-18/api/form/attachment/1c5e8fe3-97e9-455f-8bb2-d68a2dea9781/1573630785722.jpg</v>
      </c>
      <c r="J128" t="str">
        <f>HYPERLINK("https://www.commcarehq.org/a/demo-18/api/form/attachment/1c5e8fe3-97e9-455f-8bb2-d68a2dea9781/1573630798038.jpg")</f>
        <v>https://www.commcarehq.org/a/demo-18/api/form/attachment/1c5e8fe3-97e9-455f-8bb2-d68a2dea9781/1573630798038.jpg</v>
      </c>
      <c r="K128" t="str">
        <f>HYPERLINK("https://www.commcarehq.org/a/demo-18/api/form/attachment/1c5e8fe3-97e9-455f-8bb2-d68a2dea9781/1573630853825.jpg")</f>
        <v>https://www.commcarehq.org/a/demo-18/api/form/attachment/1c5e8fe3-97e9-455f-8bb2-d68a2dea9781/1573630853825.jpg</v>
      </c>
      <c r="L128" t="str">
        <f>HYPERLINK("https://www.commcarehq.org/a/demo-18/api/form/attachment/1c5e8fe3-97e9-455f-8bb2-d68a2dea9781/1573630875385.jpg")</f>
        <v>https://www.commcarehq.org/a/demo-18/api/form/attachment/1c5e8fe3-97e9-455f-8bb2-d68a2dea9781/1573630875385.jpg</v>
      </c>
      <c r="M128" s="2">
        <v>43782.3203587963</v>
      </c>
      <c r="N128" s="2">
        <v>43782.317465277774</v>
      </c>
      <c r="O128" t="s">
        <v>32</v>
      </c>
      <c r="P128" s="2">
        <v>43782.37972222222</v>
      </c>
      <c r="Q128" t="s">
        <v>338</v>
      </c>
      <c r="R128" t="s">
        <v>339</v>
      </c>
    </row>
    <row r="129" spans="1:18" x14ac:dyDescent="0.45">
      <c r="A129" t="s">
        <v>340</v>
      </c>
      <c r="B129" t="s">
        <v>20</v>
      </c>
      <c r="C129" s="1">
        <v>43784</v>
      </c>
      <c r="D129" s="1">
        <v>43822</v>
      </c>
      <c r="E129" t="s">
        <v>21</v>
      </c>
      <c r="F129">
        <v>3.4</v>
      </c>
      <c r="G129" t="str">
        <f>HYPERLINK("https://www.commcarehq.org/a/demo-18/api/form/attachment/70c7002f-dcc4-41c4-b9e9-638fe219b6ca/1573802196048.jpg")</f>
        <v>https://www.commcarehq.org/a/demo-18/api/form/attachment/70c7002f-dcc4-41c4-b9e9-638fe219b6ca/1573802196048.jpg</v>
      </c>
      <c r="H129" t="str">
        <f>HYPERLINK("https://www.commcarehq.org/a/demo-18/api/form/attachment/70c7002f-dcc4-41c4-b9e9-638fe219b6ca/1573802232747.jpg")</f>
        <v>https://www.commcarehq.org/a/demo-18/api/form/attachment/70c7002f-dcc4-41c4-b9e9-638fe219b6ca/1573802232747.jpg</v>
      </c>
      <c r="I129" t="str">
        <f>HYPERLINK("https://www.commcarehq.org/a/demo-18/api/form/attachment/70c7002f-dcc4-41c4-b9e9-638fe219b6ca/1573802359217.jpg")</f>
        <v>https://www.commcarehq.org/a/demo-18/api/form/attachment/70c7002f-dcc4-41c4-b9e9-638fe219b6ca/1573802359217.jpg</v>
      </c>
      <c r="J129" t="str">
        <f>HYPERLINK("https://www.commcarehq.org/a/demo-18/api/form/attachment/70c7002f-dcc4-41c4-b9e9-638fe219b6ca/1573802371978.jpg")</f>
        <v>https://www.commcarehq.org/a/demo-18/api/form/attachment/70c7002f-dcc4-41c4-b9e9-638fe219b6ca/1573802371978.jpg</v>
      </c>
      <c r="K129" t="str">
        <f>HYPERLINK("https://www.commcarehq.org/a/demo-18/api/form/attachment/70c7002f-dcc4-41c4-b9e9-638fe219b6ca/1573802395130.jpg")</f>
        <v>https://www.commcarehq.org/a/demo-18/api/form/attachment/70c7002f-dcc4-41c4-b9e9-638fe219b6ca/1573802395130.jpg</v>
      </c>
      <c r="L129" t="str">
        <f>HYPERLINK("https://www.commcarehq.org/a/demo-18/api/form/attachment/70c7002f-dcc4-41c4-b9e9-638fe219b6ca/1573802408075.jpg")</f>
        <v>https://www.commcarehq.org/a/demo-18/api/form/attachment/70c7002f-dcc4-41c4-b9e9-638fe219b6ca/1573802408075.jpg</v>
      </c>
      <c r="M129" s="2">
        <v>43784.305671296293</v>
      </c>
      <c r="N129" s="2">
        <v>43784.302812499998</v>
      </c>
      <c r="O129" t="s">
        <v>32</v>
      </c>
      <c r="P129" s="2">
        <v>43784.305879629632</v>
      </c>
      <c r="Q129" t="s">
        <v>341</v>
      </c>
      <c r="R129" t="s">
        <v>342</v>
      </c>
    </row>
    <row r="130" spans="1:18" x14ac:dyDescent="0.45">
      <c r="A130" t="s">
        <v>343</v>
      </c>
      <c r="B130" t="s">
        <v>20</v>
      </c>
      <c r="C130" s="1">
        <v>43777</v>
      </c>
      <c r="D130" s="1">
        <v>43815</v>
      </c>
      <c r="E130" t="s">
        <v>21</v>
      </c>
      <c r="F130">
        <v>2.8</v>
      </c>
      <c r="G130" t="str">
        <f>HYPERLINK("https://www.commcarehq.org/a/demo-18/api/form/attachment/69b00aa7-279d-4f87-afb1-346d673c3230/1573197407234.jpg")</f>
        <v>https://www.commcarehq.org/a/demo-18/api/form/attachment/69b00aa7-279d-4f87-afb1-346d673c3230/1573197407234.jpg</v>
      </c>
      <c r="H130" t="str">
        <f>HYPERLINK("https://www.commcarehq.org/a/demo-18/api/form/attachment/69b00aa7-279d-4f87-afb1-346d673c3230/1573197420777.jpg")</f>
        <v>https://www.commcarehq.org/a/demo-18/api/form/attachment/69b00aa7-279d-4f87-afb1-346d673c3230/1573197420777.jpg</v>
      </c>
      <c r="I130" t="str">
        <f>HYPERLINK("https://www.commcarehq.org/a/demo-18/api/form/attachment/69b00aa7-279d-4f87-afb1-346d673c3230/1573197532389.jpg")</f>
        <v>https://www.commcarehq.org/a/demo-18/api/form/attachment/69b00aa7-279d-4f87-afb1-346d673c3230/1573197532389.jpg</v>
      </c>
      <c r="J130" t="str">
        <f>HYPERLINK("https://www.commcarehq.org/a/demo-18/api/form/attachment/69b00aa7-279d-4f87-afb1-346d673c3230/1573197549019.jpg")</f>
        <v>https://www.commcarehq.org/a/demo-18/api/form/attachment/69b00aa7-279d-4f87-afb1-346d673c3230/1573197549019.jpg</v>
      </c>
      <c r="K130" t="str">
        <f>HYPERLINK("https://www.commcarehq.org/a/demo-18/api/form/attachment/69b00aa7-279d-4f87-afb1-346d673c3230/1573197587691.jpg")</f>
        <v>https://www.commcarehq.org/a/demo-18/api/form/attachment/69b00aa7-279d-4f87-afb1-346d673c3230/1573197587691.jpg</v>
      </c>
      <c r="L130" t="str">
        <f>HYPERLINK("https://www.commcarehq.org/a/demo-18/api/form/attachment/69b00aa7-279d-4f87-afb1-346d673c3230/1573197659237.jpg")</f>
        <v>https://www.commcarehq.org/a/demo-18/api/form/attachment/69b00aa7-279d-4f87-afb1-346d673c3230/1573197659237.jpg</v>
      </c>
      <c r="M130" s="2">
        <v>43777.306296296294</v>
      </c>
      <c r="N130" s="2">
        <v>43777.303067129629</v>
      </c>
      <c r="O130" t="s">
        <v>22</v>
      </c>
      <c r="P130" s="2">
        <v>43777.627418981479</v>
      </c>
      <c r="Q130" t="s">
        <v>344</v>
      </c>
      <c r="R130" t="s">
        <v>345</v>
      </c>
    </row>
    <row r="131" spans="1:18" x14ac:dyDescent="0.45">
      <c r="A131" t="s">
        <v>346</v>
      </c>
      <c r="B131" t="s">
        <v>20</v>
      </c>
      <c r="C131" s="1">
        <v>43777</v>
      </c>
      <c r="D131" s="1">
        <v>43815</v>
      </c>
      <c r="E131" t="s">
        <v>21</v>
      </c>
      <c r="F131">
        <v>3.3</v>
      </c>
      <c r="G131" t="str">
        <f>HYPERLINK("https://www.commcarehq.org/a/demo-18/api/form/attachment/95713670-d0b2-4803-a7f4-32e89bd1e571/1573197001222.jpg")</f>
        <v>https://www.commcarehq.org/a/demo-18/api/form/attachment/95713670-d0b2-4803-a7f4-32e89bd1e571/1573197001222.jpg</v>
      </c>
      <c r="H131" t="str">
        <f>HYPERLINK("https://www.commcarehq.org/a/demo-18/api/form/attachment/95713670-d0b2-4803-a7f4-32e89bd1e571/1573197014924.jpg")</f>
        <v>https://www.commcarehq.org/a/demo-18/api/form/attachment/95713670-d0b2-4803-a7f4-32e89bd1e571/1573197014924.jpg</v>
      </c>
      <c r="I131" t="str">
        <f>HYPERLINK("https://www.commcarehq.org/a/demo-18/api/form/attachment/95713670-d0b2-4803-a7f4-32e89bd1e571/1573197089105.jpg")</f>
        <v>https://www.commcarehq.org/a/demo-18/api/form/attachment/95713670-d0b2-4803-a7f4-32e89bd1e571/1573197089105.jpg</v>
      </c>
      <c r="J131" t="str">
        <f>HYPERLINK("https://www.commcarehq.org/a/demo-18/api/form/attachment/95713670-d0b2-4803-a7f4-32e89bd1e571/1573197104015.jpg")</f>
        <v>https://www.commcarehq.org/a/demo-18/api/form/attachment/95713670-d0b2-4803-a7f4-32e89bd1e571/1573197104015.jpg</v>
      </c>
      <c r="K131" t="str">
        <f>HYPERLINK("https://www.commcarehq.org/a/demo-18/api/form/attachment/95713670-d0b2-4803-a7f4-32e89bd1e571/1573197138323.jpg")</f>
        <v>https://www.commcarehq.org/a/demo-18/api/form/attachment/95713670-d0b2-4803-a7f4-32e89bd1e571/1573197138323.jpg</v>
      </c>
      <c r="L131" t="str">
        <f>HYPERLINK("https://www.commcarehq.org/a/demo-18/api/form/attachment/95713670-d0b2-4803-a7f4-32e89bd1e571/1573197152533.jpg")</f>
        <v>https://www.commcarehq.org/a/demo-18/api/form/attachment/95713670-d0b2-4803-a7f4-32e89bd1e571/1573197152533.jpg</v>
      </c>
      <c r="M131" s="2">
        <v>43777.300393518519</v>
      </c>
      <c r="N131" s="2">
        <v>43777.297986111109</v>
      </c>
      <c r="O131" t="s">
        <v>22</v>
      </c>
      <c r="P131" s="2">
        <v>43777.627291666664</v>
      </c>
      <c r="Q131" t="s">
        <v>347</v>
      </c>
      <c r="R131" t="s">
        <v>348</v>
      </c>
    </row>
    <row r="132" spans="1:18" x14ac:dyDescent="0.45">
      <c r="A132" t="s">
        <v>349</v>
      </c>
      <c r="B132" t="s">
        <v>20</v>
      </c>
      <c r="C132" s="1">
        <v>43777</v>
      </c>
      <c r="D132" s="1">
        <v>43815</v>
      </c>
      <c r="E132" t="s">
        <v>21</v>
      </c>
      <c r="F132">
        <v>3</v>
      </c>
      <c r="G132" t="str">
        <f>HYPERLINK("https://www.commcarehq.org/a/demo-18/api/form/attachment/9a34607d-9647-4a9a-9cd0-c650164d756a/1573203165613.jpg")</f>
        <v>https://www.commcarehq.org/a/demo-18/api/form/attachment/9a34607d-9647-4a9a-9cd0-c650164d756a/1573203165613.jpg</v>
      </c>
      <c r="H132" t="str">
        <f>HYPERLINK("https://www.commcarehq.org/a/demo-18/api/form/attachment/9a34607d-9647-4a9a-9cd0-c650164d756a/1573203182841.jpg")</f>
        <v>https://www.commcarehq.org/a/demo-18/api/form/attachment/9a34607d-9647-4a9a-9cd0-c650164d756a/1573203182841.jpg</v>
      </c>
      <c r="I132" t="str">
        <f>HYPERLINK("https://www.commcarehq.org/a/demo-18/api/form/attachment/9a34607d-9647-4a9a-9cd0-c650164d756a/1573203294843.jpg")</f>
        <v>https://www.commcarehq.org/a/demo-18/api/form/attachment/9a34607d-9647-4a9a-9cd0-c650164d756a/1573203294843.jpg</v>
      </c>
      <c r="J132" t="str">
        <f>HYPERLINK("https://www.commcarehq.org/a/demo-18/api/form/attachment/9a34607d-9647-4a9a-9cd0-c650164d756a/1573203319984.jpg")</f>
        <v>https://www.commcarehq.org/a/demo-18/api/form/attachment/9a34607d-9647-4a9a-9cd0-c650164d756a/1573203319984.jpg</v>
      </c>
      <c r="K132" t="str">
        <f>HYPERLINK("https://www.commcarehq.org/a/demo-18/api/form/attachment/9a34607d-9647-4a9a-9cd0-c650164d756a/1573203386950.jpg")</f>
        <v>https://www.commcarehq.org/a/demo-18/api/form/attachment/9a34607d-9647-4a9a-9cd0-c650164d756a/1573203386950.jpg</v>
      </c>
      <c r="L132" t="str">
        <f>HYPERLINK("https://www.commcarehq.org/a/demo-18/api/form/attachment/9a34607d-9647-4a9a-9cd0-c650164d756a/1573203400949.jpg")</f>
        <v>https://www.commcarehq.org/a/demo-18/api/form/attachment/9a34607d-9647-4a9a-9cd0-c650164d756a/1573203400949.jpg</v>
      </c>
      <c r="M132" s="2">
        <v>43777.372719907406</v>
      </c>
      <c r="N132" s="2">
        <v>43777.369756944441</v>
      </c>
      <c r="O132" t="s">
        <v>22</v>
      </c>
      <c r="P132" s="2">
        <v>43777.628888888888</v>
      </c>
      <c r="Q132" t="s">
        <v>350</v>
      </c>
      <c r="R132" t="s">
        <v>351</v>
      </c>
    </row>
    <row r="133" spans="1:18" x14ac:dyDescent="0.45">
      <c r="A133" t="s">
        <v>352</v>
      </c>
      <c r="B133" t="s">
        <v>20</v>
      </c>
      <c r="C133" s="1">
        <v>43777</v>
      </c>
      <c r="D133" s="1">
        <v>43815</v>
      </c>
      <c r="E133" t="s">
        <v>21</v>
      </c>
      <c r="F133">
        <v>2.5</v>
      </c>
      <c r="G133" t="str">
        <f>HYPERLINK("https://www.commcarehq.org/a/demo-18/api/form/attachment/6e8de26e-7eca-447c-bb8f-9cacf8e75725/1573201145547.jpg")</f>
        <v>https://www.commcarehq.org/a/demo-18/api/form/attachment/6e8de26e-7eca-447c-bb8f-9cacf8e75725/1573201145547.jpg</v>
      </c>
      <c r="H133" t="str">
        <f>HYPERLINK("https://www.commcarehq.org/a/demo-18/api/form/attachment/6e8de26e-7eca-447c-bb8f-9cacf8e75725/1573201159581.jpg")</f>
        <v>https://www.commcarehq.org/a/demo-18/api/form/attachment/6e8de26e-7eca-447c-bb8f-9cacf8e75725/1573201159581.jpg</v>
      </c>
      <c r="I133" t="str">
        <f>HYPERLINK("https://www.commcarehq.org/a/demo-18/api/form/attachment/6e8de26e-7eca-447c-bb8f-9cacf8e75725/1573201225534.jpg")</f>
        <v>https://www.commcarehq.org/a/demo-18/api/form/attachment/6e8de26e-7eca-447c-bb8f-9cacf8e75725/1573201225534.jpg</v>
      </c>
      <c r="J133" t="str">
        <f>HYPERLINK("https://www.commcarehq.org/a/demo-18/api/form/attachment/6e8de26e-7eca-447c-bb8f-9cacf8e75725/1573201242420.jpg")</f>
        <v>https://www.commcarehq.org/a/demo-18/api/form/attachment/6e8de26e-7eca-447c-bb8f-9cacf8e75725/1573201242420.jpg</v>
      </c>
      <c r="K133" t="str">
        <f>HYPERLINK("https://www.commcarehq.org/a/demo-18/api/form/attachment/6e8de26e-7eca-447c-bb8f-9cacf8e75725/1573201271089.jpg")</f>
        <v>https://www.commcarehq.org/a/demo-18/api/form/attachment/6e8de26e-7eca-447c-bb8f-9cacf8e75725/1573201271089.jpg</v>
      </c>
      <c r="L133" t="str">
        <f>HYPERLINK("https://www.commcarehq.org/a/demo-18/api/form/attachment/6e8de26e-7eca-447c-bb8f-9cacf8e75725/1573201287621.jpg")</f>
        <v>https://www.commcarehq.org/a/demo-18/api/form/attachment/6e8de26e-7eca-447c-bb8f-9cacf8e75725/1573201287621.jpg</v>
      </c>
      <c r="M133" s="2">
        <v>43777.348310185182</v>
      </c>
      <c r="N133" s="2">
        <v>43777.346226851849</v>
      </c>
      <c r="O133" t="s">
        <v>22</v>
      </c>
      <c r="P133" s="2">
        <v>43777.628275462965</v>
      </c>
      <c r="Q133" t="s">
        <v>353</v>
      </c>
      <c r="R133" t="s">
        <v>354</v>
      </c>
    </row>
    <row r="134" spans="1:18" x14ac:dyDescent="0.45">
      <c r="A134" t="s">
        <v>355</v>
      </c>
      <c r="B134" t="s">
        <v>20</v>
      </c>
      <c r="C134" s="1">
        <v>43776</v>
      </c>
      <c r="D134" s="1">
        <v>43814</v>
      </c>
      <c r="E134" t="s">
        <v>21</v>
      </c>
      <c r="F134">
        <v>2.5</v>
      </c>
      <c r="G134" t="str">
        <f>HYPERLINK("https://www.commcarehq.org/a/demo-18/api/form/attachment/02ae0020-52f6-4cd4-8111-22d6d2377b73/1573115469170.jpg")</f>
        <v>https://www.commcarehq.org/a/demo-18/api/form/attachment/02ae0020-52f6-4cd4-8111-22d6d2377b73/1573115469170.jpg</v>
      </c>
      <c r="H134" t="str">
        <f>HYPERLINK("https://www.commcarehq.org/a/demo-18/api/form/attachment/02ae0020-52f6-4cd4-8111-22d6d2377b73/1573115480788.jpg")</f>
        <v>https://www.commcarehq.org/a/demo-18/api/form/attachment/02ae0020-52f6-4cd4-8111-22d6d2377b73/1573115480788.jpg</v>
      </c>
      <c r="I134" t="str">
        <f>HYPERLINK("https://www.commcarehq.org/a/demo-18/api/form/attachment/02ae0020-52f6-4cd4-8111-22d6d2377b73/1573115545400.jpg")</f>
        <v>https://www.commcarehq.org/a/demo-18/api/form/attachment/02ae0020-52f6-4cd4-8111-22d6d2377b73/1573115545400.jpg</v>
      </c>
      <c r="J134" t="str">
        <f>HYPERLINK("https://www.commcarehq.org/a/demo-18/api/form/attachment/02ae0020-52f6-4cd4-8111-22d6d2377b73/1573115558845.jpg")</f>
        <v>https://www.commcarehq.org/a/demo-18/api/form/attachment/02ae0020-52f6-4cd4-8111-22d6d2377b73/1573115558845.jpg</v>
      </c>
      <c r="K134" t="str">
        <f>HYPERLINK("https://www.commcarehq.org/a/demo-18/api/form/attachment/02ae0020-52f6-4cd4-8111-22d6d2377b73/1573115581453.jpg")</f>
        <v>https://www.commcarehq.org/a/demo-18/api/form/attachment/02ae0020-52f6-4cd4-8111-22d6d2377b73/1573115581453.jpg</v>
      </c>
      <c r="L134" t="str">
        <f>HYPERLINK("https://www.commcarehq.org/a/demo-18/api/form/attachment/02ae0020-52f6-4cd4-8111-22d6d2377b73/1573115593433.jpg")</f>
        <v>https://www.commcarehq.org/a/demo-18/api/form/attachment/02ae0020-52f6-4cd4-8111-22d6d2377b73/1573115593433.jpg</v>
      </c>
      <c r="M134" s="2">
        <v>43776.356423611112</v>
      </c>
      <c r="N134" s="2">
        <v>43776.354664351849</v>
      </c>
      <c r="O134" t="s">
        <v>32</v>
      </c>
      <c r="P134" s="2">
        <v>43776.424317129633</v>
      </c>
      <c r="Q134" t="s">
        <v>356</v>
      </c>
      <c r="R134" t="s">
        <v>357</v>
      </c>
    </row>
  </sheetData>
  <autoFilter ref="A1:R134" xr:uid="{00000000-0009-0000-0000-000001000000}">
    <sortState xmlns:xlrd2="http://schemas.microsoft.com/office/spreadsheetml/2017/richdata2" ref="A2:R134">
      <sortCondition ref="A1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10"/>
  <sheetViews>
    <sheetView topLeftCell="A103" workbookViewId="0">
      <selection activeCell="F19" sqref="F19"/>
    </sheetView>
  </sheetViews>
  <sheetFormatPr defaultColWidth="8.796875" defaultRowHeight="14.25" x14ac:dyDescent="0.45"/>
  <cols>
    <col min="1" max="1" width="10" bestFit="1" customWidth="1"/>
    <col min="2" max="2" width="12.1328125" bestFit="1" customWidth="1"/>
    <col min="3" max="3" width="8.46484375" bestFit="1" customWidth="1"/>
    <col min="4" max="4" width="15.46484375" bestFit="1" customWidth="1"/>
    <col min="5" max="5" width="11.1328125" bestFit="1" customWidth="1"/>
    <col min="6" max="6" width="8" bestFit="1" customWidth="1"/>
    <col min="7" max="7" width="13.1328125" bestFit="1" customWidth="1"/>
    <col min="8" max="8" width="14.6640625" bestFit="1" customWidth="1"/>
    <col min="9" max="9" width="14.33203125" bestFit="1" customWidth="1"/>
    <col min="10" max="10" width="9" bestFit="1" customWidth="1"/>
    <col min="11" max="11" width="11.1328125" bestFit="1" customWidth="1"/>
    <col min="12" max="12" width="10.46484375" bestFit="1" customWidth="1"/>
    <col min="13" max="13" width="6.46484375" bestFit="1" customWidth="1"/>
    <col min="14" max="14" width="9.33203125" bestFit="1" customWidth="1"/>
    <col min="15" max="15" width="7.6640625" bestFit="1" customWidth="1"/>
    <col min="16" max="16" width="10.46484375" bestFit="1" customWidth="1"/>
    <col min="17" max="17" width="16" bestFit="1" customWidth="1"/>
    <col min="18" max="18" width="13.33203125" bestFit="1" customWidth="1"/>
    <col min="19" max="19" width="14.46484375" bestFit="1" customWidth="1"/>
    <col min="20" max="20" width="14.1328125" bestFit="1" customWidth="1"/>
    <col min="21" max="21" width="35.6640625" bestFit="1" customWidth="1"/>
    <col min="22" max="22" width="80.6640625" bestFit="1" customWidth="1"/>
  </cols>
  <sheetData>
    <row r="1" spans="1:22" x14ac:dyDescent="0.45">
      <c r="A1" t="s">
        <v>1</v>
      </c>
      <c r="B1" t="s">
        <v>6</v>
      </c>
      <c r="C1" t="s">
        <v>4</v>
      </c>
      <c r="D1" t="s">
        <v>3</v>
      </c>
      <c r="E1" t="s">
        <v>422</v>
      </c>
      <c r="F1" t="s">
        <v>423</v>
      </c>
      <c r="G1" t="s">
        <v>424</v>
      </c>
      <c r="H1" t="s">
        <v>425</v>
      </c>
      <c r="I1" t="s">
        <v>426</v>
      </c>
      <c r="J1" t="s">
        <v>427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18</v>
      </c>
      <c r="V1" t="s">
        <v>17</v>
      </c>
    </row>
    <row r="2" spans="1:22" x14ac:dyDescent="0.45">
      <c r="A2" t="s">
        <v>295</v>
      </c>
      <c r="B2">
        <v>5.5</v>
      </c>
      <c r="C2" s="1">
        <v>43852</v>
      </c>
      <c r="D2" s="1">
        <v>43822</v>
      </c>
      <c r="E2" t="s">
        <v>428</v>
      </c>
      <c r="F2" t="s">
        <v>429</v>
      </c>
      <c r="G2" t="s">
        <v>429</v>
      </c>
      <c r="H2" t="s">
        <v>430</v>
      </c>
      <c r="I2" t="s">
        <v>428</v>
      </c>
      <c r="J2" t="s">
        <v>429</v>
      </c>
      <c r="K2" t="str">
        <f>HYPERLINK("https://www.commcarehq.org/a/demo-18/api/form/attachment/74b97d31-2cb2-42c5-8862-4f73d4a5c901/1577087770909.jpg")</f>
        <v>https://www.commcarehq.org/a/demo-18/api/form/attachment/74b97d31-2cb2-42c5-8862-4f73d4a5c901/1577087770909.jpg</v>
      </c>
      <c r="L2" t="str">
        <f>HYPERLINK("https://www.commcarehq.org/a/demo-18/api/form/attachment/74b97d31-2cb2-42c5-8862-4f73d4a5c901/1577087782405.jpg")</f>
        <v>https://www.commcarehq.org/a/demo-18/api/form/attachment/74b97d31-2cb2-42c5-8862-4f73d4a5c901/1577087782405.jpg</v>
      </c>
      <c r="M2" t="str">
        <f>HYPERLINK("https://www.commcarehq.org/a/demo-18/api/form/attachment/74b97d31-2cb2-42c5-8862-4f73d4a5c901/1577087843738.jpg")</f>
        <v>https://www.commcarehq.org/a/demo-18/api/form/attachment/74b97d31-2cb2-42c5-8862-4f73d4a5c901/1577087843738.jpg</v>
      </c>
      <c r="N2" t="str">
        <f>HYPERLINK("https://www.commcarehq.org/a/demo-18/api/form/attachment/74b97d31-2cb2-42c5-8862-4f73d4a5c901/1577087853982.jpg")</f>
        <v>https://www.commcarehq.org/a/demo-18/api/form/attachment/74b97d31-2cb2-42c5-8862-4f73d4a5c901/1577087853982.jpg</v>
      </c>
      <c r="O2" t="str">
        <f>HYPERLINK("https://www.commcarehq.org/a/demo-18/api/form/attachment/74b97d31-2cb2-42c5-8862-4f73d4a5c901/1577087871669.jpg")</f>
        <v>https://www.commcarehq.org/a/demo-18/api/form/attachment/74b97d31-2cb2-42c5-8862-4f73d4a5c901/1577087871669.jpg</v>
      </c>
      <c r="P2" t="str">
        <f>HYPERLINK("https://www.commcarehq.org/a/demo-18/api/form/attachment/74b97d31-2cb2-42c5-8862-4f73d4a5c901/1577087881842.jpg")</f>
        <v>https://www.commcarehq.org/a/demo-18/api/form/attachment/74b97d31-2cb2-42c5-8862-4f73d4a5c901/1577087881842.jpg</v>
      </c>
      <c r="Q2" s="2">
        <v>43822.331990740742</v>
      </c>
      <c r="R2" s="2">
        <v>43822.330231481479</v>
      </c>
      <c r="S2" t="s">
        <v>32</v>
      </c>
      <c r="T2" s="2">
        <v>43822.332199074073</v>
      </c>
      <c r="U2" t="s">
        <v>870</v>
      </c>
      <c r="V2" t="s">
        <v>871</v>
      </c>
    </row>
    <row r="3" spans="1:22" x14ac:dyDescent="0.45">
      <c r="A3" t="s">
        <v>304</v>
      </c>
      <c r="B3">
        <v>6.2</v>
      </c>
      <c r="C3" s="1">
        <v>43868</v>
      </c>
      <c r="D3" s="1">
        <v>43838</v>
      </c>
      <c r="E3" t="s">
        <v>428</v>
      </c>
      <c r="F3" t="s">
        <v>429</v>
      </c>
      <c r="G3" t="s">
        <v>429</v>
      </c>
      <c r="H3" t="s">
        <v>430</v>
      </c>
      <c r="I3" t="s">
        <v>428</v>
      </c>
      <c r="J3" t="s">
        <v>429</v>
      </c>
      <c r="K3" t="str">
        <f>HYPERLINK("https://www.commcarehq.org/a/demo-18/api/form/attachment/7af80b79-0c7b-48db-b914-84d43eb796b0/1578471564005.jpg")</f>
        <v>https://www.commcarehq.org/a/demo-18/api/form/attachment/7af80b79-0c7b-48db-b914-84d43eb796b0/1578471564005.jpg</v>
      </c>
      <c r="L3" t="str">
        <f>HYPERLINK("https://www.commcarehq.org/a/demo-18/api/form/attachment/7af80b79-0c7b-48db-b914-84d43eb796b0/1578471611337.jpg")</f>
        <v>https://www.commcarehq.org/a/demo-18/api/form/attachment/7af80b79-0c7b-48db-b914-84d43eb796b0/1578471611337.jpg</v>
      </c>
      <c r="M3" t="str">
        <f>HYPERLINK("https://www.commcarehq.org/a/demo-18/api/form/attachment/7af80b79-0c7b-48db-b914-84d43eb796b0/1578471701500.jpg")</f>
        <v>https://www.commcarehq.org/a/demo-18/api/form/attachment/7af80b79-0c7b-48db-b914-84d43eb796b0/1578471701500.jpg</v>
      </c>
      <c r="N3" t="str">
        <f>HYPERLINK("https://www.commcarehq.org/a/demo-18/api/form/attachment/7af80b79-0c7b-48db-b914-84d43eb796b0/1578471713659.jpg")</f>
        <v>https://www.commcarehq.org/a/demo-18/api/form/attachment/7af80b79-0c7b-48db-b914-84d43eb796b0/1578471713659.jpg</v>
      </c>
      <c r="O3" t="str">
        <f>HYPERLINK("https://www.commcarehq.org/a/demo-18/api/form/attachment/7af80b79-0c7b-48db-b914-84d43eb796b0/1578471759499.jpg")</f>
        <v>https://www.commcarehq.org/a/demo-18/api/form/attachment/7af80b79-0c7b-48db-b914-84d43eb796b0/1578471759499.jpg</v>
      </c>
      <c r="P3" t="str">
        <f>HYPERLINK("https://www.commcarehq.org/a/demo-18/api/form/attachment/7af80b79-0c7b-48db-b914-84d43eb796b0/1578471771003.jpg")</f>
        <v>https://www.commcarehq.org/a/demo-18/api/form/attachment/7af80b79-0c7b-48db-b914-84d43eb796b0/1578471771003.jpg</v>
      </c>
      <c r="Q3" s="2">
        <v>43838.349212962959</v>
      </c>
      <c r="R3" s="2">
        <v>43838.33966435185</v>
      </c>
      <c r="S3" t="s">
        <v>32</v>
      </c>
      <c r="T3" s="2">
        <v>43838.349502314813</v>
      </c>
      <c r="U3" t="s">
        <v>955</v>
      </c>
      <c r="V3" t="s">
        <v>956</v>
      </c>
    </row>
    <row r="4" spans="1:22" x14ac:dyDescent="0.45">
      <c r="A4" t="s">
        <v>158</v>
      </c>
      <c r="B4">
        <v>5.5</v>
      </c>
      <c r="C4" s="1">
        <v>43869</v>
      </c>
      <c r="D4" s="1">
        <v>43839</v>
      </c>
      <c r="E4" t="s">
        <v>428</v>
      </c>
      <c r="F4" t="s">
        <v>429</v>
      </c>
      <c r="G4" t="s">
        <v>429</v>
      </c>
      <c r="H4" t="s">
        <v>430</v>
      </c>
      <c r="I4" t="s">
        <v>428</v>
      </c>
      <c r="J4" t="s">
        <v>429</v>
      </c>
      <c r="K4" t="str">
        <f>HYPERLINK("https://www.commcarehq.org/a/demo-18/api/form/attachment/0b83db7d-4115-4cc2-bc56-ab71fcca9fb3/1578550976738.jpg")</f>
        <v>https://www.commcarehq.org/a/demo-18/api/form/attachment/0b83db7d-4115-4cc2-bc56-ab71fcca9fb3/1578550976738.jpg</v>
      </c>
      <c r="L4" t="str">
        <f>HYPERLINK("https://www.commcarehq.org/a/demo-18/api/form/attachment/0b83db7d-4115-4cc2-bc56-ab71fcca9fb3/1578550993958.jpg")</f>
        <v>https://www.commcarehq.org/a/demo-18/api/form/attachment/0b83db7d-4115-4cc2-bc56-ab71fcca9fb3/1578550993958.jpg</v>
      </c>
      <c r="M4" t="str">
        <f>HYPERLINK("https://www.commcarehq.org/a/demo-18/api/form/attachment/0b83db7d-4115-4cc2-bc56-ab71fcca9fb3/1578551048369.jpg")</f>
        <v>https://www.commcarehq.org/a/demo-18/api/form/attachment/0b83db7d-4115-4cc2-bc56-ab71fcca9fb3/1578551048369.jpg</v>
      </c>
      <c r="N4" t="str">
        <f>HYPERLINK("https://www.commcarehq.org/a/demo-18/api/form/attachment/0b83db7d-4115-4cc2-bc56-ab71fcca9fb3/1578551061147.jpg")</f>
        <v>https://www.commcarehq.org/a/demo-18/api/form/attachment/0b83db7d-4115-4cc2-bc56-ab71fcca9fb3/1578551061147.jpg</v>
      </c>
      <c r="O4" t="str">
        <f>HYPERLINK("https://www.commcarehq.org/a/demo-18/api/form/attachment/0b83db7d-4115-4cc2-bc56-ab71fcca9fb3/1578551080245.jpg")</f>
        <v>https://www.commcarehq.org/a/demo-18/api/form/attachment/0b83db7d-4115-4cc2-bc56-ab71fcca9fb3/1578551080245.jpg</v>
      </c>
      <c r="P4" t="str">
        <f>HYPERLINK("https://www.commcarehq.org/a/demo-18/api/form/attachment/0b83db7d-4115-4cc2-bc56-ab71fcca9fb3/1578551092562.jpg")</f>
        <v>https://www.commcarehq.org/a/demo-18/api/form/attachment/0b83db7d-4115-4cc2-bc56-ab71fcca9fb3/1578551092562.jpg</v>
      </c>
      <c r="Q4" s="2">
        <v>43839.267291666663</v>
      </c>
      <c r="R4" s="2">
        <v>43839.265335648146</v>
      </c>
      <c r="S4" t="s">
        <v>32</v>
      </c>
      <c r="T4" s="2">
        <v>43839.267569444448</v>
      </c>
      <c r="U4" s="3" t="s">
        <v>957</v>
      </c>
      <c r="V4" t="s">
        <v>958</v>
      </c>
    </row>
    <row r="5" spans="1:22" x14ac:dyDescent="0.45">
      <c r="A5" t="s">
        <v>232</v>
      </c>
      <c r="B5">
        <v>5</v>
      </c>
      <c r="C5" s="1">
        <v>43869</v>
      </c>
      <c r="D5" s="1">
        <v>43839</v>
      </c>
      <c r="E5" t="s">
        <v>428</v>
      </c>
      <c r="F5" t="s">
        <v>429</v>
      </c>
      <c r="G5" t="s">
        <v>429</v>
      </c>
      <c r="H5" t="s">
        <v>430</v>
      </c>
      <c r="I5" t="s">
        <v>428</v>
      </c>
      <c r="J5" t="s">
        <v>429</v>
      </c>
      <c r="K5" t="str">
        <f>HYPERLINK("https://www.commcarehq.org/a/demo-18/api/form/attachment/790f188f-c4ec-400c-8675-46f9ace56f4e/1578553365852.jpg")</f>
        <v>https://www.commcarehq.org/a/demo-18/api/form/attachment/790f188f-c4ec-400c-8675-46f9ace56f4e/1578553365852.jpg</v>
      </c>
      <c r="L5" t="str">
        <f>HYPERLINK("https://www.commcarehq.org/a/demo-18/api/form/attachment/790f188f-c4ec-400c-8675-46f9ace56f4e/1578553383773.jpg")</f>
        <v>https://www.commcarehq.org/a/demo-18/api/form/attachment/790f188f-c4ec-400c-8675-46f9ace56f4e/1578553383773.jpg</v>
      </c>
      <c r="M5" t="str">
        <f>HYPERLINK("https://www.commcarehq.org/a/demo-18/api/form/attachment/790f188f-c4ec-400c-8675-46f9ace56f4e/1578553509880.jpg")</f>
        <v>https://www.commcarehq.org/a/demo-18/api/form/attachment/790f188f-c4ec-400c-8675-46f9ace56f4e/1578553509880.jpg</v>
      </c>
      <c r="N5" t="str">
        <f>HYPERLINK("https://www.commcarehq.org/a/demo-18/api/form/attachment/790f188f-c4ec-400c-8675-46f9ace56f4e/1578553522981.jpg")</f>
        <v>https://www.commcarehq.org/a/demo-18/api/form/attachment/790f188f-c4ec-400c-8675-46f9ace56f4e/1578553522981.jpg</v>
      </c>
      <c r="O5" t="str">
        <f>HYPERLINK("https://www.commcarehq.org/a/demo-18/api/form/attachment/790f188f-c4ec-400c-8675-46f9ace56f4e/1578553547936.jpg")</f>
        <v>https://www.commcarehq.org/a/demo-18/api/form/attachment/790f188f-c4ec-400c-8675-46f9ace56f4e/1578553547936.jpg</v>
      </c>
      <c r="P5" t="str">
        <f>HYPERLINK("https://www.commcarehq.org/a/demo-18/api/form/attachment/790f188f-c4ec-400c-8675-46f9ace56f4e/1578553559737.jpg")</f>
        <v>https://www.commcarehq.org/a/demo-18/api/form/attachment/790f188f-c4ec-400c-8675-46f9ace56f4e/1578553559737.jpg</v>
      </c>
      <c r="Q5" s="2">
        <v>43839.295844907407</v>
      </c>
      <c r="R5" s="2">
        <v>43839.292337962965</v>
      </c>
      <c r="S5" t="s">
        <v>32</v>
      </c>
      <c r="T5" s="2">
        <v>43839.296076388891</v>
      </c>
      <c r="U5" t="s">
        <v>959</v>
      </c>
      <c r="V5" t="s">
        <v>960</v>
      </c>
    </row>
    <row r="6" spans="1:22" x14ac:dyDescent="0.45">
      <c r="A6" t="s">
        <v>86</v>
      </c>
      <c r="B6">
        <v>4.5999999999999996</v>
      </c>
      <c r="C6" s="1">
        <v>43873</v>
      </c>
      <c r="D6" s="1">
        <v>43843</v>
      </c>
      <c r="E6" t="s">
        <v>428</v>
      </c>
      <c r="F6" t="s">
        <v>429</v>
      </c>
      <c r="G6" t="s">
        <v>429</v>
      </c>
      <c r="H6" t="s">
        <v>430</v>
      </c>
      <c r="I6" t="s">
        <v>428</v>
      </c>
      <c r="J6" t="s">
        <v>429</v>
      </c>
      <c r="K6" t="str">
        <f>HYPERLINK("https://www.commcarehq.org/a/demo-18/api/form/attachment/05d05b20-d715-4383-8231-ab8493029279/1578896029620.jpg")</f>
        <v>https://www.commcarehq.org/a/demo-18/api/form/attachment/05d05b20-d715-4383-8231-ab8493029279/1578896029620.jpg</v>
      </c>
      <c r="L6" t="str">
        <f>HYPERLINK("https://www.commcarehq.org/a/demo-18/api/form/attachment/05d05b20-d715-4383-8231-ab8493029279/1578896058549.jpg")</f>
        <v>https://www.commcarehq.org/a/demo-18/api/form/attachment/05d05b20-d715-4383-8231-ab8493029279/1578896058549.jpg</v>
      </c>
      <c r="M6" t="str">
        <f>HYPERLINK("https://www.commcarehq.org/a/demo-18/api/form/attachment/05d05b20-d715-4383-8231-ab8493029279/1578896098205.jpg")</f>
        <v>https://www.commcarehq.org/a/demo-18/api/form/attachment/05d05b20-d715-4383-8231-ab8493029279/1578896098205.jpg</v>
      </c>
      <c r="N6" t="str">
        <f>HYPERLINK("https://www.commcarehq.org/a/demo-18/api/form/attachment/05d05b20-d715-4383-8231-ab8493029279/1578896108488.jpg")</f>
        <v>https://www.commcarehq.org/a/demo-18/api/form/attachment/05d05b20-d715-4383-8231-ab8493029279/1578896108488.jpg</v>
      </c>
      <c r="O6" t="str">
        <f>HYPERLINK("https://www.commcarehq.org/a/demo-18/api/form/attachment/05d05b20-d715-4383-8231-ab8493029279/1578896137518.jpg")</f>
        <v>https://www.commcarehq.org/a/demo-18/api/form/attachment/05d05b20-d715-4383-8231-ab8493029279/1578896137518.jpg</v>
      </c>
      <c r="P6" t="str">
        <f>HYPERLINK("https://www.commcarehq.org/a/demo-18/api/form/attachment/05d05b20-d715-4383-8231-ab8493029279/1578896149005.jpg")</f>
        <v>https://www.commcarehq.org/a/demo-18/api/form/attachment/05d05b20-d715-4383-8231-ab8493029279/1578896149005.jpg</v>
      </c>
      <c r="Q6" s="2">
        <v>43843.261006944442</v>
      </c>
      <c r="R6" s="2">
        <v>43843.259189814817</v>
      </c>
      <c r="S6" t="s">
        <v>32</v>
      </c>
      <c r="T6" s="2">
        <v>43843.261192129627</v>
      </c>
      <c r="U6" t="s">
        <v>1023</v>
      </c>
      <c r="V6" t="s">
        <v>1024</v>
      </c>
    </row>
    <row r="7" spans="1:22" x14ac:dyDescent="0.45">
      <c r="A7" t="s">
        <v>403</v>
      </c>
      <c r="B7">
        <v>5.4</v>
      </c>
      <c r="C7" s="1">
        <v>43866</v>
      </c>
      <c r="D7" s="1">
        <v>43836</v>
      </c>
      <c r="E7" t="s">
        <v>428</v>
      </c>
      <c r="F7" t="s">
        <v>429</v>
      </c>
      <c r="G7" t="s">
        <v>429</v>
      </c>
      <c r="H7" t="s">
        <v>447</v>
      </c>
      <c r="I7" t="s">
        <v>428</v>
      </c>
      <c r="J7" t="s">
        <v>429</v>
      </c>
      <c r="K7" t="str">
        <f>HYPERLINK("https://www.commcarehq.org/a/demo-18/api/form/attachment/17e06c08-8712-47e9-974f-939c33da4138/1578293829432.jpg")</f>
        <v>https://www.commcarehq.org/a/demo-18/api/form/attachment/17e06c08-8712-47e9-974f-939c33da4138/1578293829432.jpg</v>
      </c>
      <c r="L7" t="str">
        <f>HYPERLINK("https://www.commcarehq.org/a/demo-18/api/form/attachment/17e06c08-8712-47e9-974f-939c33da4138/1578293850354.jpg")</f>
        <v>https://www.commcarehq.org/a/demo-18/api/form/attachment/17e06c08-8712-47e9-974f-939c33da4138/1578293850354.jpg</v>
      </c>
      <c r="M7" t="str">
        <f>HYPERLINK("https://www.commcarehq.org/a/demo-18/api/form/attachment/17e06c08-8712-47e9-974f-939c33da4138/1578293904544.jpg")</f>
        <v>https://www.commcarehq.org/a/demo-18/api/form/attachment/17e06c08-8712-47e9-974f-939c33da4138/1578293904544.jpg</v>
      </c>
      <c r="N7" t="str">
        <f>HYPERLINK("https://www.commcarehq.org/a/demo-18/api/form/attachment/17e06c08-8712-47e9-974f-939c33da4138/1578293933503.jpg")</f>
        <v>https://www.commcarehq.org/a/demo-18/api/form/attachment/17e06c08-8712-47e9-974f-939c33da4138/1578293933503.jpg</v>
      </c>
      <c r="O7" t="str">
        <f>HYPERLINK("https://www.commcarehq.org/a/demo-18/api/form/attachment/17e06c08-8712-47e9-974f-939c33da4138/1578293947570.jpg")</f>
        <v>https://www.commcarehq.org/a/demo-18/api/form/attachment/17e06c08-8712-47e9-974f-939c33da4138/1578293947570.jpg</v>
      </c>
      <c r="P7" t="str">
        <f>HYPERLINK("https://www.commcarehq.org/a/demo-18/api/form/attachment/17e06c08-8712-47e9-974f-939c33da4138/1578293958157.jpg")</f>
        <v>https://www.commcarehq.org/a/demo-18/api/form/attachment/17e06c08-8712-47e9-974f-939c33da4138/1578293958157.jpg</v>
      </c>
      <c r="Q7" s="2">
        <v>43836.291203703702</v>
      </c>
      <c r="R7" s="2">
        <v>43836.289166666669</v>
      </c>
      <c r="S7" t="s">
        <v>32</v>
      </c>
      <c r="T7" s="2">
        <v>43836.300740740742</v>
      </c>
      <c r="U7" t="s">
        <v>953</v>
      </c>
      <c r="V7" t="s">
        <v>954</v>
      </c>
    </row>
    <row r="8" spans="1:22" x14ac:dyDescent="0.45">
      <c r="A8" t="s">
        <v>343</v>
      </c>
      <c r="B8">
        <v>4.7</v>
      </c>
      <c r="C8" s="1">
        <v>43845</v>
      </c>
      <c r="D8" s="1">
        <v>43815</v>
      </c>
      <c r="E8" t="s">
        <v>428</v>
      </c>
      <c r="F8" t="s">
        <v>429</v>
      </c>
      <c r="G8" t="s">
        <v>429</v>
      </c>
      <c r="H8" t="s">
        <v>430</v>
      </c>
      <c r="I8" t="s">
        <v>428</v>
      </c>
      <c r="J8" t="s">
        <v>429</v>
      </c>
      <c r="K8" t="str">
        <f>HYPERLINK("https://www.commcarehq.org/a/demo-18/api/form/attachment/b42779d0-3050-4c16-aa6a-38cb382012df/1576481921548.jpg")</f>
        <v>https://www.commcarehq.org/a/demo-18/api/form/attachment/b42779d0-3050-4c16-aa6a-38cb382012df/1576481921548.jpg</v>
      </c>
      <c r="L8" t="str">
        <f>HYPERLINK("https://www.commcarehq.org/a/demo-18/api/form/attachment/b42779d0-3050-4c16-aa6a-38cb382012df/1576481941848.jpg")</f>
        <v>https://www.commcarehq.org/a/demo-18/api/form/attachment/b42779d0-3050-4c16-aa6a-38cb382012df/1576481941848.jpg</v>
      </c>
      <c r="M8" t="str">
        <f>HYPERLINK("https://www.commcarehq.org/a/demo-18/api/form/attachment/b42779d0-3050-4c16-aa6a-38cb382012df/1576481976019.jpg")</f>
        <v>https://www.commcarehq.org/a/demo-18/api/form/attachment/b42779d0-3050-4c16-aa6a-38cb382012df/1576481976019.jpg</v>
      </c>
      <c r="N8" t="str">
        <f>HYPERLINK("https://www.commcarehq.org/a/demo-18/api/form/attachment/b42779d0-3050-4c16-aa6a-38cb382012df/1576481985426.jpg")</f>
        <v>https://www.commcarehq.org/a/demo-18/api/form/attachment/b42779d0-3050-4c16-aa6a-38cb382012df/1576481985426.jpg</v>
      </c>
      <c r="O8" t="str">
        <f>HYPERLINK("https://www.commcarehq.org/a/demo-18/api/form/attachment/b42779d0-3050-4c16-aa6a-38cb382012df/1576482003882.jpg")</f>
        <v>https://www.commcarehq.org/a/demo-18/api/form/attachment/b42779d0-3050-4c16-aa6a-38cb382012df/1576482003882.jpg</v>
      </c>
      <c r="P8" t="str">
        <f>HYPERLINK("https://www.commcarehq.org/a/demo-18/api/form/attachment/b42779d0-3050-4c16-aa6a-38cb382012df/1576482013490.jpg")</f>
        <v>https://www.commcarehq.org/a/demo-18/api/form/attachment/b42779d0-3050-4c16-aa6a-38cb382012df/1576482013490.jpg</v>
      </c>
      <c r="Q8" s="2">
        <v>43815.319618055553</v>
      </c>
      <c r="R8" s="2">
        <v>43815.318055555559</v>
      </c>
      <c r="S8" t="s">
        <v>32</v>
      </c>
      <c r="T8" s="2">
        <v>43815.319837962961</v>
      </c>
      <c r="U8" s="3" t="s">
        <v>435</v>
      </c>
      <c r="V8" t="s">
        <v>436</v>
      </c>
    </row>
    <row r="9" spans="1:22" x14ac:dyDescent="0.45">
      <c r="A9" t="s">
        <v>128</v>
      </c>
      <c r="B9">
        <v>5.5</v>
      </c>
      <c r="C9" s="1">
        <v>43845</v>
      </c>
      <c r="D9" s="1">
        <v>43815</v>
      </c>
      <c r="E9" t="s">
        <v>428</v>
      </c>
      <c r="F9" t="s">
        <v>429</v>
      </c>
      <c r="G9" t="s">
        <v>429</v>
      </c>
      <c r="H9" t="s">
        <v>430</v>
      </c>
      <c r="I9" t="s">
        <v>428</v>
      </c>
      <c r="J9" t="s">
        <v>429</v>
      </c>
      <c r="K9" t="str">
        <f>HYPERLINK("https://www.commcarehq.org/a/demo-18/api/form/attachment/e6104930-417c-4cdc-ab64-d5b79fbc296d/1576482624928.jpg")</f>
        <v>https://www.commcarehq.org/a/demo-18/api/form/attachment/e6104930-417c-4cdc-ab64-d5b79fbc296d/1576482624928.jpg</v>
      </c>
      <c r="L9" t="str">
        <f>HYPERLINK("https://www.commcarehq.org/a/demo-18/api/form/attachment/e6104930-417c-4cdc-ab64-d5b79fbc296d/1576482645303.jpg")</f>
        <v>https://www.commcarehq.org/a/demo-18/api/form/attachment/e6104930-417c-4cdc-ab64-d5b79fbc296d/1576482645303.jpg</v>
      </c>
      <c r="M9" t="str">
        <f>HYPERLINK("https://www.commcarehq.org/a/demo-18/api/form/attachment/e6104930-417c-4cdc-ab64-d5b79fbc296d/1576482690192.jpg")</f>
        <v>https://www.commcarehq.org/a/demo-18/api/form/attachment/e6104930-417c-4cdc-ab64-d5b79fbc296d/1576482690192.jpg</v>
      </c>
      <c r="N9" t="str">
        <f>HYPERLINK("https://www.commcarehq.org/a/demo-18/api/form/attachment/e6104930-417c-4cdc-ab64-d5b79fbc296d/1576482699881.jpg")</f>
        <v>https://www.commcarehq.org/a/demo-18/api/form/attachment/e6104930-417c-4cdc-ab64-d5b79fbc296d/1576482699881.jpg</v>
      </c>
      <c r="O9" t="str">
        <f>HYPERLINK("https://www.commcarehq.org/a/demo-18/api/form/attachment/e6104930-417c-4cdc-ab64-d5b79fbc296d/1576482717891.jpg")</f>
        <v>https://www.commcarehq.org/a/demo-18/api/form/attachment/e6104930-417c-4cdc-ab64-d5b79fbc296d/1576482717891.jpg</v>
      </c>
      <c r="P9" t="str">
        <f>HYPERLINK("https://www.commcarehq.org/a/demo-18/api/form/attachment/e6104930-417c-4cdc-ab64-d5b79fbc296d/1576482727478.jpg")</f>
        <v>https://www.commcarehq.org/a/demo-18/api/form/attachment/e6104930-417c-4cdc-ab64-d5b79fbc296d/1576482727478.jpg</v>
      </c>
      <c r="Q9" s="2">
        <v>43815.327881944446</v>
      </c>
      <c r="R9" s="2">
        <v>43815.326226851852</v>
      </c>
      <c r="S9" t="s">
        <v>32</v>
      </c>
      <c r="T9" s="2">
        <v>43815.328055555554</v>
      </c>
      <c r="U9" t="s">
        <v>433</v>
      </c>
      <c r="V9" t="s">
        <v>434</v>
      </c>
    </row>
    <row r="10" spans="1:22" x14ac:dyDescent="0.45">
      <c r="A10" t="s">
        <v>274</v>
      </c>
      <c r="B10">
        <v>5.7</v>
      </c>
      <c r="C10" s="1">
        <v>43849</v>
      </c>
      <c r="D10" s="1">
        <v>43819</v>
      </c>
      <c r="E10" t="s">
        <v>428</v>
      </c>
      <c r="F10" t="s">
        <v>429</v>
      </c>
      <c r="G10" t="s">
        <v>429</v>
      </c>
      <c r="H10" t="s">
        <v>447</v>
      </c>
      <c r="I10" t="s">
        <v>428</v>
      </c>
      <c r="J10" t="s">
        <v>429</v>
      </c>
      <c r="K10" t="str">
        <f>HYPERLINK("https://www.commcarehq.org/a/demo-18/api/form/attachment/9519d15c-f7f6-4497-9a2e-f69c357793e6/1576825010146.jpg")</f>
        <v>https://www.commcarehq.org/a/demo-18/api/form/attachment/9519d15c-f7f6-4497-9a2e-f69c357793e6/1576825010146.jpg</v>
      </c>
      <c r="L10" t="str">
        <f>HYPERLINK("https://www.commcarehq.org/a/demo-18/api/form/attachment/9519d15c-f7f6-4497-9a2e-f69c357793e6/1576825024809.jpg")</f>
        <v>https://www.commcarehq.org/a/demo-18/api/form/attachment/9519d15c-f7f6-4497-9a2e-f69c357793e6/1576825024809.jpg</v>
      </c>
      <c r="M10" t="str">
        <f>HYPERLINK("https://www.commcarehq.org/a/demo-18/api/form/attachment/9519d15c-f7f6-4497-9a2e-f69c357793e6/1576825086925.jpg")</f>
        <v>https://www.commcarehq.org/a/demo-18/api/form/attachment/9519d15c-f7f6-4497-9a2e-f69c357793e6/1576825086925.jpg</v>
      </c>
      <c r="N10" t="str">
        <f>HYPERLINK("https://www.commcarehq.org/a/demo-18/api/form/attachment/9519d15c-f7f6-4497-9a2e-f69c357793e6/1576825097512.jpg")</f>
        <v>https://www.commcarehq.org/a/demo-18/api/form/attachment/9519d15c-f7f6-4497-9a2e-f69c357793e6/1576825097512.jpg</v>
      </c>
      <c r="O10" t="str">
        <f>HYPERLINK("https://www.commcarehq.org/a/demo-18/api/form/attachment/9519d15c-f7f6-4497-9a2e-f69c357793e6/1576825114737.jpg")</f>
        <v>https://www.commcarehq.org/a/demo-18/api/form/attachment/9519d15c-f7f6-4497-9a2e-f69c357793e6/1576825114737.jpg</v>
      </c>
      <c r="P10" t="str">
        <f>HYPERLINK("https://www.commcarehq.org/a/demo-18/api/form/attachment/9519d15c-f7f6-4497-9a2e-f69c357793e6/1576825131543.jpg")</f>
        <v>https://www.commcarehq.org/a/demo-18/api/form/attachment/9519d15c-f7f6-4497-9a2e-f69c357793e6/1576825131543.jpg</v>
      </c>
      <c r="Q10" s="2">
        <v>43819.290891203702</v>
      </c>
      <c r="R10" s="2">
        <v>43819.288530092592</v>
      </c>
      <c r="S10" t="s">
        <v>32</v>
      </c>
      <c r="T10" s="2">
        <v>43819.29111111111</v>
      </c>
      <c r="U10" t="s">
        <v>864</v>
      </c>
      <c r="V10" t="s">
        <v>865</v>
      </c>
    </row>
    <row r="11" spans="1:22" x14ac:dyDescent="0.45">
      <c r="A11" t="s">
        <v>379</v>
      </c>
      <c r="B11">
        <v>4.9000000000000004</v>
      </c>
      <c r="C11" s="1">
        <v>43849</v>
      </c>
      <c r="D11" s="1">
        <v>43819</v>
      </c>
      <c r="E11" t="s">
        <v>428</v>
      </c>
      <c r="F11" t="s">
        <v>429</v>
      </c>
      <c r="G11" t="s">
        <v>429</v>
      </c>
      <c r="H11" t="s">
        <v>430</v>
      </c>
      <c r="I11" t="s">
        <v>428</v>
      </c>
      <c r="J11" t="s">
        <v>429</v>
      </c>
      <c r="K11" t="str">
        <f>HYPERLINK("https://www.commcarehq.org/a/demo-18/api/form/attachment/15ac6caf-5677-4698-92e2-89ab518f137f/1576824256848.jpg")</f>
        <v>https://www.commcarehq.org/a/demo-18/api/form/attachment/15ac6caf-5677-4698-92e2-89ab518f137f/1576824256848.jpg</v>
      </c>
      <c r="L11" t="str">
        <f>HYPERLINK("https://www.commcarehq.org/a/demo-18/api/form/attachment/15ac6caf-5677-4698-92e2-89ab518f137f/1576824281067.jpg")</f>
        <v>https://www.commcarehq.org/a/demo-18/api/form/attachment/15ac6caf-5677-4698-92e2-89ab518f137f/1576824281067.jpg</v>
      </c>
      <c r="M11" t="str">
        <f>HYPERLINK("https://www.commcarehq.org/a/demo-18/api/form/attachment/15ac6caf-5677-4698-92e2-89ab518f137f/1576824343510.jpg")</f>
        <v>https://www.commcarehq.org/a/demo-18/api/form/attachment/15ac6caf-5677-4698-92e2-89ab518f137f/1576824343510.jpg</v>
      </c>
      <c r="N11" t="str">
        <f>HYPERLINK("https://www.commcarehq.org/a/demo-18/api/form/attachment/15ac6caf-5677-4698-92e2-89ab518f137f/1576824354334.jpg")</f>
        <v>https://www.commcarehq.org/a/demo-18/api/form/attachment/15ac6caf-5677-4698-92e2-89ab518f137f/1576824354334.jpg</v>
      </c>
      <c r="O11" t="str">
        <f>HYPERLINK("https://www.commcarehq.org/a/demo-18/api/form/attachment/15ac6caf-5677-4698-92e2-89ab518f137f/1576824373471.jpg")</f>
        <v>https://www.commcarehq.org/a/demo-18/api/form/attachment/15ac6caf-5677-4698-92e2-89ab518f137f/1576824373471.jpg</v>
      </c>
      <c r="P11" t="str">
        <f>HYPERLINK("https://www.commcarehq.org/a/demo-18/api/form/attachment/15ac6caf-5677-4698-92e2-89ab518f137f/1576824383811.jpg")</f>
        <v>https://www.commcarehq.org/a/demo-18/api/form/attachment/15ac6caf-5677-4698-92e2-89ab518f137f/1576824383811.jpg</v>
      </c>
      <c r="Q11" s="2">
        <v>43819.28224537037</v>
      </c>
      <c r="R11" s="2">
        <v>43819.280243055553</v>
      </c>
      <c r="S11" t="s">
        <v>32</v>
      </c>
      <c r="T11" s="2">
        <v>43819.282500000001</v>
      </c>
      <c r="U11" s="3" t="s">
        <v>866</v>
      </c>
      <c r="V11" t="s">
        <v>867</v>
      </c>
    </row>
    <row r="12" spans="1:22" x14ac:dyDescent="0.45">
      <c r="A12" t="s">
        <v>298</v>
      </c>
      <c r="B12">
        <v>3.4</v>
      </c>
      <c r="C12" s="1">
        <v>43849</v>
      </c>
      <c r="D12" s="1">
        <v>43819</v>
      </c>
      <c r="E12" t="s">
        <v>428</v>
      </c>
      <c r="F12" t="s">
        <v>429</v>
      </c>
      <c r="G12" t="s">
        <v>429</v>
      </c>
      <c r="H12" t="s">
        <v>430</v>
      </c>
      <c r="I12" t="s">
        <v>428</v>
      </c>
      <c r="J12" t="s">
        <v>429</v>
      </c>
      <c r="K12" t="str">
        <f>HYPERLINK("https://www.commcarehq.org/a/demo-18/api/form/attachment/5fb2fbe8-7a31-47d0-b9a8-059c149818e8/1576826499321.jpg")</f>
        <v>https://www.commcarehq.org/a/demo-18/api/form/attachment/5fb2fbe8-7a31-47d0-b9a8-059c149818e8/1576826499321.jpg</v>
      </c>
      <c r="L12" t="str">
        <f>HYPERLINK("https://www.commcarehq.org/a/demo-18/api/form/attachment/5fb2fbe8-7a31-47d0-b9a8-059c149818e8/1576826531128.jpg")</f>
        <v>https://www.commcarehq.org/a/demo-18/api/form/attachment/5fb2fbe8-7a31-47d0-b9a8-059c149818e8/1576826531128.jpg</v>
      </c>
      <c r="M12" t="str">
        <f>HYPERLINK("https://www.commcarehq.org/a/demo-18/api/form/attachment/5fb2fbe8-7a31-47d0-b9a8-059c149818e8/1576826587829.jpg")</f>
        <v>https://www.commcarehq.org/a/demo-18/api/form/attachment/5fb2fbe8-7a31-47d0-b9a8-059c149818e8/1576826587829.jpg</v>
      </c>
      <c r="N12" t="str">
        <f>HYPERLINK("https://www.commcarehq.org/a/demo-18/api/form/attachment/5fb2fbe8-7a31-47d0-b9a8-059c149818e8/1576826598095.jpg")</f>
        <v>https://www.commcarehq.org/a/demo-18/api/form/attachment/5fb2fbe8-7a31-47d0-b9a8-059c149818e8/1576826598095.jpg</v>
      </c>
      <c r="O12" t="str">
        <f>HYPERLINK("https://www.commcarehq.org/a/demo-18/api/form/attachment/5fb2fbe8-7a31-47d0-b9a8-059c149818e8/1576826619803.jpg")</f>
        <v>https://www.commcarehq.org/a/demo-18/api/form/attachment/5fb2fbe8-7a31-47d0-b9a8-059c149818e8/1576826619803.jpg</v>
      </c>
      <c r="P12" t="str">
        <f>HYPERLINK("https://www.commcarehq.org/a/demo-18/api/form/attachment/5fb2fbe8-7a31-47d0-b9a8-059c149818e8/1576826635032.jpg")</f>
        <v>https://www.commcarehq.org/a/demo-18/api/form/attachment/5fb2fbe8-7a31-47d0-b9a8-059c149818e8/1576826635032.jpg</v>
      </c>
      <c r="Q12" s="2">
        <v>43819.308298611111</v>
      </c>
      <c r="R12" s="2">
        <v>43819.305925925924</v>
      </c>
      <c r="S12" t="s">
        <v>32</v>
      </c>
      <c r="T12" s="2">
        <v>43819.308657407404</v>
      </c>
      <c r="U12" t="s">
        <v>868</v>
      </c>
      <c r="V12" t="s">
        <v>869</v>
      </c>
    </row>
    <row r="13" spans="1:22" x14ac:dyDescent="0.45">
      <c r="A13" t="s">
        <v>125</v>
      </c>
      <c r="B13">
        <v>4</v>
      </c>
      <c r="C13" s="1">
        <v>43848</v>
      </c>
      <c r="D13" s="1">
        <v>43818</v>
      </c>
      <c r="E13" t="s">
        <v>428</v>
      </c>
      <c r="F13" t="s">
        <v>429</v>
      </c>
      <c r="G13" t="s">
        <v>429</v>
      </c>
      <c r="H13" t="s">
        <v>430</v>
      </c>
      <c r="I13" t="s">
        <v>428</v>
      </c>
      <c r="J13" t="s">
        <v>429</v>
      </c>
      <c r="K13" t="str">
        <f>HYPERLINK("https://www.commcarehq.org/a/demo-18/api/form/attachment/6749798c-3e55-4667-ae1d-e631337a7254/1576742210858.jpg")</f>
        <v>https://www.commcarehq.org/a/demo-18/api/form/attachment/6749798c-3e55-4667-ae1d-e631337a7254/1576742210858.jpg</v>
      </c>
      <c r="L13" t="str">
        <f>HYPERLINK("https://www.commcarehq.org/a/demo-18/api/form/attachment/6749798c-3e55-4667-ae1d-e631337a7254/1576742237349.jpg")</f>
        <v>https://www.commcarehq.org/a/demo-18/api/form/attachment/6749798c-3e55-4667-ae1d-e631337a7254/1576742237349.jpg</v>
      </c>
      <c r="M13" t="str">
        <f>HYPERLINK("https://www.commcarehq.org/a/demo-18/api/form/attachment/6749798c-3e55-4667-ae1d-e631337a7254/1576742287379.jpg")</f>
        <v>https://www.commcarehq.org/a/demo-18/api/form/attachment/6749798c-3e55-4667-ae1d-e631337a7254/1576742287379.jpg</v>
      </c>
      <c r="N13" t="str">
        <f>HYPERLINK("https://www.commcarehq.org/a/demo-18/api/form/attachment/6749798c-3e55-4667-ae1d-e631337a7254/1576742299499.jpg")</f>
        <v>https://www.commcarehq.org/a/demo-18/api/form/attachment/6749798c-3e55-4667-ae1d-e631337a7254/1576742299499.jpg</v>
      </c>
      <c r="O13" t="str">
        <f>HYPERLINK("https://www.commcarehq.org/a/demo-18/api/form/attachment/6749798c-3e55-4667-ae1d-e631337a7254/1576742318602.jpg")</f>
        <v>https://www.commcarehq.org/a/demo-18/api/form/attachment/6749798c-3e55-4667-ae1d-e631337a7254/1576742318602.jpg</v>
      </c>
      <c r="P13" t="str">
        <f>HYPERLINK("https://www.commcarehq.org/a/demo-18/api/form/attachment/6749798c-3e55-4667-ae1d-e631337a7254/1576742330029.jpg")</f>
        <v>https://www.commcarehq.org/a/demo-18/api/form/attachment/6749798c-3e55-4667-ae1d-e631337a7254/1576742330029.jpg</v>
      </c>
      <c r="Q13" s="2">
        <v>43818.332546296297</v>
      </c>
      <c r="R13" s="2">
        <v>43818.330023148148</v>
      </c>
      <c r="S13" t="s">
        <v>32</v>
      </c>
      <c r="T13" s="2">
        <v>43818.359386574077</v>
      </c>
      <c r="U13" t="s">
        <v>850</v>
      </c>
      <c r="V13" t="s">
        <v>851</v>
      </c>
    </row>
    <row r="14" spans="1:22" x14ac:dyDescent="0.45">
      <c r="A14" t="s">
        <v>134</v>
      </c>
      <c r="B14">
        <v>4.7</v>
      </c>
      <c r="C14" s="1">
        <v>43848</v>
      </c>
      <c r="D14" s="1">
        <v>43818</v>
      </c>
      <c r="E14" t="s">
        <v>428</v>
      </c>
      <c r="F14" t="s">
        <v>429</v>
      </c>
      <c r="G14" t="s">
        <v>429</v>
      </c>
      <c r="H14" t="s">
        <v>430</v>
      </c>
      <c r="I14" t="s">
        <v>428</v>
      </c>
      <c r="J14" t="s">
        <v>429</v>
      </c>
      <c r="K14" t="str">
        <f>HYPERLINK("https://www.commcarehq.org/a/demo-18/api/form/attachment/1d466570-1fdf-4563-b460-12f3a24beb4c/1576744482771.jpg")</f>
        <v>https://www.commcarehq.org/a/demo-18/api/form/attachment/1d466570-1fdf-4563-b460-12f3a24beb4c/1576744482771.jpg</v>
      </c>
      <c r="L14" t="str">
        <f>HYPERLINK("https://www.commcarehq.org/a/demo-18/api/form/attachment/1d466570-1fdf-4563-b460-12f3a24beb4c/1576744506728.jpg")</f>
        <v>https://www.commcarehq.org/a/demo-18/api/form/attachment/1d466570-1fdf-4563-b460-12f3a24beb4c/1576744506728.jpg</v>
      </c>
      <c r="M14" t="str">
        <f>HYPERLINK("https://www.commcarehq.org/a/demo-18/api/form/attachment/1d466570-1fdf-4563-b460-12f3a24beb4c/1576744553212.jpg")</f>
        <v>https://www.commcarehq.org/a/demo-18/api/form/attachment/1d466570-1fdf-4563-b460-12f3a24beb4c/1576744553212.jpg</v>
      </c>
      <c r="N14" t="str">
        <f>HYPERLINK("https://www.commcarehq.org/a/demo-18/api/form/attachment/1d466570-1fdf-4563-b460-12f3a24beb4c/1576744565004.jpg")</f>
        <v>https://www.commcarehq.org/a/demo-18/api/form/attachment/1d466570-1fdf-4563-b460-12f3a24beb4c/1576744565004.jpg</v>
      </c>
      <c r="O14" t="str">
        <f>HYPERLINK("https://www.commcarehq.org/a/demo-18/api/form/attachment/1d466570-1fdf-4563-b460-12f3a24beb4c/1576744580329.jpg")</f>
        <v>https://www.commcarehq.org/a/demo-18/api/form/attachment/1d466570-1fdf-4563-b460-12f3a24beb4c/1576744580329.jpg</v>
      </c>
      <c r="P14" t="str">
        <f>HYPERLINK("https://www.commcarehq.org/a/demo-18/api/form/attachment/1d466570-1fdf-4563-b460-12f3a24beb4c/1576744590504.jpg")</f>
        <v>https://www.commcarehq.org/a/demo-18/api/form/attachment/1d466570-1fdf-4563-b460-12f3a24beb4c/1576744590504.jpg</v>
      </c>
      <c r="Q14" s="2">
        <v>43818.358703703707</v>
      </c>
      <c r="R14" s="2">
        <v>43818.35696759259</v>
      </c>
      <c r="S14" t="s">
        <v>32</v>
      </c>
      <c r="T14" s="2">
        <v>43818.359537037039</v>
      </c>
      <c r="U14" t="s">
        <v>846</v>
      </c>
      <c r="V14" t="s">
        <v>847</v>
      </c>
    </row>
    <row r="15" spans="1:22" x14ac:dyDescent="0.45">
      <c r="A15" t="s">
        <v>358</v>
      </c>
      <c r="B15">
        <v>3.9</v>
      </c>
      <c r="C15" s="1">
        <v>43848</v>
      </c>
      <c r="D15" s="1">
        <v>43818</v>
      </c>
      <c r="E15" t="s">
        <v>428</v>
      </c>
      <c r="F15" t="s">
        <v>429</v>
      </c>
      <c r="G15" t="s">
        <v>429</v>
      </c>
      <c r="H15" t="s">
        <v>498</v>
      </c>
      <c r="I15" t="s">
        <v>428</v>
      </c>
      <c r="J15" t="s">
        <v>429</v>
      </c>
      <c r="K15" t="str">
        <f>HYPERLINK("https://www.commcarehq.org/a/demo-18/api/form/attachment/53e2efd6-4e9e-455e-b556-fdd02f3e6d6a/1576745255926.jpg")</f>
        <v>https://www.commcarehq.org/a/demo-18/api/form/attachment/53e2efd6-4e9e-455e-b556-fdd02f3e6d6a/1576745255926.jpg</v>
      </c>
      <c r="L15" t="str">
        <f>HYPERLINK("https://www.commcarehq.org/a/demo-18/api/form/attachment/53e2efd6-4e9e-455e-b556-fdd02f3e6d6a/1576745274648.jpg")</f>
        <v>https://www.commcarehq.org/a/demo-18/api/form/attachment/53e2efd6-4e9e-455e-b556-fdd02f3e6d6a/1576745274648.jpg</v>
      </c>
      <c r="M15" t="str">
        <f>HYPERLINK("https://www.commcarehq.org/a/demo-18/api/form/attachment/53e2efd6-4e9e-455e-b556-fdd02f3e6d6a/1576745336068.jpg")</f>
        <v>https://www.commcarehq.org/a/demo-18/api/form/attachment/53e2efd6-4e9e-455e-b556-fdd02f3e6d6a/1576745336068.jpg</v>
      </c>
      <c r="N15" t="str">
        <f>HYPERLINK("https://www.commcarehq.org/a/demo-18/api/form/attachment/53e2efd6-4e9e-455e-b556-fdd02f3e6d6a/1576745352274.jpg")</f>
        <v>https://www.commcarehq.org/a/demo-18/api/form/attachment/53e2efd6-4e9e-455e-b556-fdd02f3e6d6a/1576745352274.jpg</v>
      </c>
      <c r="O15" t="str">
        <f>HYPERLINK("https://www.commcarehq.org/a/demo-18/api/form/attachment/53e2efd6-4e9e-455e-b556-fdd02f3e6d6a/1576745394172.jpg")</f>
        <v>https://www.commcarehq.org/a/demo-18/api/form/attachment/53e2efd6-4e9e-455e-b556-fdd02f3e6d6a/1576745394172.jpg</v>
      </c>
      <c r="P15" t="str">
        <f>HYPERLINK("https://www.commcarehq.org/a/demo-18/api/form/attachment/53e2efd6-4e9e-455e-b556-fdd02f3e6d6a/1576745408232.jpg")</f>
        <v>https://www.commcarehq.org/a/demo-18/api/form/attachment/53e2efd6-4e9e-455e-b556-fdd02f3e6d6a/1576745408232.jpg</v>
      </c>
      <c r="Q15" s="2">
        <v>43818.368171296293</v>
      </c>
      <c r="R15" s="2">
        <v>43818.365798611114</v>
      </c>
      <c r="S15" t="s">
        <v>32</v>
      </c>
      <c r="T15" s="2">
        <v>43818.368356481478</v>
      </c>
      <c r="U15" t="s">
        <v>848</v>
      </c>
      <c r="V15" t="s">
        <v>849</v>
      </c>
    </row>
    <row r="16" spans="1:22" x14ac:dyDescent="0.45">
      <c r="A16" t="s">
        <v>208</v>
      </c>
      <c r="B16">
        <v>3.5</v>
      </c>
      <c r="C16" s="1">
        <v>43840</v>
      </c>
      <c r="D16" s="1">
        <v>43810</v>
      </c>
      <c r="E16" t="s">
        <v>428</v>
      </c>
      <c r="F16" t="s">
        <v>429</v>
      </c>
      <c r="G16" t="s">
        <v>429</v>
      </c>
      <c r="H16" t="s">
        <v>430</v>
      </c>
      <c r="I16" t="s">
        <v>428</v>
      </c>
      <c r="J16" t="s">
        <v>429</v>
      </c>
      <c r="K16" t="str">
        <f>HYPERLINK("https://www.commcarehq.org/a/demo-18/api/form/attachment/a82a7822-f327-4b21-960e-0d92344c5ef0/1576056842436.jpg")</f>
        <v>https://www.commcarehq.org/a/demo-18/api/form/attachment/a82a7822-f327-4b21-960e-0d92344c5ef0/1576056842436.jpg</v>
      </c>
      <c r="L16" t="str">
        <f>HYPERLINK("https://www.commcarehq.org/a/demo-18/api/form/attachment/a82a7822-f327-4b21-960e-0d92344c5ef0/1576056867295.jpg")</f>
        <v>https://www.commcarehq.org/a/demo-18/api/form/attachment/a82a7822-f327-4b21-960e-0d92344c5ef0/1576056867295.jpg</v>
      </c>
      <c r="M16" t="str">
        <f>HYPERLINK("https://www.commcarehq.org/a/demo-18/api/form/attachment/a82a7822-f327-4b21-960e-0d92344c5ef0/1576056942752.jpg")</f>
        <v>https://www.commcarehq.org/a/demo-18/api/form/attachment/a82a7822-f327-4b21-960e-0d92344c5ef0/1576056942752.jpg</v>
      </c>
      <c r="N16" t="str">
        <f>HYPERLINK("https://www.commcarehq.org/a/demo-18/api/form/attachment/a82a7822-f327-4b21-960e-0d92344c5ef0/1576056952177.jpg")</f>
        <v>https://www.commcarehq.org/a/demo-18/api/form/attachment/a82a7822-f327-4b21-960e-0d92344c5ef0/1576056952177.jpg</v>
      </c>
      <c r="O16" t="str">
        <f>HYPERLINK("https://www.commcarehq.org/a/demo-18/api/form/attachment/a82a7822-f327-4b21-960e-0d92344c5ef0/1576056975786.jpg")</f>
        <v>https://www.commcarehq.org/a/demo-18/api/form/attachment/a82a7822-f327-4b21-960e-0d92344c5ef0/1576056975786.jpg</v>
      </c>
      <c r="P16" t="str">
        <f>HYPERLINK("https://www.commcarehq.org/a/demo-18/api/form/attachment/a82a7822-f327-4b21-960e-0d92344c5ef0/1576056985746.jpg")</f>
        <v>https://www.commcarehq.org/a/demo-18/api/form/attachment/a82a7822-f327-4b21-960e-0d92344c5ef0/1576056985746.jpg</v>
      </c>
      <c r="Q16" s="2">
        <v>43810.400335648148</v>
      </c>
      <c r="R16" s="2">
        <v>43810.397893518515</v>
      </c>
      <c r="S16" t="s">
        <v>32</v>
      </c>
      <c r="T16" s="2">
        <v>43810.44263888889</v>
      </c>
      <c r="U16" t="s">
        <v>431</v>
      </c>
      <c r="V16" t="s">
        <v>432</v>
      </c>
    </row>
    <row r="17" spans="1:22" x14ac:dyDescent="0.45">
      <c r="A17" t="s">
        <v>223</v>
      </c>
      <c r="B17">
        <v>4.5</v>
      </c>
      <c r="C17" s="1">
        <v>43855</v>
      </c>
      <c r="D17" s="1">
        <v>43825</v>
      </c>
      <c r="E17" t="s">
        <v>428</v>
      </c>
      <c r="F17" t="s">
        <v>429</v>
      </c>
      <c r="G17" t="s">
        <v>429</v>
      </c>
      <c r="H17" t="s">
        <v>468</v>
      </c>
      <c r="I17" t="s">
        <v>428</v>
      </c>
      <c r="J17" t="s">
        <v>429</v>
      </c>
      <c r="K17" t="str">
        <f>HYPERLINK("https://www.commcarehq.org/a/demo-18/api/form/attachment/a0aca676-a032-48d1-a4e0-df6cb4286179/1577346144130.jpg")</f>
        <v>https://www.commcarehq.org/a/demo-18/api/form/attachment/a0aca676-a032-48d1-a4e0-df6cb4286179/1577346144130.jpg</v>
      </c>
      <c r="L17" t="str">
        <f>HYPERLINK("https://www.commcarehq.org/a/demo-18/api/form/attachment/a0aca676-a032-48d1-a4e0-df6cb4286179/1577346162203.jpg")</f>
        <v>https://www.commcarehq.org/a/demo-18/api/form/attachment/a0aca676-a032-48d1-a4e0-df6cb4286179/1577346162203.jpg</v>
      </c>
      <c r="M17" t="str">
        <f>HYPERLINK("https://www.commcarehq.org/a/demo-18/api/form/attachment/a0aca676-a032-48d1-a4e0-df6cb4286179/1577346206479.jpg")</f>
        <v>https://www.commcarehq.org/a/demo-18/api/form/attachment/a0aca676-a032-48d1-a4e0-df6cb4286179/1577346206479.jpg</v>
      </c>
      <c r="N17" t="str">
        <f>HYPERLINK("https://www.commcarehq.org/a/demo-18/api/form/attachment/a0aca676-a032-48d1-a4e0-df6cb4286179/1577346215986.jpg")</f>
        <v>https://www.commcarehq.org/a/demo-18/api/form/attachment/a0aca676-a032-48d1-a4e0-df6cb4286179/1577346215986.jpg</v>
      </c>
      <c r="O17" t="str">
        <f>HYPERLINK("https://www.commcarehq.org/a/demo-18/api/form/attachment/a0aca676-a032-48d1-a4e0-df6cb4286179/1577346254685.jpg")</f>
        <v>https://www.commcarehq.org/a/demo-18/api/form/attachment/a0aca676-a032-48d1-a4e0-df6cb4286179/1577346254685.jpg</v>
      </c>
      <c r="P17" t="str">
        <f>HYPERLINK("https://www.commcarehq.org/a/demo-18/api/form/attachment/a0aca676-a032-48d1-a4e0-df6cb4286179/1577346267394.jpg")</f>
        <v>https://www.commcarehq.org/a/demo-18/api/form/attachment/a0aca676-a032-48d1-a4e0-df6cb4286179/1577346267394.jpg</v>
      </c>
      <c r="Q17" s="2">
        <v>43825.322557870371</v>
      </c>
      <c r="R17" s="2">
        <v>43825.319513888891</v>
      </c>
      <c r="S17" t="s">
        <v>32</v>
      </c>
      <c r="T17" s="2">
        <v>43825.755555555559</v>
      </c>
      <c r="U17" t="s">
        <v>872</v>
      </c>
      <c r="V17" t="s">
        <v>873</v>
      </c>
    </row>
    <row r="18" spans="1:22" x14ac:dyDescent="0.45">
      <c r="A18" t="s">
        <v>301</v>
      </c>
      <c r="B18">
        <v>5.4</v>
      </c>
      <c r="C18" s="1">
        <v>43855</v>
      </c>
      <c r="D18" s="1">
        <v>43825</v>
      </c>
      <c r="E18" t="s">
        <v>428</v>
      </c>
      <c r="F18" t="s">
        <v>429</v>
      </c>
      <c r="G18" t="s">
        <v>429</v>
      </c>
      <c r="H18" t="s">
        <v>430</v>
      </c>
      <c r="I18" t="s">
        <v>428</v>
      </c>
      <c r="J18" t="s">
        <v>429</v>
      </c>
      <c r="K18" t="str">
        <f>HYPERLINK("https://www.commcarehq.org/a/demo-18/api/form/attachment/8bd4c46b-5f18-4c8b-bddc-171672a4e7d0/1577346622335.jpg")</f>
        <v>https://www.commcarehq.org/a/demo-18/api/form/attachment/8bd4c46b-5f18-4c8b-bddc-171672a4e7d0/1577346622335.jpg</v>
      </c>
      <c r="L18" t="str">
        <f>HYPERLINK("https://www.commcarehq.org/a/demo-18/api/form/attachment/8bd4c46b-5f18-4c8b-bddc-171672a4e7d0/1577346651120.jpg")</f>
        <v>https://www.commcarehq.org/a/demo-18/api/form/attachment/8bd4c46b-5f18-4c8b-bddc-171672a4e7d0/1577346651120.jpg</v>
      </c>
      <c r="M18" t="str">
        <f>HYPERLINK("https://www.commcarehq.org/a/demo-18/api/form/attachment/8bd4c46b-5f18-4c8b-bddc-171672a4e7d0/1577346733608.jpg")</f>
        <v>https://www.commcarehq.org/a/demo-18/api/form/attachment/8bd4c46b-5f18-4c8b-bddc-171672a4e7d0/1577346733608.jpg</v>
      </c>
      <c r="N18" t="str">
        <f>HYPERLINK("https://www.commcarehq.org/a/demo-18/api/form/attachment/8bd4c46b-5f18-4c8b-bddc-171672a4e7d0/1577346745848.jpg")</f>
        <v>https://www.commcarehq.org/a/demo-18/api/form/attachment/8bd4c46b-5f18-4c8b-bddc-171672a4e7d0/1577346745848.jpg</v>
      </c>
      <c r="O18" t="str">
        <f>HYPERLINK("https://www.commcarehq.org/a/demo-18/api/form/attachment/8bd4c46b-5f18-4c8b-bddc-171672a4e7d0/1577346769582.jpg")</f>
        <v>https://www.commcarehq.org/a/demo-18/api/form/attachment/8bd4c46b-5f18-4c8b-bddc-171672a4e7d0/1577346769582.jpg</v>
      </c>
      <c r="P18" t="str">
        <f>HYPERLINK("https://www.commcarehq.org/a/demo-18/api/form/attachment/8bd4c46b-5f18-4c8b-bddc-171672a4e7d0/1577346780678.jpg")</f>
        <v>https://www.commcarehq.org/a/demo-18/api/form/attachment/8bd4c46b-5f18-4c8b-bddc-171672a4e7d0/1577346780678.jpg</v>
      </c>
      <c r="Q18" s="2">
        <v>43825.328506944446</v>
      </c>
      <c r="R18" s="2">
        <v>43825.325578703705</v>
      </c>
      <c r="S18" t="s">
        <v>32</v>
      </c>
      <c r="T18" s="2">
        <v>43825.758460648147</v>
      </c>
      <c r="U18" t="s">
        <v>874</v>
      </c>
      <c r="V18" t="s">
        <v>875</v>
      </c>
    </row>
    <row r="19" spans="1:22" x14ac:dyDescent="0.45">
      <c r="A19" t="s">
        <v>149</v>
      </c>
      <c r="B19">
        <v>5.8</v>
      </c>
      <c r="C19" s="1">
        <v>43856</v>
      </c>
      <c r="D19" s="1">
        <v>43826</v>
      </c>
      <c r="E19" t="s">
        <v>428</v>
      </c>
      <c r="F19" t="s">
        <v>429</v>
      </c>
      <c r="G19" t="s">
        <v>429</v>
      </c>
      <c r="H19" t="s">
        <v>430</v>
      </c>
      <c r="I19" t="s">
        <v>428</v>
      </c>
      <c r="J19" t="s">
        <v>429</v>
      </c>
      <c r="K19" t="str">
        <f>HYPERLINK("https://www.commcarehq.org/a/demo-18/api/form/attachment/3c6f625f-4fde-4f8a-a37d-e317b7b24575/1577436030822.jpg")</f>
        <v>https://www.commcarehq.org/a/demo-18/api/form/attachment/3c6f625f-4fde-4f8a-a37d-e317b7b24575/1577436030822.jpg</v>
      </c>
      <c r="L19" t="str">
        <f>HYPERLINK("https://www.commcarehq.org/a/demo-18/api/form/attachment/3c6f625f-4fde-4f8a-a37d-e317b7b24575/1577436060826.jpg")</f>
        <v>https://www.commcarehq.org/a/demo-18/api/form/attachment/3c6f625f-4fde-4f8a-a37d-e317b7b24575/1577436060826.jpg</v>
      </c>
      <c r="M19" t="str">
        <f>HYPERLINK("https://www.commcarehq.org/a/demo-18/api/form/attachment/3c6f625f-4fde-4f8a-a37d-e317b7b24575/1577436128635.jpg")</f>
        <v>https://www.commcarehq.org/a/demo-18/api/form/attachment/3c6f625f-4fde-4f8a-a37d-e317b7b24575/1577436128635.jpg</v>
      </c>
      <c r="N19" t="str">
        <f>HYPERLINK("https://www.commcarehq.org/a/demo-18/api/form/attachment/3c6f625f-4fde-4f8a-a37d-e317b7b24575/1577436138684.jpg")</f>
        <v>https://www.commcarehq.org/a/demo-18/api/form/attachment/3c6f625f-4fde-4f8a-a37d-e317b7b24575/1577436138684.jpg</v>
      </c>
      <c r="O19" t="str">
        <f>HYPERLINK("https://www.commcarehq.org/a/demo-18/api/form/attachment/3c6f625f-4fde-4f8a-a37d-e317b7b24575/1577436162341.jpg")</f>
        <v>https://www.commcarehq.org/a/demo-18/api/form/attachment/3c6f625f-4fde-4f8a-a37d-e317b7b24575/1577436162341.jpg</v>
      </c>
      <c r="P19" t="str">
        <f>HYPERLINK("https://www.commcarehq.org/a/demo-18/api/form/attachment/3c6f625f-4fde-4f8a-a37d-e317b7b24575/1577436172761.jpg")</f>
        <v>https://www.commcarehq.org/a/demo-18/api/form/attachment/3c6f625f-4fde-4f8a-a37d-e317b7b24575/1577436172761.jpg</v>
      </c>
      <c r="Q19" s="2">
        <v>43826.363125000003</v>
      </c>
      <c r="R19" s="2">
        <v>43826.360763888886</v>
      </c>
      <c r="S19" t="s">
        <v>32</v>
      </c>
      <c r="T19" s="2">
        <v>43826.649745370371</v>
      </c>
      <c r="U19" t="s">
        <v>876</v>
      </c>
      <c r="V19" t="s">
        <v>877</v>
      </c>
    </row>
    <row r="20" spans="1:22" x14ac:dyDescent="0.45">
      <c r="A20" t="s">
        <v>59</v>
      </c>
      <c r="B20">
        <v>5.5</v>
      </c>
      <c r="C20" s="1">
        <v>43856</v>
      </c>
      <c r="D20" s="1">
        <v>43826</v>
      </c>
      <c r="E20" t="s">
        <v>428</v>
      </c>
      <c r="F20" t="s">
        <v>429</v>
      </c>
      <c r="G20" t="s">
        <v>429</v>
      </c>
      <c r="H20" t="s">
        <v>878</v>
      </c>
      <c r="I20" t="s">
        <v>428</v>
      </c>
      <c r="J20" t="s">
        <v>429</v>
      </c>
      <c r="K20" t="str">
        <f>HYPERLINK("https://www.commcarehq.org/a/demo-18/api/form/attachment/35189ca7-3c90-447e-9e5a-733d8106c918/1577434438337.jpg")</f>
        <v>https://www.commcarehq.org/a/demo-18/api/form/attachment/35189ca7-3c90-447e-9e5a-733d8106c918/1577434438337.jpg</v>
      </c>
      <c r="L20" t="str">
        <f>HYPERLINK("https://www.commcarehq.org/a/demo-18/api/form/attachment/35189ca7-3c90-447e-9e5a-733d8106c918/1577434464077.jpg")</f>
        <v>https://www.commcarehq.org/a/demo-18/api/form/attachment/35189ca7-3c90-447e-9e5a-733d8106c918/1577434464077.jpg</v>
      </c>
      <c r="M20" t="str">
        <f>HYPERLINK("https://www.commcarehq.org/a/demo-18/api/form/attachment/35189ca7-3c90-447e-9e5a-733d8106c918/1577434612769.jpg")</f>
        <v>https://www.commcarehq.org/a/demo-18/api/form/attachment/35189ca7-3c90-447e-9e5a-733d8106c918/1577434612769.jpg</v>
      </c>
      <c r="N20" t="str">
        <f>HYPERLINK("https://www.commcarehq.org/a/demo-18/api/form/attachment/35189ca7-3c90-447e-9e5a-733d8106c918/1577434622709.jpg")</f>
        <v>https://www.commcarehq.org/a/demo-18/api/form/attachment/35189ca7-3c90-447e-9e5a-733d8106c918/1577434622709.jpg</v>
      </c>
      <c r="O20" t="str">
        <f>HYPERLINK("https://www.commcarehq.org/a/demo-18/api/form/attachment/35189ca7-3c90-447e-9e5a-733d8106c918/1577434637460.jpg")</f>
        <v>https://www.commcarehq.org/a/demo-18/api/form/attachment/35189ca7-3c90-447e-9e5a-733d8106c918/1577434637460.jpg</v>
      </c>
      <c r="P20" t="str">
        <f>HYPERLINK("https://www.commcarehq.org/a/demo-18/api/form/attachment/35189ca7-3c90-447e-9e5a-733d8106c918/1577434648654.jpg")</f>
        <v>https://www.commcarehq.org/a/demo-18/api/form/attachment/35189ca7-3c90-447e-9e5a-733d8106c918/1577434648654.jpg</v>
      </c>
      <c r="Q20" s="2">
        <v>43826.345486111109</v>
      </c>
      <c r="R20" s="2">
        <v>43826.34202546296</v>
      </c>
      <c r="S20" t="s">
        <v>32</v>
      </c>
      <c r="T20" s="2">
        <v>43826.649560185186</v>
      </c>
      <c r="U20" s="3" t="s">
        <v>879</v>
      </c>
      <c r="V20" t="s">
        <v>880</v>
      </c>
    </row>
    <row r="21" spans="1:22" x14ac:dyDescent="0.45">
      <c r="A21" t="s">
        <v>187</v>
      </c>
      <c r="B21">
        <v>4.9000000000000004</v>
      </c>
      <c r="C21" s="1">
        <v>43856</v>
      </c>
      <c r="D21" s="1">
        <v>43826</v>
      </c>
      <c r="E21" t="s">
        <v>428</v>
      </c>
      <c r="F21" t="s">
        <v>429</v>
      </c>
      <c r="G21" t="s">
        <v>429</v>
      </c>
      <c r="H21" t="s">
        <v>430</v>
      </c>
      <c r="I21" t="s">
        <v>428</v>
      </c>
      <c r="J21" t="s">
        <v>429</v>
      </c>
      <c r="K21" t="str">
        <f>HYPERLINK("https://www.commcarehq.org/a/demo-18/api/form/attachment/665f1816-0cba-4c23-aa80-4f9aa66946da/1577428169319.jpg")</f>
        <v>https://www.commcarehq.org/a/demo-18/api/form/attachment/665f1816-0cba-4c23-aa80-4f9aa66946da/1577428169319.jpg</v>
      </c>
      <c r="L21" t="str">
        <f>HYPERLINK("https://www.commcarehq.org/a/demo-18/api/form/attachment/665f1816-0cba-4c23-aa80-4f9aa66946da/1577428195189.jpg")</f>
        <v>https://www.commcarehq.org/a/demo-18/api/form/attachment/665f1816-0cba-4c23-aa80-4f9aa66946da/1577428195189.jpg</v>
      </c>
      <c r="M21" t="str">
        <f>HYPERLINK("https://www.commcarehq.org/a/demo-18/api/form/attachment/665f1816-0cba-4c23-aa80-4f9aa66946da/1577428287077.jpg")</f>
        <v>https://www.commcarehq.org/a/demo-18/api/form/attachment/665f1816-0cba-4c23-aa80-4f9aa66946da/1577428287077.jpg</v>
      </c>
      <c r="N21" t="str">
        <f>HYPERLINK("https://www.commcarehq.org/a/demo-18/api/form/attachment/665f1816-0cba-4c23-aa80-4f9aa66946da/1577428298069.jpg")</f>
        <v>https://www.commcarehq.org/a/demo-18/api/form/attachment/665f1816-0cba-4c23-aa80-4f9aa66946da/1577428298069.jpg</v>
      </c>
      <c r="O21" t="str">
        <f>HYPERLINK("https://www.commcarehq.org/a/demo-18/api/form/attachment/665f1816-0cba-4c23-aa80-4f9aa66946da/1577428321567.jpg")</f>
        <v>https://www.commcarehq.org/a/demo-18/api/form/attachment/665f1816-0cba-4c23-aa80-4f9aa66946da/1577428321567.jpg</v>
      </c>
      <c r="P21" t="str">
        <f>HYPERLINK("https://www.commcarehq.org/a/demo-18/api/form/attachment/665f1816-0cba-4c23-aa80-4f9aa66946da/1577428333413.jpg")</f>
        <v>https://www.commcarehq.org/a/demo-18/api/form/attachment/665f1816-0cba-4c23-aa80-4f9aa66946da/1577428333413.jpg</v>
      </c>
      <c r="Q21" s="2">
        <v>43826.27239583333</v>
      </c>
      <c r="R21" s="2">
        <v>43826.270173611112</v>
      </c>
      <c r="S21" t="s">
        <v>32</v>
      </c>
      <c r="T21" s="2">
        <v>43826.649340277778</v>
      </c>
      <c r="U21" t="s">
        <v>881</v>
      </c>
      <c r="V21" t="s">
        <v>882</v>
      </c>
    </row>
    <row r="22" spans="1:22" x14ac:dyDescent="0.45">
      <c r="A22" t="s">
        <v>146</v>
      </c>
      <c r="B22">
        <v>6.2</v>
      </c>
      <c r="C22" s="1">
        <v>43859</v>
      </c>
      <c r="D22" s="1">
        <v>43829</v>
      </c>
      <c r="E22" t="s">
        <v>428</v>
      </c>
      <c r="F22" t="s">
        <v>429</v>
      </c>
      <c r="G22" t="s">
        <v>429</v>
      </c>
      <c r="H22" t="s">
        <v>447</v>
      </c>
      <c r="I22" t="s">
        <v>428</v>
      </c>
      <c r="J22" t="s">
        <v>429</v>
      </c>
      <c r="K22" t="str">
        <f>HYPERLINK("https://www.commcarehq.org/a/demo-18/api/form/attachment/aa62163c-734a-4785-8ff7-d8e16ece417e/1577686951871.jpg")</f>
        <v>https://www.commcarehq.org/a/demo-18/api/form/attachment/aa62163c-734a-4785-8ff7-d8e16ece417e/1577686951871.jpg</v>
      </c>
      <c r="L22" t="str">
        <f>HYPERLINK("https://www.commcarehq.org/a/demo-18/api/form/attachment/aa62163c-734a-4785-8ff7-d8e16ece417e/1577686977342.jpg")</f>
        <v>https://www.commcarehq.org/a/demo-18/api/form/attachment/aa62163c-734a-4785-8ff7-d8e16ece417e/1577686977342.jpg</v>
      </c>
      <c r="M22" t="str">
        <f>HYPERLINK("https://www.commcarehq.org/a/demo-18/api/form/attachment/aa62163c-734a-4785-8ff7-d8e16ece417e/1577687033356.jpg")</f>
        <v>https://www.commcarehq.org/a/demo-18/api/form/attachment/aa62163c-734a-4785-8ff7-d8e16ece417e/1577687033356.jpg</v>
      </c>
      <c r="N22" t="str">
        <f>HYPERLINK("https://www.commcarehq.org/a/demo-18/api/form/attachment/aa62163c-734a-4785-8ff7-d8e16ece417e/1577687044365.jpg")</f>
        <v>https://www.commcarehq.org/a/demo-18/api/form/attachment/aa62163c-734a-4785-8ff7-d8e16ece417e/1577687044365.jpg</v>
      </c>
      <c r="O22" t="str">
        <f>HYPERLINK("https://www.commcarehq.org/a/demo-18/api/form/attachment/aa62163c-734a-4785-8ff7-d8e16ece417e/1577687064387.jpg")</f>
        <v>https://www.commcarehq.org/a/demo-18/api/form/attachment/aa62163c-734a-4785-8ff7-d8e16ece417e/1577687064387.jpg</v>
      </c>
      <c r="P22" t="str">
        <f>HYPERLINK("https://www.commcarehq.org/a/demo-18/api/form/attachment/aa62163c-734a-4785-8ff7-d8e16ece417e/1577687078166.jpg")</f>
        <v>https://www.commcarehq.org/a/demo-18/api/form/attachment/aa62163c-734a-4785-8ff7-d8e16ece417e/1577687078166.jpg</v>
      </c>
      <c r="Q22" s="2">
        <v>43829.267129629632</v>
      </c>
      <c r="R22" s="2">
        <v>43829.264618055553</v>
      </c>
      <c r="S22" t="s">
        <v>32</v>
      </c>
      <c r="T22" s="2">
        <v>43830.188090277778</v>
      </c>
      <c r="U22" s="3" t="s">
        <v>883</v>
      </c>
      <c r="V22" t="s">
        <v>884</v>
      </c>
    </row>
    <row r="23" spans="1:22" x14ac:dyDescent="0.45">
      <c r="A23" t="s">
        <v>316</v>
      </c>
      <c r="B23">
        <v>5</v>
      </c>
      <c r="C23" s="1">
        <v>43876</v>
      </c>
      <c r="D23" s="1">
        <v>43846</v>
      </c>
      <c r="E23" t="s">
        <v>428</v>
      </c>
      <c r="F23" t="s">
        <v>429</v>
      </c>
      <c r="G23" t="s">
        <v>429</v>
      </c>
      <c r="H23" t="s">
        <v>430</v>
      </c>
      <c r="I23" t="s">
        <v>428</v>
      </c>
      <c r="J23" t="s">
        <v>429</v>
      </c>
      <c r="K23" t="str">
        <f>HYPERLINK("https://www.commcarehq.org/a/demo-18/api/form/attachment/26b8df14-2d4f-449e-b944-8c3b33136787/1579161137121.jpg")</f>
        <v>https://www.commcarehq.org/a/demo-18/api/form/attachment/26b8df14-2d4f-449e-b944-8c3b33136787/1579161137121.jpg</v>
      </c>
      <c r="L23" t="str">
        <f>HYPERLINK("https://www.commcarehq.org/a/demo-18/api/form/attachment/26b8df14-2d4f-449e-b944-8c3b33136787/1579161157580.jpg")</f>
        <v>https://www.commcarehq.org/a/demo-18/api/form/attachment/26b8df14-2d4f-449e-b944-8c3b33136787/1579161157580.jpg</v>
      </c>
      <c r="M23" t="str">
        <f>HYPERLINK("https://www.commcarehq.org/a/demo-18/api/form/attachment/26b8df14-2d4f-449e-b944-8c3b33136787/1579161199633.jpg")</f>
        <v>https://www.commcarehq.org/a/demo-18/api/form/attachment/26b8df14-2d4f-449e-b944-8c3b33136787/1579161199633.jpg</v>
      </c>
      <c r="N23" t="str">
        <f>HYPERLINK("https://www.commcarehq.org/a/demo-18/api/form/attachment/26b8df14-2d4f-449e-b944-8c3b33136787/1579161269629.jpg")</f>
        <v>https://www.commcarehq.org/a/demo-18/api/form/attachment/26b8df14-2d4f-449e-b944-8c3b33136787/1579161269629.jpg</v>
      </c>
      <c r="O23" t="str">
        <f>HYPERLINK("https://www.commcarehq.org/a/demo-18/api/form/attachment/26b8df14-2d4f-449e-b944-8c3b33136787/1579161286876.jpg")</f>
        <v>https://www.commcarehq.org/a/demo-18/api/form/attachment/26b8df14-2d4f-449e-b944-8c3b33136787/1579161286876.jpg</v>
      </c>
      <c r="P23" t="str">
        <f>HYPERLINK("https://www.commcarehq.org/a/demo-18/api/form/attachment/26b8df14-2d4f-449e-b944-8c3b33136787/1579161297536.jpg")</f>
        <v>https://www.commcarehq.org/a/demo-18/api/form/attachment/26b8df14-2d4f-449e-b944-8c3b33136787/1579161297536.jpg</v>
      </c>
      <c r="Q23" s="2">
        <v>43846.32984953704</v>
      </c>
      <c r="R23" s="2">
        <v>43846.327731481484</v>
      </c>
      <c r="S23" t="s">
        <v>32</v>
      </c>
      <c r="T23" s="2">
        <v>43846.330046296294</v>
      </c>
      <c r="U23" t="s">
        <v>1037</v>
      </c>
      <c r="V23" t="s">
        <v>1038</v>
      </c>
    </row>
    <row r="24" spans="1:22" x14ac:dyDescent="0.45">
      <c r="A24" t="s">
        <v>259</v>
      </c>
      <c r="B24">
        <v>5.6</v>
      </c>
      <c r="C24" s="1">
        <v>43876</v>
      </c>
      <c r="D24" s="1">
        <v>43846</v>
      </c>
      <c r="E24" t="s">
        <v>428</v>
      </c>
      <c r="F24" t="s">
        <v>429</v>
      </c>
      <c r="G24" t="s">
        <v>429</v>
      </c>
      <c r="H24" t="s">
        <v>430</v>
      </c>
      <c r="I24" t="s">
        <v>428</v>
      </c>
      <c r="J24" t="s">
        <v>429</v>
      </c>
      <c r="K24" t="str">
        <f>HYPERLINK("https://www.commcarehq.org/a/demo-18/api/form/attachment/b894204b-1218-4346-85d7-849a6afeae67/1579161938073.jpg")</f>
        <v>https://www.commcarehq.org/a/demo-18/api/form/attachment/b894204b-1218-4346-85d7-849a6afeae67/1579161938073.jpg</v>
      </c>
      <c r="L24" t="str">
        <f>HYPERLINK("https://www.commcarehq.org/a/demo-18/api/form/attachment/b894204b-1218-4346-85d7-849a6afeae67/1579161954607.jpg")</f>
        <v>https://www.commcarehq.org/a/demo-18/api/form/attachment/b894204b-1218-4346-85d7-849a6afeae67/1579161954607.jpg</v>
      </c>
      <c r="M24" t="str">
        <f>HYPERLINK("https://www.commcarehq.org/a/demo-18/api/form/attachment/b894204b-1218-4346-85d7-849a6afeae67/1579162037828.jpg")</f>
        <v>https://www.commcarehq.org/a/demo-18/api/form/attachment/b894204b-1218-4346-85d7-849a6afeae67/1579162037828.jpg</v>
      </c>
      <c r="N24" t="str">
        <f>HYPERLINK("https://www.commcarehq.org/a/demo-18/api/form/attachment/b894204b-1218-4346-85d7-849a6afeae67/1579162047904.jpg")</f>
        <v>https://www.commcarehq.org/a/demo-18/api/form/attachment/b894204b-1218-4346-85d7-849a6afeae67/1579162047904.jpg</v>
      </c>
      <c r="O24" t="str">
        <f>HYPERLINK("https://www.commcarehq.org/a/demo-18/api/form/attachment/b894204b-1218-4346-85d7-849a6afeae67/1579162066675.jpg")</f>
        <v>https://www.commcarehq.org/a/demo-18/api/form/attachment/b894204b-1218-4346-85d7-849a6afeae67/1579162066675.jpg</v>
      </c>
      <c r="P24" t="str">
        <f>HYPERLINK("https://www.commcarehq.org/a/demo-18/api/form/attachment/b894204b-1218-4346-85d7-849a6afeae67/1579162078556.jpg")</f>
        <v>https://www.commcarehq.org/a/demo-18/api/form/attachment/b894204b-1218-4346-85d7-849a6afeae67/1579162078556.jpg</v>
      </c>
      <c r="Q24" s="2">
        <v>43846.338888888888</v>
      </c>
      <c r="R24" s="2">
        <v>43846.336226851854</v>
      </c>
      <c r="S24" t="s">
        <v>32</v>
      </c>
      <c r="T24" s="2">
        <v>43846.339166666665</v>
      </c>
      <c r="U24" t="s">
        <v>1035</v>
      </c>
      <c r="V24" t="s">
        <v>1036</v>
      </c>
    </row>
    <row r="25" spans="1:22" x14ac:dyDescent="0.45">
      <c r="A25" t="s">
        <v>280</v>
      </c>
      <c r="B25">
        <v>4.0999999999999996</v>
      </c>
      <c r="C25" s="1">
        <v>43880</v>
      </c>
      <c r="D25" s="1">
        <v>43850</v>
      </c>
      <c r="E25" t="s">
        <v>428</v>
      </c>
      <c r="F25" t="s">
        <v>429</v>
      </c>
      <c r="G25" t="s">
        <v>429</v>
      </c>
      <c r="H25" t="s">
        <v>447</v>
      </c>
      <c r="I25" t="s">
        <v>428</v>
      </c>
      <c r="J25" t="s">
        <v>429</v>
      </c>
      <c r="K25" t="str">
        <f>HYPERLINK("https://www.commcarehq.org/a/demo-18/api/form/attachment/86fd2f6f-b62a-48d6-81cd-f45e9165448a/1579503879269.jpg")</f>
        <v>https://www.commcarehq.org/a/demo-18/api/form/attachment/86fd2f6f-b62a-48d6-81cd-f45e9165448a/1579503879269.jpg</v>
      </c>
      <c r="L25" t="str">
        <f>HYPERLINK("https://www.commcarehq.org/a/demo-18/api/form/attachment/86fd2f6f-b62a-48d6-81cd-f45e9165448a/1579503892406.jpg")</f>
        <v>https://www.commcarehq.org/a/demo-18/api/form/attachment/86fd2f6f-b62a-48d6-81cd-f45e9165448a/1579503892406.jpg</v>
      </c>
      <c r="M25" t="str">
        <f>HYPERLINK("https://www.commcarehq.org/a/demo-18/api/form/attachment/86fd2f6f-b62a-48d6-81cd-f45e9165448a/1579503994845.jpg")</f>
        <v>https://www.commcarehq.org/a/demo-18/api/form/attachment/86fd2f6f-b62a-48d6-81cd-f45e9165448a/1579503994845.jpg</v>
      </c>
      <c r="N25" t="str">
        <f>HYPERLINK("https://www.commcarehq.org/a/demo-18/api/form/attachment/86fd2f6f-b62a-48d6-81cd-f45e9165448a/1579504006440.jpg")</f>
        <v>https://www.commcarehq.org/a/demo-18/api/form/attachment/86fd2f6f-b62a-48d6-81cd-f45e9165448a/1579504006440.jpg</v>
      </c>
      <c r="O25" t="str">
        <f>HYPERLINK("https://www.commcarehq.org/a/demo-18/api/form/attachment/86fd2f6f-b62a-48d6-81cd-f45e9165448a/1579504023077.jpg")</f>
        <v>https://www.commcarehq.org/a/demo-18/api/form/attachment/86fd2f6f-b62a-48d6-81cd-f45e9165448a/1579504023077.jpg</v>
      </c>
      <c r="P25" t="str">
        <f>HYPERLINK("https://www.commcarehq.org/a/demo-18/api/form/attachment/86fd2f6f-b62a-48d6-81cd-f45e9165448a/1579504032169.jpg")</f>
        <v>https://www.commcarehq.org/a/demo-18/api/form/attachment/86fd2f6f-b62a-48d6-81cd-f45e9165448a/1579504032169.jpg</v>
      </c>
      <c r="Q25" s="2">
        <v>43850.296701388892</v>
      </c>
      <c r="R25" s="2">
        <v>43850.294421296298</v>
      </c>
      <c r="S25" t="s">
        <v>32</v>
      </c>
      <c r="T25" s="2">
        <v>43850.296932870369</v>
      </c>
      <c r="U25" t="s">
        <v>1086</v>
      </c>
      <c r="V25" t="s">
        <v>1087</v>
      </c>
    </row>
    <row r="26" spans="1:22" x14ac:dyDescent="0.45">
      <c r="A26" t="s">
        <v>169</v>
      </c>
      <c r="B26">
        <v>5.2</v>
      </c>
      <c r="C26" s="1">
        <v>43880</v>
      </c>
      <c r="D26" s="1">
        <v>43850</v>
      </c>
      <c r="E26" t="s">
        <v>428</v>
      </c>
      <c r="F26" t="s">
        <v>429</v>
      </c>
      <c r="G26" t="s">
        <v>429</v>
      </c>
      <c r="H26" t="s">
        <v>430</v>
      </c>
      <c r="I26" t="s">
        <v>428</v>
      </c>
      <c r="J26" t="s">
        <v>429</v>
      </c>
      <c r="K26" t="str">
        <f>HYPERLINK("https://www.commcarehq.org/a/demo-18/api/form/attachment/32cf8db1-8276-40e4-b60f-9f55b0284f06/1579512111869.jpg")</f>
        <v>https://www.commcarehq.org/a/demo-18/api/form/attachment/32cf8db1-8276-40e4-b60f-9f55b0284f06/1579512111869.jpg</v>
      </c>
      <c r="L26" t="str">
        <f>HYPERLINK("https://www.commcarehq.org/a/demo-18/api/form/attachment/32cf8db1-8276-40e4-b60f-9f55b0284f06/1579512129098.jpg")</f>
        <v>https://www.commcarehq.org/a/demo-18/api/form/attachment/32cf8db1-8276-40e4-b60f-9f55b0284f06/1579512129098.jpg</v>
      </c>
      <c r="M26" t="str">
        <f>HYPERLINK("https://www.commcarehq.org/a/demo-18/api/form/attachment/32cf8db1-8276-40e4-b60f-9f55b0284f06/1579512178184.jpg")</f>
        <v>https://www.commcarehq.org/a/demo-18/api/form/attachment/32cf8db1-8276-40e4-b60f-9f55b0284f06/1579512178184.jpg</v>
      </c>
      <c r="N26" t="str">
        <f>HYPERLINK("https://www.commcarehq.org/a/demo-18/api/form/attachment/32cf8db1-8276-40e4-b60f-9f55b0284f06/1579512187716.jpg")</f>
        <v>https://www.commcarehq.org/a/demo-18/api/form/attachment/32cf8db1-8276-40e4-b60f-9f55b0284f06/1579512187716.jpg</v>
      </c>
      <c r="O26" t="str">
        <f>HYPERLINK("https://www.commcarehq.org/a/demo-18/api/form/attachment/32cf8db1-8276-40e4-b60f-9f55b0284f06/1579512205477.jpg")</f>
        <v>https://www.commcarehq.org/a/demo-18/api/form/attachment/32cf8db1-8276-40e4-b60f-9f55b0284f06/1579512205477.jpg</v>
      </c>
      <c r="P26" t="str">
        <f>HYPERLINK("https://www.commcarehq.org/a/demo-18/api/form/attachment/32cf8db1-8276-40e4-b60f-9f55b0284f06/1579512215108.jpg")</f>
        <v>https://www.commcarehq.org/a/demo-18/api/form/attachment/32cf8db1-8276-40e4-b60f-9f55b0284f06/1579512215108.jpg</v>
      </c>
      <c r="Q26" s="2">
        <v>43850.391400462962</v>
      </c>
      <c r="R26" s="2">
        <v>43850.389664351853</v>
      </c>
      <c r="S26" t="s">
        <v>32</v>
      </c>
      <c r="T26" s="2">
        <v>43850.491354166668</v>
      </c>
      <c r="U26" t="s">
        <v>1147</v>
      </c>
      <c r="V26" t="s">
        <v>1148</v>
      </c>
    </row>
    <row r="27" spans="1:22" x14ac:dyDescent="0.45">
      <c r="A27" t="s">
        <v>397</v>
      </c>
      <c r="B27">
        <v>4.5</v>
      </c>
      <c r="C27" s="1">
        <v>43866</v>
      </c>
      <c r="D27" s="1">
        <v>43836</v>
      </c>
      <c r="E27" t="s">
        <v>428</v>
      </c>
      <c r="F27" t="s">
        <v>429</v>
      </c>
      <c r="G27" t="s">
        <v>429</v>
      </c>
      <c r="H27" t="s">
        <v>430</v>
      </c>
      <c r="I27" t="s">
        <v>428</v>
      </c>
      <c r="J27" t="s">
        <v>429</v>
      </c>
      <c r="K27" t="str">
        <f>HYPERLINK("https://www.commcarehq.org/a/demo-18/api/form/attachment/0db193fe-dfdd-4874-a0cf-288fb6677bb0/1578296106207.jpg")</f>
        <v>https://www.commcarehq.org/a/demo-18/api/form/attachment/0db193fe-dfdd-4874-a0cf-288fb6677bb0/1578296106207.jpg</v>
      </c>
      <c r="L27" t="str">
        <f>HYPERLINK("https://www.commcarehq.org/a/demo-18/api/form/attachment/0db193fe-dfdd-4874-a0cf-288fb6677bb0/1578296128625.jpg")</f>
        <v>https://www.commcarehq.org/a/demo-18/api/form/attachment/0db193fe-dfdd-4874-a0cf-288fb6677bb0/1578296128625.jpg</v>
      </c>
      <c r="M27" t="str">
        <f>HYPERLINK("https://www.commcarehq.org/a/demo-18/api/form/attachment/0db193fe-dfdd-4874-a0cf-288fb6677bb0/1578296175483.jpg")</f>
        <v>https://www.commcarehq.org/a/demo-18/api/form/attachment/0db193fe-dfdd-4874-a0cf-288fb6677bb0/1578296175483.jpg</v>
      </c>
      <c r="N27" t="str">
        <f>HYPERLINK("https://www.commcarehq.org/a/demo-18/api/form/attachment/0db193fe-dfdd-4874-a0cf-288fb6677bb0/1578296185688.jpg")</f>
        <v>https://www.commcarehq.org/a/demo-18/api/form/attachment/0db193fe-dfdd-4874-a0cf-288fb6677bb0/1578296185688.jpg</v>
      </c>
      <c r="O27" t="str">
        <f>HYPERLINK("https://www.commcarehq.org/a/demo-18/api/form/attachment/0db193fe-dfdd-4874-a0cf-288fb6677bb0/1578296202646.jpg")</f>
        <v>https://www.commcarehq.org/a/demo-18/api/form/attachment/0db193fe-dfdd-4874-a0cf-288fb6677bb0/1578296202646.jpg</v>
      </c>
      <c r="P27" t="str">
        <f>HYPERLINK("https://www.commcarehq.org/a/demo-18/api/form/attachment/0db193fe-dfdd-4874-a0cf-288fb6677bb0/1578296211512.jpg")</f>
        <v>https://www.commcarehq.org/a/demo-18/api/form/attachment/0db193fe-dfdd-4874-a0cf-288fb6677bb0/1578296211512.jpg</v>
      </c>
      <c r="Q27" s="2">
        <v>43836.317280092589</v>
      </c>
      <c r="R27" s="2">
        <v>43836.315451388888</v>
      </c>
      <c r="S27" t="s">
        <v>32</v>
      </c>
      <c r="T27" s="2">
        <v>43836.317476851851</v>
      </c>
      <c r="U27" t="s">
        <v>961</v>
      </c>
      <c r="V27" t="s">
        <v>962</v>
      </c>
    </row>
    <row r="28" spans="1:22" x14ac:dyDescent="0.45">
      <c r="A28" t="s">
        <v>74</v>
      </c>
      <c r="B28">
        <v>5.9</v>
      </c>
      <c r="C28" s="1">
        <v>43868</v>
      </c>
      <c r="D28" s="1">
        <v>43838</v>
      </c>
      <c r="E28" t="s">
        <v>428</v>
      </c>
      <c r="F28" t="s">
        <v>429</v>
      </c>
      <c r="G28" t="s">
        <v>429</v>
      </c>
      <c r="H28" t="s">
        <v>447</v>
      </c>
      <c r="I28" t="s">
        <v>428</v>
      </c>
      <c r="J28" t="s">
        <v>429</v>
      </c>
      <c r="K28" t="str">
        <f>HYPERLINK("https://www.commcarehq.org/a/demo-18/api/form/attachment/e0c5a4f9-2d22-4786-a512-d55218b5e524/1578476410493.jpg")</f>
        <v>https://www.commcarehq.org/a/demo-18/api/form/attachment/e0c5a4f9-2d22-4786-a512-d55218b5e524/1578476410493.jpg</v>
      </c>
      <c r="L28" t="str">
        <f>HYPERLINK("https://www.commcarehq.org/a/demo-18/api/form/attachment/e0c5a4f9-2d22-4786-a512-d55218b5e524/1578476426651.jpg")</f>
        <v>https://www.commcarehq.org/a/demo-18/api/form/attachment/e0c5a4f9-2d22-4786-a512-d55218b5e524/1578476426651.jpg</v>
      </c>
      <c r="M28" t="str">
        <f>HYPERLINK("https://www.commcarehq.org/a/demo-18/api/form/attachment/e0c5a4f9-2d22-4786-a512-d55218b5e524/1578476501551.jpg")</f>
        <v>https://www.commcarehq.org/a/demo-18/api/form/attachment/e0c5a4f9-2d22-4786-a512-d55218b5e524/1578476501551.jpg</v>
      </c>
      <c r="N28" t="str">
        <f>HYPERLINK("https://www.commcarehq.org/a/demo-18/api/form/attachment/e0c5a4f9-2d22-4786-a512-d55218b5e524/1578476514026.jpg")</f>
        <v>https://www.commcarehq.org/a/demo-18/api/form/attachment/e0c5a4f9-2d22-4786-a512-d55218b5e524/1578476514026.jpg</v>
      </c>
      <c r="O28" t="str">
        <f>HYPERLINK("https://www.commcarehq.org/a/demo-18/api/form/attachment/e0c5a4f9-2d22-4786-a512-d55218b5e524/1578476534294.jpg")</f>
        <v>https://www.commcarehq.org/a/demo-18/api/form/attachment/e0c5a4f9-2d22-4786-a512-d55218b5e524/1578476534294.jpg</v>
      </c>
      <c r="P28" t="str">
        <f>HYPERLINK("https://www.commcarehq.org/a/demo-18/api/form/attachment/e0c5a4f9-2d22-4786-a512-d55218b5e524/1578476543979.jpg")</f>
        <v>https://www.commcarehq.org/a/demo-18/api/form/attachment/e0c5a4f9-2d22-4786-a512-d55218b5e524/1578476543979.jpg</v>
      </c>
      <c r="Q28" s="2">
        <v>43838.404467592591</v>
      </c>
      <c r="R28" s="2">
        <v>43838.40215277778</v>
      </c>
      <c r="S28" t="s">
        <v>32</v>
      </c>
      <c r="T28" s="2">
        <v>43838.404710648145</v>
      </c>
      <c r="U28" t="s">
        <v>963</v>
      </c>
      <c r="V28" t="s">
        <v>964</v>
      </c>
    </row>
    <row r="29" spans="1:22" x14ac:dyDescent="0.45">
      <c r="A29" t="s">
        <v>418</v>
      </c>
      <c r="B29">
        <v>4.4000000000000004</v>
      </c>
      <c r="C29" s="1">
        <v>43883</v>
      </c>
      <c r="D29" s="1">
        <v>43853</v>
      </c>
      <c r="E29" t="s">
        <v>428</v>
      </c>
      <c r="F29" t="s">
        <v>429</v>
      </c>
      <c r="G29" t="s">
        <v>429</v>
      </c>
      <c r="H29" t="s">
        <v>447</v>
      </c>
      <c r="I29" t="s">
        <v>428</v>
      </c>
      <c r="J29" t="s">
        <v>429</v>
      </c>
      <c r="K29" t="str">
        <f>HYPERLINK("https://www.commcarehq.org/a/demo-18/api/form/attachment/6bd0bd9c-6e64-4718-b8ff-8d68647ddbf9/1579760056998.jpg")</f>
        <v>https://www.commcarehq.org/a/demo-18/api/form/attachment/6bd0bd9c-6e64-4718-b8ff-8d68647ddbf9/1579760056998.jpg</v>
      </c>
      <c r="L29" t="str">
        <f>HYPERLINK("https://www.commcarehq.org/a/demo-18/api/form/attachment/6bd0bd9c-6e64-4718-b8ff-8d68647ddbf9/1579760071441.jpg")</f>
        <v>https://www.commcarehq.org/a/demo-18/api/form/attachment/6bd0bd9c-6e64-4718-b8ff-8d68647ddbf9/1579760071441.jpg</v>
      </c>
      <c r="M29" t="str">
        <f>HYPERLINK("https://www.commcarehq.org/a/demo-18/api/form/attachment/6bd0bd9c-6e64-4718-b8ff-8d68647ddbf9/1579760124098.jpg")</f>
        <v>https://www.commcarehq.org/a/demo-18/api/form/attachment/6bd0bd9c-6e64-4718-b8ff-8d68647ddbf9/1579760124098.jpg</v>
      </c>
      <c r="N29" t="str">
        <f>HYPERLINK("https://www.commcarehq.org/a/demo-18/api/form/attachment/6bd0bd9c-6e64-4718-b8ff-8d68647ddbf9/1579760134656.jpg")</f>
        <v>https://www.commcarehq.org/a/demo-18/api/form/attachment/6bd0bd9c-6e64-4718-b8ff-8d68647ddbf9/1579760134656.jpg</v>
      </c>
      <c r="O29" t="str">
        <f>HYPERLINK("https://www.commcarehq.org/a/demo-18/api/form/attachment/6bd0bd9c-6e64-4718-b8ff-8d68647ddbf9/1579760151288.jpg")</f>
        <v>https://www.commcarehq.org/a/demo-18/api/form/attachment/6bd0bd9c-6e64-4718-b8ff-8d68647ddbf9/1579760151288.jpg</v>
      </c>
      <c r="P29" t="str">
        <f>HYPERLINK("https://www.commcarehq.org/a/demo-18/api/form/attachment/6bd0bd9c-6e64-4718-b8ff-8d68647ddbf9/1579760160022.jpg")</f>
        <v>https://www.commcarehq.org/a/demo-18/api/form/attachment/6bd0bd9c-6e64-4718-b8ff-8d68647ddbf9/1579760160022.jpg</v>
      </c>
      <c r="Q29" s="2">
        <v>43853.26121527778</v>
      </c>
      <c r="R29" s="2">
        <v>43853.259479166663</v>
      </c>
      <c r="S29" t="s">
        <v>32</v>
      </c>
      <c r="T29" s="2">
        <v>43853.356053240743</v>
      </c>
      <c r="U29" t="s">
        <v>1149</v>
      </c>
      <c r="V29" t="s">
        <v>1150</v>
      </c>
    </row>
    <row r="30" spans="1:22" x14ac:dyDescent="0.45">
      <c r="A30" t="s">
        <v>247</v>
      </c>
      <c r="B30">
        <v>5.7</v>
      </c>
      <c r="C30" s="1">
        <v>43880</v>
      </c>
      <c r="D30" s="1">
        <v>43850</v>
      </c>
      <c r="E30" t="s">
        <v>428</v>
      </c>
      <c r="F30" t="s">
        <v>429</v>
      </c>
      <c r="G30" t="s">
        <v>429</v>
      </c>
      <c r="H30" t="s">
        <v>430</v>
      </c>
      <c r="I30" t="s">
        <v>428</v>
      </c>
      <c r="J30" t="s">
        <v>429</v>
      </c>
      <c r="K30" t="str">
        <f>HYPERLINK("https://www.commcarehq.org/a/demo-18/api/form/attachment/b49012b1-dc15-4152-a9de-5bf88c153b53/1579506517056.jpg")</f>
        <v>https://www.commcarehq.org/a/demo-18/api/form/attachment/b49012b1-dc15-4152-a9de-5bf88c153b53/1579506517056.jpg</v>
      </c>
      <c r="L30" t="str">
        <f>HYPERLINK("https://www.commcarehq.org/a/demo-18/api/form/attachment/b49012b1-dc15-4152-a9de-5bf88c153b53/1579506533985.jpg")</f>
        <v>https://www.commcarehq.org/a/demo-18/api/form/attachment/b49012b1-dc15-4152-a9de-5bf88c153b53/1579506533985.jpg</v>
      </c>
      <c r="M30" t="str">
        <f>HYPERLINK("https://www.commcarehq.org/a/demo-18/api/form/attachment/b49012b1-dc15-4152-a9de-5bf88c153b53/1579506586373.jpg")</f>
        <v>https://www.commcarehq.org/a/demo-18/api/form/attachment/b49012b1-dc15-4152-a9de-5bf88c153b53/1579506586373.jpg</v>
      </c>
      <c r="N30" t="str">
        <f>HYPERLINK("https://www.commcarehq.org/a/demo-18/api/form/attachment/b49012b1-dc15-4152-a9de-5bf88c153b53/1579506598479.jpg")</f>
        <v>https://www.commcarehq.org/a/demo-18/api/form/attachment/b49012b1-dc15-4152-a9de-5bf88c153b53/1579506598479.jpg</v>
      </c>
      <c r="O30" t="str">
        <f>HYPERLINK("https://www.commcarehq.org/a/demo-18/api/form/attachment/b49012b1-dc15-4152-a9de-5bf88c153b53/1579506626766.jpg")</f>
        <v>https://www.commcarehq.org/a/demo-18/api/form/attachment/b49012b1-dc15-4152-a9de-5bf88c153b53/1579506626766.jpg</v>
      </c>
      <c r="P30" t="str">
        <f>HYPERLINK("https://www.commcarehq.org/a/demo-18/api/form/attachment/b49012b1-dc15-4152-a9de-5bf88c153b53/1579506638586.jpg")</f>
        <v>https://www.commcarehq.org/a/demo-18/api/form/attachment/b49012b1-dc15-4152-a9de-5bf88c153b53/1579506638586.jpg</v>
      </c>
      <c r="Q30" s="2">
        <v>43850.326851851853</v>
      </c>
      <c r="R30" s="2">
        <v>43850.324965277781</v>
      </c>
      <c r="S30" t="s">
        <v>32</v>
      </c>
      <c r="T30" s="2">
        <v>43850.32708333333</v>
      </c>
      <c r="U30" t="s">
        <v>1090</v>
      </c>
      <c r="V30" t="s">
        <v>1091</v>
      </c>
    </row>
    <row r="31" spans="1:22" x14ac:dyDescent="0.45">
      <c r="A31" t="s">
        <v>166</v>
      </c>
      <c r="B31">
        <v>5</v>
      </c>
      <c r="C31" s="1">
        <v>43880</v>
      </c>
      <c r="D31" s="1">
        <v>43850</v>
      </c>
      <c r="E31" t="s">
        <v>428</v>
      </c>
      <c r="F31" t="s">
        <v>429</v>
      </c>
      <c r="G31" t="s">
        <v>429</v>
      </c>
      <c r="H31" t="s">
        <v>430</v>
      </c>
      <c r="I31" t="s">
        <v>428</v>
      </c>
      <c r="J31" t="s">
        <v>429</v>
      </c>
      <c r="K31" t="str">
        <f>HYPERLINK("https://www.commcarehq.org/a/demo-18/api/form/attachment/95601f3b-4f8a-4b8e-afe7-47fddee8aea0/1579507122140.jpg")</f>
        <v>https://www.commcarehq.org/a/demo-18/api/form/attachment/95601f3b-4f8a-4b8e-afe7-47fddee8aea0/1579507122140.jpg</v>
      </c>
      <c r="L31" t="str">
        <f>HYPERLINK("https://www.commcarehq.org/a/demo-18/api/form/attachment/95601f3b-4f8a-4b8e-afe7-47fddee8aea0/1579507142808.jpg")</f>
        <v>https://www.commcarehq.org/a/demo-18/api/form/attachment/95601f3b-4f8a-4b8e-afe7-47fddee8aea0/1579507142808.jpg</v>
      </c>
      <c r="M31" t="str">
        <f>HYPERLINK("https://www.commcarehq.org/a/demo-18/api/form/attachment/95601f3b-4f8a-4b8e-afe7-47fddee8aea0/1579507188636.jpg")</f>
        <v>https://www.commcarehq.org/a/demo-18/api/form/attachment/95601f3b-4f8a-4b8e-afe7-47fddee8aea0/1579507188636.jpg</v>
      </c>
      <c r="N31" t="str">
        <f>HYPERLINK("https://www.commcarehq.org/a/demo-18/api/form/attachment/95601f3b-4f8a-4b8e-afe7-47fddee8aea0/1579507198169.jpg")</f>
        <v>https://www.commcarehq.org/a/demo-18/api/form/attachment/95601f3b-4f8a-4b8e-afe7-47fddee8aea0/1579507198169.jpg</v>
      </c>
      <c r="O31" t="str">
        <f>HYPERLINK("https://www.commcarehq.org/a/demo-18/api/form/attachment/95601f3b-4f8a-4b8e-afe7-47fddee8aea0/1579507220052.jpg")</f>
        <v>https://www.commcarehq.org/a/demo-18/api/form/attachment/95601f3b-4f8a-4b8e-afe7-47fddee8aea0/1579507220052.jpg</v>
      </c>
      <c r="P31" t="str">
        <f>HYPERLINK("https://www.commcarehq.org/a/demo-18/api/form/attachment/95601f3b-4f8a-4b8e-afe7-47fddee8aea0/1579507229495.jpg")</f>
        <v>https://www.commcarehq.org/a/demo-18/api/form/attachment/95601f3b-4f8a-4b8e-afe7-47fddee8aea0/1579507229495.jpg</v>
      </c>
      <c r="Q31" s="2">
        <v>43850.333692129629</v>
      </c>
      <c r="R31" s="2">
        <v>43850.332152777781</v>
      </c>
      <c r="S31" t="s">
        <v>32</v>
      </c>
      <c r="T31" s="2">
        <v>43850.333981481483</v>
      </c>
      <c r="U31" t="s">
        <v>1092</v>
      </c>
      <c r="V31" t="s">
        <v>1093</v>
      </c>
    </row>
    <row r="32" spans="1:22" x14ac:dyDescent="0.45">
      <c r="A32" t="s">
        <v>250</v>
      </c>
      <c r="B32">
        <v>6.2</v>
      </c>
      <c r="C32" s="1">
        <v>43877</v>
      </c>
      <c r="D32" s="1">
        <v>43847</v>
      </c>
      <c r="E32" t="s">
        <v>428</v>
      </c>
      <c r="F32" t="s">
        <v>429</v>
      </c>
      <c r="G32" t="s">
        <v>429</v>
      </c>
      <c r="H32" t="s">
        <v>498</v>
      </c>
      <c r="I32" t="s">
        <v>428</v>
      </c>
      <c r="J32" t="s">
        <v>429</v>
      </c>
      <c r="K32" t="str">
        <f>HYPERLINK("https://www.commcarehq.org/a/demo-18/api/form/attachment/08f331f4-78ca-47b3-a7fc-9c1e74c0f32b/1579244584024.jpg")</f>
        <v>https://www.commcarehq.org/a/demo-18/api/form/attachment/08f331f4-78ca-47b3-a7fc-9c1e74c0f32b/1579244584024.jpg</v>
      </c>
      <c r="L32" t="str">
        <f>HYPERLINK("https://www.commcarehq.org/a/demo-18/api/form/attachment/08f331f4-78ca-47b3-a7fc-9c1e74c0f32b/1579244601551.jpg")</f>
        <v>https://www.commcarehq.org/a/demo-18/api/form/attachment/08f331f4-78ca-47b3-a7fc-9c1e74c0f32b/1579244601551.jpg</v>
      </c>
      <c r="M32" t="str">
        <f>HYPERLINK("https://www.commcarehq.org/a/demo-18/api/form/attachment/08f331f4-78ca-47b3-a7fc-9c1e74c0f32b/1579244685814.jpg")</f>
        <v>https://www.commcarehq.org/a/demo-18/api/form/attachment/08f331f4-78ca-47b3-a7fc-9c1e74c0f32b/1579244685814.jpg</v>
      </c>
      <c r="N32" t="str">
        <f>HYPERLINK("https://www.commcarehq.org/a/demo-18/api/form/attachment/08f331f4-78ca-47b3-a7fc-9c1e74c0f32b/1579244695534.jpg")</f>
        <v>https://www.commcarehq.org/a/demo-18/api/form/attachment/08f331f4-78ca-47b3-a7fc-9c1e74c0f32b/1579244695534.jpg</v>
      </c>
      <c r="O32" t="str">
        <f>HYPERLINK("https://www.commcarehq.org/a/demo-18/api/form/attachment/08f331f4-78ca-47b3-a7fc-9c1e74c0f32b/1579244720578.jpg")</f>
        <v>https://www.commcarehq.org/a/demo-18/api/form/attachment/08f331f4-78ca-47b3-a7fc-9c1e74c0f32b/1579244720578.jpg</v>
      </c>
      <c r="P32" t="str">
        <f>HYPERLINK("https://www.commcarehq.org/a/demo-18/api/form/attachment/08f331f4-78ca-47b3-a7fc-9c1e74c0f32b/1579244730220.jpg")</f>
        <v>https://www.commcarehq.org/a/demo-18/api/form/attachment/08f331f4-78ca-47b3-a7fc-9c1e74c0f32b/1579244730220.jpg</v>
      </c>
      <c r="Q32" s="2">
        <v>43847.29550925926</v>
      </c>
      <c r="R32" s="2">
        <v>43847.293263888889</v>
      </c>
      <c r="S32" t="s">
        <v>32</v>
      </c>
      <c r="T32" s="2">
        <v>43847.295763888891</v>
      </c>
      <c r="U32" t="s">
        <v>1088</v>
      </c>
      <c r="V32" t="s">
        <v>1089</v>
      </c>
    </row>
    <row r="33" spans="1:22" x14ac:dyDescent="0.45">
      <c r="A33" t="s">
        <v>313</v>
      </c>
      <c r="B33">
        <v>4.5</v>
      </c>
      <c r="C33" s="1">
        <v>43873</v>
      </c>
      <c r="D33" s="1">
        <v>43843</v>
      </c>
      <c r="E33" t="s">
        <v>428</v>
      </c>
      <c r="F33" t="s">
        <v>429</v>
      </c>
      <c r="G33" t="s">
        <v>429</v>
      </c>
      <c r="H33" t="s">
        <v>430</v>
      </c>
      <c r="I33" t="s">
        <v>428</v>
      </c>
      <c r="J33" t="s">
        <v>429</v>
      </c>
      <c r="K33" t="str">
        <f>HYPERLINK("https://www.commcarehq.org/a/demo-18/api/form/attachment/73ae4aee-c9bb-4f76-890d-71eac758df31/1578897824134.jpg")</f>
        <v>https://www.commcarehq.org/a/demo-18/api/form/attachment/73ae4aee-c9bb-4f76-890d-71eac758df31/1578897824134.jpg</v>
      </c>
      <c r="L33" t="str">
        <f>HYPERLINK("https://www.commcarehq.org/a/demo-18/api/form/attachment/73ae4aee-c9bb-4f76-890d-71eac758df31/1578897838963.jpg")</f>
        <v>https://www.commcarehq.org/a/demo-18/api/form/attachment/73ae4aee-c9bb-4f76-890d-71eac758df31/1578897838963.jpg</v>
      </c>
      <c r="M33" t="str">
        <f>HYPERLINK("https://www.commcarehq.org/a/demo-18/api/form/attachment/73ae4aee-c9bb-4f76-890d-71eac758df31/1578897916259.jpg")</f>
        <v>https://www.commcarehq.org/a/demo-18/api/form/attachment/73ae4aee-c9bb-4f76-890d-71eac758df31/1578897916259.jpg</v>
      </c>
      <c r="N33" t="str">
        <f>HYPERLINK("https://www.commcarehq.org/a/demo-18/api/form/attachment/73ae4aee-c9bb-4f76-890d-71eac758df31/1578897927000.jpg")</f>
        <v>https://www.commcarehq.org/a/demo-18/api/form/attachment/73ae4aee-c9bb-4f76-890d-71eac758df31/1578897927000.jpg</v>
      </c>
      <c r="O33" t="str">
        <f>HYPERLINK("https://www.commcarehq.org/a/demo-18/api/form/attachment/73ae4aee-c9bb-4f76-890d-71eac758df31/1578897942902.jpg")</f>
        <v>https://www.commcarehq.org/a/demo-18/api/form/attachment/73ae4aee-c9bb-4f76-890d-71eac758df31/1578897942902.jpg</v>
      </c>
      <c r="P33" t="str">
        <f>HYPERLINK("https://www.commcarehq.org/a/demo-18/api/form/attachment/73ae4aee-c9bb-4f76-890d-71eac758df31/1578897956147.jpg")</f>
        <v>https://www.commcarehq.org/a/demo-18/api/form/attachment/73ae4aee-c9bb-4f76-890d-71eac758df31/1578897956147.jpg</v>
      </c>
      <c r="Q33" s="2">
        <v>43843.281921296293</v>
      </c>
      <c r="R33" s="2">
        <v>43843.280046296299</v>
      </c>
      <c r="S33" t="s">
        <v>32</v>
      </c>
      <c r="T33" s="2">
        <v>43843.282106481478</v>
      </c>
      <c r="U33" t="s">
        <v>1025</v>
      </c>
      <c r="V33" t="s">
        <v>1026</v>
      </c>
    </row>
    <row r="34" spans="1:22" x14ac:dyDescent="0.45">
      <c r="A34" t="s">
        <v>92</v>
      </c>
      <c r="B34">
        <v>5.3</v>
      </c>
      <c r="C34" s="1">
        <v>43835</v>
      </c>
      <c r="D34" s="1">
        <v>43805</v>
      </c>
      <c r="E34" t="s">
        <v>428</v>
      </c>
      <c r="F34" t="s">
        <v>429</v>
      </c>
      <c r="G34" t="s">
        <v>429</v>
      </c>
      <c r="H34" t="s">
        <v>430</v>
      </c>
      <c r="I34" t="s">
        <v>428</v>
      </c>
      <c r="J34" t="s">
        <v>429</v>
      </c>
      <c r="K34" t="str">
        <f>HYPERLINK("https://www.commcarehq.org/a/demo-18/api/form/attachment/09707e51-28e2-4238-9834-66ac3bcf6135/1575621363822.jpg")</f>
        <v>https://www.commcarehq.org/a/demo-18/api/form/attachment/09707e51-28e2-4238-9834-66ac3bcf6135/1575621363822.jpg</v>
      </c>
      <c r="L34" t="str">
        <f>HYPERLINK("https://www.commcarehq.org/a/demo-18/api/form/attachment/09707e51-28e2-4238-9834-66ac3bcf6135/1575621387463.jpg")</f>
        <v>https://www.commcarehq.org/a/demo-18/api/form/attachment/09707e51-28e2-4238-9834-66ac3bcf6135/1575621387463.jpg</v>
      </c>
      <c r="M34" t="str">
        <f>HYPERLINK("https://www.commcarehq.org/a/demo-18/api/form/attachment/09707e51-28e2-4238-9834-66ac3bcf6135/1575621465213.jpg")</f>
        <v>https://www.commcarehq.org/a/demo-18/api/form/attachment/09707e51-28e2-4238-9834-66ac3bcf6135/1575621465213.jpg</v>
      </c>
      <c r="N34" t="str">
        <f>HYPERLINK("https://www.commcarehq.org/a/demo-18/api/form/attachment/09707e51-28e2-4238-9834-66ac3bcf6135/1575621490524.jpg")</f>
        <v>https://www.commcarehq.org/a/demo-18/api/form/attachment/09707e51-28e2-4238-9834-66ac3bcf6135/1575621490524.jpg</v>
      </c>
      <c r="O34" t="str">
        <f>HYPERLINK("https://www.commcarehq.org/a/demo-18/api/form/attachment/09707e51-28e2-4238-9834-66ac3bcf6135/1575621507050.jpg")</f>
        <v>https://www.commcarehq.org/a/demo-18/api/form/attachment/09707e51-28e2-4238-9834-66ac3bcf6135/1575621507050.jpg</v>
      </c>
      <c r="P34" t="str">
        <f>HYPERLINK("https://www.commcarehq.org/a/demo-18/api/form/attachment/09707e51-28e2-4238-9834-66ac3bcf6135/1575621515414.jpg")</f>
        <v>https://www.commcarehq.org/a/demo-18/api/form/attachment/09707e51-28e2-4238-9834-66ac3bcf6135/1575621515414.jpg</v>
      </c>
      <c r="Q34" s="2">
        <v>43805.360150462962</v>
      </c>
      <c r="R34" s="2">
        <v>43805.357534722221</v>
      </c>
      <c r="S34" t="s">
        <v>32</v>
      </c>
      <c r="T34" s="2">
        <v>43805.360347222224</v>
      </c>
      <c r="U34" t="s">
        <v>437</v>
      </c>
      <c r="V34" t="s">
        <v>438</v>
      </c>
    </row>
    <row r="35" spans="1:22" x14ac:dyDescent="0.45">
      <c r="A35" t="s">
        <v>25</v>
      </c>
      <c r="B35">
        <v>5.9</v>
      </c>
      <c r="C35" s="1">
        <v>43838</v>
      </c>
      <c r="D35" s="1">
        <v>43808</v>
      </c>
      <c r="E35" t="s">
        <v>428</v>
      </c>
      <c r="F35" t="s">
        <v>429</v>
      </c>
      <c r="G35" t="s">
        <v>429</v>
      </c>
      <c r="H35" t="s">
        <v>430</v>
      </c>
      <c r="I35" t="s">
        <v>428</v>
      </c>
      <c r="J35" t="s">
        <v>429</v>
      </c>
      <c r="K35" t="str">
        <f>HYPERLINK("https://www.commcarehq.org/a/demo-18/api/form/attachment/622de0e9-37c9-46b8-8a17-86a3180b8cad/1575878095101.jpg")</f>
        <v>https://www.commcarehq.org/a/demo-18/api/form/attachment/622de0e9-37c9-46b8-8a17-86a3180b8cad/1575878095101.jpg</v>
      </c>
      <c r="L35" t="str">
        <f>HYPERLINK("https://www.commcarehq.org/a/demo-18/api/form/attachment/622de0e9-37c9-46b8-8a17-86a3180b8cad/1575878103795.jpg")</f>
        <v>https://www.commcarehq.org/a/demo-18/api/form/attachment/622de0e9-37c9-46b8-8a17-86a3180b8cad/1575878103795.jpg</v>
      </c>
      <c r="M35" t="str">
        <f>HYPERLINK("https://www.commcarehq.org/a/demo-18/api/form/attachment/622de0e9-37c9-46b8-8a17-86a3180b8cad/1575878147033.jpg")</f>
        <v>https://www.commcarehq.org/a/demo-18/api/form/attachment/622de0e9-37c9-46b8-8a17-86a3180b8cad/1575878147033.jpg</v>
      </c>
      <c r="N35" t="str">
        <f>HYPERLINK("https://www.commcarehq.org/a/demo-18/api/form/attachment/622de0e9-37c9-46b8-8a17-86a3180b8cad/1575878154849.jpg")</f>
        <v>https://www.commcarehq.org/a/demo-18/api/form/attachment/622de0e9-37c9-46b8-8a17-86a3180b8cad/1575878154849.jpg</v>
      </c>
      <c r="O35" t="str">
        <f>HYPERLINK("https://www.commcarehq.org/a/demo-18/api/form/attachment/622de0e9-37c9-46b8-8a17-86a3180b8cad/1575878172766.jpg")</f>
        <v>https://www.commcarehq.org/a/demo-18/api/form/attachment/622de0e9-37c9-46b8-8a17-86a3180b8cad/1575878172766.jpg</v>
      </c>
      <c r="P35" t="str">
        <f>HYPERLINK("https://www.commcarehq.org/a/demo-18/api/form/attachment/622de0e9-37c9-46b8-8a17-86a3180b8cad/1575878180955.jpg")</f>
        <v>https://www.commcarehq.org/a/demo-18/api/form/attachment/622de0e9-37c9-46b8-8a17-86a3180b8cad/1575878180955.jpg</v>
      </c>
      <c r="Q35" s="2">
        <v>43808.330821759257</v>
      </c>
      <c r="R35" s="2">
        <v>43808.329398148147</v>
      </c>
      <c r="S35" t="s">
        <v>32</v>
      </c>
      <c r="T35" s="2">
        <v>43808.420520833337</v>
      </c>
      <c r="U35" t="s">
        <v>439</v>
      </c>
      <c r="V35" t="s">
        <v>440</v>
      </c>
    </row>
    <row r="36" spans="1:22" x14ac:dyDescent="0.45">
      <c r="A36" t="s">
        <v>214</v>
      </c>
      <c r="B36">
        <v>4.5999999999999996</v>
      </c>
      <c r="C36" s="1">
        <v>43845</v>
      </c>
      <c r="D36" s="1">
        <v>43815</v>
      </c>
      <c r="E36" t="s">
        <v>428</v>
      </c>
      <c r="F36" t="s">
        <v>429</v>
      </c>
      <c r="G36" t="s">
        <v>429</v>
      </c>
      <c r="H36" t="s">
        <v>447</v>
      </c>
      <c r="I36" t="s">
        <v>428</v>
      </c>
      <c r="J36" t="s">
        <v>429</v>
      </c>
      <c r="K36" t="str">
        <f>HYPERLINK("https://www.commcarehq.org/a/demo-18/api/form/attachment/760fde72-d87e-447d-9b7d-c24bf28820b1/1576478741862.jpg")</f>
        <v>https://www.commcarehq.org/a/demo-18/api/form/attachment/760fde72-d87e-447d-9b7d-c24bf28820b1/1576478741862.jpg</v>
      </c>
      <c r="L36" t="str">
        <f>HYPERLINK("https://www.commcarehq.org/a/demo-18/api/form/attachment/760fde72-d87e-447d-9b7d-c24bf28820b1/1576478758847.jpg")</f>
        <v>https://www.commcarehq.org/a/demo-18/api/form/attachment/760fde72-d87e-447d-9b7d-c24bf28820b1/1576478758847.jpg</v>
      </c>
      <c r="M36" t="str">
        <f>HYPERLINK("https://www.commcarehq.org/a/demo-18/api/form/attachment/760fde72-d87e-447d-9b7d-c24bf28820b1/1576478833289.jpg")</f>
        <v>https://www.commcarehq.org/a/demo-18/api/form/attachment/760fde72-d87e-447d-9b7d-c24bf28820b1/1576478833289.jpg</v>
      </c>
      <c r="N36" t="str">
        <f>HYPERLINK("https://www.commcarehq.org/a/demo-18/api/form/attachment/760fde72-d87e-447d-9b7d-c24bf28820b1/1576478844833.jpg")</f>
        <v>https://www.commcarehq.org/a/demo-18/api/form/attachment/760fde72-d87e-447d-9b7d-c24bf28820b1/1576478844833.jpg</v>
      </c>
      <c r="O36" t="str">
        <f>HYPERLINK("https://www.commcarehq.org/a/demo-18/api/form/attachment/760fde72-d87e-447d-9b7d-c24bf28820b1/1576478888910.jpg")</f>
        <v>https://www.commcarehq.org/a/demo-18/api/form/attachment/760fde72-d87e-447d-9b7d-c24bf28820b1/1576478888910.jpg</v>
      </c>
      <c r="P36" t="str">
        <f>HYPERLINK("https://www.commcarehq.org/a/demo-18/api/form/attachment/760fde72-d87e-447d-9b7d-c24bf28820b1/1576478913497.jpg")</f>
        <v>https://www.commcarehq.org/a/demo-18/api/form/attachment/760fde72-d87e-447d-9b7d-c24bf28820b1/1576478913497.jpg</v>
      </c>
      <c r="Q36" s="2">
        <v>43815.283773148149</v>
      </c>
      <c r="R36" s="2">
        <v>43815.28087962963</v>
      </c>
      <c r="S36" t="s">
        <v>32</v>
      </c>
      <c r="T36" s="2">
        <v>43815.28396990741</v>
      </c>
      <c r="U36" s="3" t="s">
        <v>448</v>
      </c>
      <c r="V36" t="s">
        <v>449</v>
      </c>
    </row>
    <row r="37" spans="1:22" x14ac:dyDescent="0.45">
      <c r="A37" t="s">
        <v>205</v>
      </c>
      <c r="B37">
        <v>3.5</v>
      </c>
      <c r="C37" s="1">
        <v>43840</v>
      </c>
      <c r="D37" s="1">
        <v>43810</v>
      </c>
      <c r="E37" t="s">
        <v>428</v>
      </c>
      <c r="F37" t="s">
        <v>429</v>
      </c>
      <c r="G37" t="s">
        <v>429</v>
      </c>
      <c r="H37" t="s">
        <v>430</v>
      </c>
      <c r="I37" t="s">
        <v>428</v>
      </c>
      <c r="J37" t="s">
        <v>429</v>
      </c>
      <c r="K37" t="str">
        <f>HYPERLINK("https://www.commcarehq.org/a/demo-18/api/form/attachment/481080c2-09d0-4102-9fa9-81d780d295b2/1576055830678.jpg")</f>
        <v>https://www.commcarehq.org/a/demo-18/api/form/attachment/481080c2-09d0-4102-9fa9-81d780d295b2/1576055830678.jpg</v>
      </c>
      <c r="L37" t="str">
        <f>HYPERLINK("https://www.commcarehq.org/a/demo-18/api/form/attachment/481080c2-09d0-4102-9fa9-81d780d295b2/1576055852694.jpg")</f>
        <v>https://www.commcarehq.org/a/demo-18/api/form/attachment/481080c2-09d0-4102-9fa9-81d780d295b2/1576055852694.jpg</v>
      </c>
      <c r="M37" t="str">
        <f>HYPERLINK("https://www.commcarehq.org/a/demo-18/api/form/attachment/481080c2-09d0-4102-9fa9-81d780d295b2/1576055944706.jpg")</f>
        <v>https://www.commcarehq.org/a/demo-18/api/form/attachment/481080c2-09d0-4102-9fa9-81d780d295b2/1576055944706.jpg</v>
      </c>
      <c r="N37" t="str">
        <f>HYPERLINK("https://www.commcarehq.org/a/demo-18/api/form/attachment/481080c2-09d0-4102-9fa9-81d780d295b2/1576055954208.jpg")</f>
        <v>https://www.commcarehq.org/a/demo-18/api/form/attachment/481080c2-09d0-4102-9fa9-81d780d295b2/1576055954208.jpg</v>
      </c>
      <c r="O37" t="str">
        <f>HYPERLINK("https://www.commcarehq.org/a/demo-18/api/form/attachment/481080c2-09d0-4102-9fa9-81d780d295b2/1576055973535.jpg")</f>
        <v>https://www.commcarehq.org/a/demo-18/api/form/attachment/481080c2-09d0-4102-9fa9-81d780d295b2/1576055973535.jpg</v>
      </c>
      <c r="P37" t="str">
        <f>HYPERLINK("https://www.commcarehq.org/a/demo-18/api/form/attachment/481080c2-09d0-4102-9fa9-81d780d295b2/1576055986393.jpg")</f>
        <v>https://www.commcarehq.org/a/demo-18/api/form/attachment/481080c2-09d0-4102-9fa9-81d780d295b2/1576055986393.jpg</v>
      </c>
      <c r="Q37" s="2">
        <v>43810.388761574075</v>
      </c>
      <c r="R37" s="2">
        <v>43810.386296296296</v>
      </c>
      <c r="S37" t="s">
        <v>32</v>
      </c>
      <c r="T37" s="2">
        <v>43810.442152777781</v>
      </c>
      <c r="U37" t="s">
        <v>441</v>
      </c>
      <c r="V37" t="s">
        <v>442</v>
      </c>
    </row>
    <row r="38" spans="1:22" x14ac:dyDescent="0.45">
      <c r="A38" t="s">
        <v>56</v>
      </c>
      <c r="B38">
        <v>4</v>
      </c>
      <c r="C38" s="1">
        <v>43847</v>
      </c>
      <c r="D38" s="1">
        <v>43817</v>
      </c>
      <c r="E38" t="s">
        <v>428</v>
      </c>
      <c r="F38" t="s">
        <v>429</v>
      </c>
      <c r="G38" t="s">
        <v>429</v>
      </c>
      <c r="H38" t="s">
        <v>430</v>
      </c>
      <c r="I38" t="s">
        <v>428</v>
      </c>
      <c r="J38" t="s">
        <v>429</v>
      </c>
      <c r="K38" t="str">
        <f>HYPERLINK("https://www.commcarehq.org/a/demo-18/api/form/attachment/c2dd725e-5ab1-4750-9f55-89820756c0a5/1576650490191.jpg")</f>
        <v>https://www.commcarehq.org/a/demo-18/api/form/attachment/c2dd725e-5ab1-4750-9f55-89820756c0a5/1576650490191.jpg</v>
      </c>
      <c r="L38" t="str">
        <f>HYPERLINK("https://www.commcarehq.org/a/demo-18/api/form/attachment/c2dd725e-5ab1-4750-9f55-89820756c0a5/1576650505828.jpg")</f>
        <v>https://www.commcarehq.org/a/demo-18/api/form/attachment/c2dd725e-5ab1-4750-9f55-89820756c0a5/1576650505828.jpg</v>
      </c>
      <c r="M38" t="str">
        <f>HYPERLINK("https://www.commcarehq.org/a/demo-18/api/form/attachment/c2dd725e-5ab1-4750-9f55-89820756c0a5/1576650576254.jpg")</f>
        <v>https://www.commcarehq.org/a/demo-18/api/form/attachment/c2dd725e-5ab1-4750-9f55-89820756c0a5/1576650576254.jpg</v>
      </c>
      <c r="N38" t="str">
        <f>HYPERLINK("https://www.commcarehq.org/a/demo-18/api/form/attachment/c2dd725e-5ab1-4750-9f55-89820756c0a5/1576650588670.jpg")</f>
        <v>https://www.commcarehq.org/a/demo-18/api/form/attachment/c2dd725e-5ab1-4750-9f55-89820756c0a5/1576650588670.jpg</v>
      </c>
      <c r="O38" t="str">
        <f>HYPERLINK("https://www.commcarehq.org/a/demo-18/api/form/attachment/c2dd725e-5ab1-4750-9f55-89820756c0a5/1576650604142.jpg")</f>
        <v>https://www.commcarehq.org/a/demo-18/api/form/attachment/c2dd725e-5ab1-4750-9f55-89820756c0a5/1576650604142.jpg</v>
      </c>
      <c r="P38" t="str">
        <f>HYPERLINK("https://www.commcarehq.org/a/demo-18/api/form/attachment/c2dd725e-5ab1-4750-9f55-89820756c0a5/1576650616102.jpg")</f>
        <v>https://www.commcarehq.org/a/demo-18/api/form/attachment/c2dd725e-5ab1-4750-9f55-89820756c0a5/1576650616102.jpg</v>
      </c>
      <c r="Q38" s="2">
        <v>43817.271041666667</v>
      </c>
      <c r="R38" s="2">
        <v>43817.268900462965</v>
      </c>
      <c r="S38" t="s">
        <v>32</v>
      </c>
      <c r="T38" s="2">
        <v>43817.271249999998</v>
      </c>
      <c r="U38" s="3" t="s">
        <v>450</v>
      </c>
      <c r="V38" t="s">
        <v>451</v>
      </c>
    </row>
    <row r="39" spans="1:22" x14ac:dyDescent="0.45">
      <c r="A39" t="s">
        <v>44</v>
      </c>
      <c r="B39">
        <v>3</v>
      </c>
      <c r="C39" s="1">
        <v>43847</v>
      </c>
      <c r="D39" s="1">
        <v>43817</v>
      </c>
      <c r="E39" t="s">
        <v>428</v>
      </c>
      <c r="F39" t="s">
        <v>429</v>
      </c>
      <c r="G39" t="s">
        <v>429</v>
      </c>
      <c r="H39" t="s">
        <v>430</v>
      </c>
      <c r="I39" t="s">
        <v>428</v>
      </c>
      <c r="J39" t="s">
        <v>429</v>
      </c>
      <c r="K39" t="str">
        <f>HYPERLINK("https://www.commcarehq.org/a/demo-18/api/form/attachment/fc4402b6-6867-4692-b219-66df116d3de6/1576652265686.jpg")</f>
        <v>https://www.commcarehq.org/a/demo-18/api/form/attachment/fc4402b6-6867-4692-b219-66df116d3de6/1576652265686.jpg</v>
      </c>
      <c r="L39" t="str">
        <f>HYPERLINK("https://www.commcarehq.org/a/demo-18/api/form/attachment/fc4402b6-6867-4692-b219-66df116d3de6/1576652284553.jpg")</f>
        <v>https://www.commcarehq.org/a/demo-18/api/form/attachment/fc4402b6-6867-4692-b219-66df116d3de6/1576652284553.jpg</v>
      </c>
      <c r="M39" t="str">
        <f>HYPERLINK("https://www.commcarehq.org/a/demo-18/api/form/attachment/fc4402b6-6867-4692-b219-66df116d3de6/1576652347328.jpg")</f>
        <v>https://www.commcarehq.org/a/demo-18/api/form/attachment/fc4402b6-6867-4692-b219-66df116d3de6/1576652347328.jpg</v>
      </c>
      <c r="N39" t="str">
        <f>HYPERLINK("https://www.commcarehq.org/a/demo-18/api/form/attachment/fc4402b6-6867-4692-b219-66df116d3de6/1576652356823.jpg")</f>
        <v>https://www.commcarehq.org/a/demo-18/api/form/attachment/fc4402b6-6867-4692-b219-66df116d3de6/1576652356823.jpg</v>
      </c>
      <c r="O39" t="str">
        <f>HYPERLINK("https://www.commcarehq.org/a/demo-18/api/form/attachment/fc4402b6-6867-4692-b219-66df116d3de6/1576652382108.jpg")</f>
        <v>https://www.commcarehq.org/a/demo-18/api/form/attachment/fc4402b6-6867-4692-b219-66df116d3de6/1576652382108.jpg</v>
      </c>
      <c r="P39" t="str">
        <f>HYPERLINK("https://www.commcarehq.org/a/demo-18/api/form/attachment/fc4402b6-6867-4692-b219-66df116d3de6/1576652392406.jpg")</f>
        <v>https://www.commcarehq.org/a/demo-18/api/form/attachment/fc4402b6-6867-4692-b219-66df116d3de6/1576652392406.jpg</v>
      </c>
      <c r="Q39" s="2">
        <v>43817.291597222225</v>
      </c>
      <c r="R39" s="2">
        <v>43817.288402777776</v>
      </c>
      <c r="S39" t="s">
        <v>32</v>
      </c>
      <c r="T39" s="2">
        <v>43817.29179398148</v>
      </c>
      <c r="U39" t="s">
        <v>452</v>
      </c>
      <c r="V39" t="s">
        <v>453</v>
      </c>
    </row>
    <row r="40" spans="1:22" x14ac:dyDescent="0.45">
      <c r="A40" t="s">
        <v>65</v>
      </c>
      <c r="B40">
        <v>4</v>
      </c>
      <c r="C40" s="1">
        <v>43848</v>
      </c>
      <c r="D40" s="1">
        <v>43818</v>
      </c>
      <c r="E40" t="s">
        <v>428</v>
      </c>
      <c r="F40" t="s">
        <v>429</v>
      </c>
      <c r="G40" t="s">
        <v>429</v>
      </c>
      <c r="H40" t="s">
        <v>430</v>
      </c>
      <c r="I40" t="s">
        <v>428</v>
      </c>
      <c r="J40" t="s">
        <v>429</v>
      </c>
      <c r="K40" t="str">
        <f>HYPERLINK("https://www.commcarehq.org/a/demo-18/api/form/attachment/e3c7f218-0445-42fd-b35a-6419ddb50fda/1576739685736.jpg")</f>
        <v>https://www.commcarehq.org/a/demo-18/api/form/attachment/e3c7f218-0445-42fd-b35a-6419ddb50fda/1576739685736.jpg</v>
      </c>
      <c r="L40" t="str">
        <f>HYPERLINK("https://www.commcarehq.org/a/demo-18/api/form/attachment/e3c7f218-0445-42fd-b35a-6419ddb50fda/1576739706508.jpg")</f>
        <v>https://www.commcarehq.org/a/demo-18/api/form/attachment/e3c7f218-0445-42fd-b35a-6419ddb50fda/1576739706508.jpg</v>
      </c>
      <c r="M40" t="str">
        <f>HYPERLINK("https://www.commcarehq.org/a/demo-18/api/form/attachment/e3c7f218-0445-42fd-b35a-6419ddb50fda/1576739748531.jpg")</f>
        <v>https://www.commcarehq.org/a/demo-18/api/form/attachment/e3c7f218-0445-42fd-b35a-6419ddb50fda/1576739748531.jpg</v>
      </c>
      <c r="N40" t="str">
        <f>HYPERLINK("https://www.commcarehq.org/a/demo-18/api/form/attachment/e3c7f218-0445-42fd-b35a-6419ddb50fda/1576739760944.jpg")</f>
        <v>https://www.commcarehq.org/a/demo-18/api/form/attachment/e3c7f218-0445-42fd-b35a-6419ddb50fda/1576739760944.jpg</v>
      </c>
      <c r="O40" t="str">
        <f>HYPERLINK("https://www.commcarehq.org/a/demo-18/api/form/attachment/e3c7f218-0445-42fd-b35a-6419ddb50fda/1576739792415.jpg")</f>
        <v>https://www.commcarehq.org/a/demo-18/api/form/attachment/e3c7f218-0445-42fd-b35a-6419ddb50fda/1576739792415.jpg</v>
      </c>
      <c r="P40" t="str">
        <f>HYPERLINK("https://www.commcarehq.org/a/demo-18/api/form/attachment/e3c7f218-0445-42fd-b35a-6419ddb50fda/1576739803380.jpg")</f>
        <v>https://www.commcarehq.org/a/demo-18/api/form/attachment/e3c7f218-0445-42fd-b35a-6419ddb50fda/1576739803380.jpg</v>
      </c>
      <c r="Q40" s="2">
        <v>43818.303298611114</v>
      </c>
      <c r="R40" s="2">
        <v>43818.299571759257</v>
      </c>
      <c r="S40" t="s">
        <v>32</v>
      </c>
      <c r="T40" s="2">
        <v>43818.359212962961</v>
      </c>
      <c r="U40" t="s">
        <v>852</v>
      </c>
      <c r="V40" t="s">
        <v>853</v>
      </c>
    </row>
    <row r="41" spans="1:22" x14ac:dyDescent="0.45">
      <c r="A41" t="s">
        <v>268</v>
      </c>
      <c r="B41">
        <v>3.1</v>
      </c>
      <c r="C41" s="1">
        <v>43842</v>
      </c>
      <c r="D41" s="1">
        <v>43812</v>
      </c>
      <c r="E41" t="s">
        <v>428</v>
      </c>
      <c r="F41" t="s">
        <v>429</v>
      </c>
      <c r="G41" t="s">
        <v>429</v>
      </c>
      <c r="H41" t="s">
        <v>430</v>
      </c>
      <c r="I41" t="s">
        <v>428</v>
      </c>
      <c r="J41" t="s">
        <v>429</v>
      </c>
      <c r="K41" t="str">
        <f>HYPERLINK("https://www.commcarehq.org/a/demo-18/api/form/attachment/447c1b4b-b9e0-4042-899f-636ffa5bb5d4/1576221486501.jpg")</f>
        <v>https://www.commcarehq.org/a/demo-18/api/form/attachment/447c1b4b-b9e0-4042-899f-636ffa5bb5d4/1576221486501.jpg</v>
      </c>
      <c r="L41" t="str">
        <f>HYPERLINK("https://www.commcarehq.org/a/demo-18/api/form/attachment/447c1b4b-b9e0-4042-899f-636ffa5bb5d4/1576221515197.jpg")</f>
        <v>https://www.commcarehq.org/a/demo-18/api/form/attachment/447c1b4b-b9e0-4042-899f-636ffa5bb5d4/1576221515197.jpg</v>
      </c>
      <c r="M41" t="str">
        <f>HYPERLINK("https://www.commcarehq.org/a/demo-18/api/form/attachment/447c1b4b-b9e0-4042-899f-636ffa5bb5d4/1576221562641.jpg")</f>
        <v>https://www.commcarehq.org/a/demo-18/api/form/attachment/447c1b4b-b9e0-4042-899f-636ffa5bb5d4/1576221562641.jpg</v>
      </c>
      <c r="N41" t="str">
        <f>HYPERLINK("https://www.commcarehq.org/a/demo-18/api/form/attachment/447c1b4b-b9e0-4042-899f-636ffa5bb5d4/1576221579323.jpg")</f>
        <v>https://www.commcarehq.org/a/demo-18/api/form/attachment/447c1b4b-b9e0-4042-899f-636ffa5bb5d4/1576221579323.jpg</v>
      </c>
      <c r="O41" t="str">
        <f>HYPERLINK("https://www.commcarehq.org/a/demo-18/api/form/attachment/447c1b4b-b9e0-4042-899f-636ffa5bb5d4/1576221623949.jpg")</f>
        <v>https://www.commcarehq.org/a/demo-18/api/form/attachment/447c1b4b-b9e0-4042-899f-636ffa5bb5d4/1576221623949.jpg</v>
      </c>
      <c r="P41" t="str">
        <f>HYPERLINK("https://www.commcarehq.org/a/demo-18/api/form/attachment/447c1b4b-b9e0-4042-899f-636ffa5bb5d4/1576221635136.jpg")</f>
        <v>https://www.commcarehq.org/a/demo-18/api/form/attachment/447c1b4b-b9e0-4042-899f-636ffa5bb5d4/1576221635136.jpg</v>
      </c>
      <c r="Q41" s="2">
        <v>43812.305983796294</v>
      </c>
      <c r="R41" s="2">
        <v>43812.303333333337</v>
      </c>
      <c r="S41" t="s">
        <v>32</v>
      </c>
      <c r="T41" s="2">
        <v>43812.306215277778</v>
      </c>
      <c r="U41" t="s">
        <v>443</v>
      </c>
      <c r="V41" t="s">
        <v>444</v>
      </c>
    </row>
    <row r="42" spans="1:22" x14ac:dyDescent="0.45">
      <c r="A42" t="s">
        <v>322</v>
      </c>
      <c r="B42">
        <v>6</v>
      </c>
      <c r="C42" s="1">
        <v>43842</v>
      </c>
      <c r="D42" s="1">
        <v>43812</v>
      </c>
      <c r="E42" t="s">
        <v>428</v>
      </c>
      <c r="F42" t="s">
        <v>429</v>
      </c>
      <c r="G42" t="s">
        <v>429</v>
      </c>
      <c r="H42" t="s">
        <v>430</v>
      </c>
      <c r="I42" t="s">
        <v>428</v>
      </c>
      <c r="J42" t="s">
        <v>429</v>
      </c>
      <c r="K42" t="str">
        <f>HYPERLINK("https://www.commcarehq.org/a/demo-18/api/form/attachment/85cc09ca-6223-4fc7-b9be-b91cedce1965/1576219582870.jpg")</f>
        <v>https://www.commcarehq.org/a/demo-18/api/form/attachment/85cc09ca-6223-4fc7-b9be-b91cedce1965/1576219582870.jpg</v>
      </c>
      <c r="L42" t="str">
        <f>HYPERLINK("https://www.commcarehq.org/a/demo-18/api/form/attachment/85cc09ca-6223-4fc7-b9be-b91cedce1965/1576219608557.jpg")</f>
        <v>https://www.commcarehq.org/a/demo-18/api/form/attachment/85cc09ca-6223-4fc7-b9be-b91cedce1965/1576219608557.jpg</v>
      </c>
      <c r="M42" t="str">
        <f>HYPERLINK("https://www.commcarehq.org/a/demo-18/api/form/attachment/85cc09ca-6223-4fc7-b9be-b91cedce1965/1576219703762.jpg")</f>
        <v>https://www.commcarehq.org/a/demo-18/api/form/attachment/85cc09ca-6223-4fc7-b9be-b91cedce1965/1576219703762.jpg</v>
      </c>
      <c r="N42" t="str">
        <f>HYPERLINK("https://www.commcarehq.org/a/demo-18/api/form/attachment/85cc09ca-6223-4fc7-b9be-b91cedce1965/1576219715853.jpg")</f>
        <v>https://www.commcarehq.org/a/demo-18/api/form/attachment/85cc09ca-6223-4fc7-b9be-b91cedce1965/1576219715853.jpg</v>
      </c>
      <c r="O42" t="str">
        <f>HYPERLINK("https://www.commcarehq.org/a/demo-18/api/form/attachment/85cc09ca-6223-4fc7-b9be-b91cedce1965/1576219732392.jpg")</f>
        <v>https://www.commcarehq.org/a/demo-18/api/form/attachment/85cc09ca-6223-4fc7-b9be-b91cedce1965/1576219732392.jpg</v>
      </c>
      <c r="P42" t="str">
        <f>HYPERLINK("https://www.commcarehq.org/a/demo-18/api/form/attachment/85cc09ca-6223-4fc7-b9be-b91cedce1965/1576219742008.jpg")</f>
        <v>https://www.commcarehq.org/a/demo-18/api/form/attachment/85cc09ca-6223-4fc7-b9be-b91cedce1965/1576219742008.jpg</v>
      </c>
      <c r="Q42" s="2">
        <v>43812.284074074072</v>
      </c>
      <c r="R42" s="2">
        <v>43812.281689814816</v>
      </c>
      <c r="S42" t="s">
        <v>32</v>
      </c>
      <c r="T42" s="2">
        <v>43812.284305555557</v>
      </c>
      <c r="U42" t="s">
        <v>445</v>
      </c>
      <c r="V42" t="s">
        <v>446</v>
      </c>
    </row>
    <row r="43" spans="1:22" x14ac:dyDescent="0.45">
      <c r="A43" t="s">
        <v>62</v>
      </c>
      <c r="B43">
        <v>5.4</v>
      </c>
      <c r="C43" s="1">
        <v>43847</v>
      </c>
      <c r="D43" s="1">
        <v>43817</v>
      </c>
      <c r="E43" t="s">
        <v>428</v>
      </c>
      <c r="F43" t="s">
        <v>429</v>
      </c>
      <c r="G43" t="s">
        <v>429</v>
      </c>
      <c r="H43" t="s">
        <v>430</v>
      </c>
      <c r="I43" t="s">
        <v>428</v>
      </c>
      <c r="J43" t="s">
        <v>429</v>
      </c>
      <c r="K43" t="str">
        <f>HYPERLINK("https://www.commcarehq.org/a/demo-18/api/form/attachment/86c4d3c6-ad73-417b-9e2f-f33bffbf1a94/1576655462178.jpg")</f>
        <v>https://www.commcarehq.org/a/demo-18/api/form/attachment/86c4d3c6-ad73-417b-9e2f-f33bffbf1a94/1576655462178.jpg</v>
      </c>
      <c r="L43" t="str">
        <f>HYPERLINK("https://www.commcarehq.org/a/demo-18/api/form/attachment/86c4d3c6-ad73-417b-9e2f-f33bffbf1a94/1576655490368.jpg")</f>
        <v>https://www.commcarehq.org/a/demo-18/api/form/attachment/86c4d3c6-ad73-417b-9e2f-f33bffbf1a94/1576655490368.jpg</v>
      </c>
      <c r="M43" t="str">
        <f>HYPERLINK("https://www.commcarehq.org/a/demo-18/api/form/attachment/86c4d3c6-ad73-417b-9e2f-f33bffbf1a94/1576655564247.jpg")</f>
        <v>https://www.commcarehq.org/a/demo-18/api/form/attachment/86c4d3c6-ad73-417b-9e2f-f33bffbf1a94/1576655564247.jpg</v>
      </c>
      <c r="N43" t="str">
        <f>HYPERLINK("https://www.commcarehq.org/a/demo-18/api/form/attachment/86c4d3c6-ad73-417b-9e2f-f33bffbf1a94/1576655591821.jpg")</f>
        <v>https://www.commcarehq.org/a/demo-18/api/form/attachment/86c4d3c6-ad73-417b-9e2f-f33bffbf1a94/1576655591821.jpg</v>
      </c>
      <c r="O43" t="str">
        <f>HYPERLINK("https://www.commcarehq.org/a/demo-18/api/form/attachment/86c4d3c6-ad73-417b-9e2f-f33bffbf1a94/1576655620060.jpg")</f>
        <v>https://www.commcarehq.org/a/demo-18/api/form/attachment/86c4d3c6-ad73-417b-9e2f-f33bffbf1a94/1576655620060.jpg</v>
      </c>
      <c r="P43" t="str">
        <f>HYPERLINK("https://www.commcarehq.org/a/demo-18/api/form/attachment/86c4d3c6-ad73-417b-9e2f-f33bffbf1a94/1576655630029.jpg")</f>
        <v>https://www.commcarehq.org/a/demo-18/api/form/attachment/86c4d3c6-ad73-417b-9e2f-f33bffbf1a94/1576655630029.jpg</v>
      </c>
      <c r="Q43" s="2">
        <v>43817.329074074078</v>
      </c>
      <c r="R43" s="2">
        <v>43817.32640046296</v>
      </c>
      <c r="S43" t="s">
        <v>32</v>
      </c>
      <c r="T43" s="2">
        <v>43817.329398148147</v>
      </c>
      <c r="U43" t="s">
        <v>454</v>
      </c>
      <c r="V43" t="s">
        <v>455</v>
      </c>
    </row>
    <row r="44" spans="1:22" x14ac:dyDescent="0.45">
      <c r="A44" t="s">
        <v>68</v>
      </c>
      <c r="B44">
        <v>4.5</v>
      </c>
      <c r="C44" s="1">
        <v>43852</v>
      </c>
      <c r="D44" s="1">
        <v>43822</v>
      </c>
      <c r="E44" t="s">
        <v>428</v>
      </c>
      <c r="F44" t="s">
        <v>429</v>
      </c>
      <c r="G44" t="s">
        <v>429</v>
      </c>
      <c r="H44" t="s">
        <v>430</v>
      </c>
      <c r="I44" t="s">
        <v>428</v>
      </c>
      <c r="J44" t="s">
        <v>429</v>
      </c>
      <c r="K44" t="str">
        <f>HYPERLINK("https://www.commcarehq.org/a/demo-18/api/form/attachment/6c880c79-e367-4bfc-998f-b7b588f67810/1577084315513.jpg")</f>
        <v>https://www.commcarehq.org/a/demo-18/api/form/attachment/6c880c79-e367-4bfc-998f-b7b588f67810/1577084315513.jpg</v>
      </c>
      <c r="L44" t="str">
        <f>HYPERLINK("https://www.commcarehq.org/a/demo-18/api/form/attachment/6c880c79-e367-4bfc-998f-b7b588f67810/1577084339279.jpg")</f>
        <v>https://www.commcarehq.org/a/demo-18/api/form/attachment/6c880c79-e367-4bfc-998f-b7b588f67810/1577084339279.jpg</v>
      </c>
      <c r="M44" t="str">
        <f>HYPERLINK("https://www.commcarehq.org/a/demo-18/api/form/attachment/6c880c79-e367-4bfc-998f-b7b588f67810/1577084441126.jpg")</f>
        <v>https://www.commcarehq.org/a/demo-18/api/form/attachment/6c880c79-e367-4bfc-998f-b7b588f67810/1577084441126.jpg</v>
      </c>
      <c r="N44" t="str">
        <f>HYPERLINK("https://www.commcarehq.org/a/demo-18/api/form/attachment/6c880c79-e367-4bfc-998f-b7b588f67810/1577084452259.jpg")</f>
        <v>https://www.commcarehq.org/a/demo-18/api/form/attachment/6c880c79-e367-4bfc-998f-b7b588f67810/1577084452259.jpg</v>
      </c>
      <c r="O44" t="str">
        <f>HYPERLINK("https://www.commcarehq.org/a/demo-18/api/form/attachment/6c880c79-e367-4bfc-998f-b7b588f67810/1577084480686.jpg")</f>
        <v>https://www.commcarehq.org/a/demo-18/api/form/attachment/6c880c79-e367-4bfc-998f-b7b588f67810/1577084480686.jpg</v>
      </c>
      <c r="P44" t="str">
        <f>HYPERLINK("https://www.commcarehq.org/a/demo-18/api/form/attachment/6c880c79-e367-4bfc-998f-b7b588f67810/1577084492018.jpg")</f>
        <v>https://www.commcarehq.org/a/demo-18/api/form/attachment/6c880c79-e367-4bfc-998f-b7b588f67810/1577084492018.jpg</v>
      </c>
      <c r="Q44" s="2">
        <v>43822.292743055557</v>
      </c>
      <c r="R44" s="2">
        <v>43822.290312500001</v>
      </c>
      <c r="S44" t="s">
        <v>32</v>
      </c>
      <c r="T44" s="2">
        <v>43822.292939814812</v>
      </c>
      <c r="U44" s="3" t="s">
        <v>885</v>
      </c>
      <c r="V44" t="s">
        <v>886</v>
      </c>
    </row>
    <row r="45" spans="1:22" x14ac:dyDescent="0.45">
      <c r="A45" t="s">
        <v>190</v>
      </c>
      <c r="B45">
        <v>4.5999999999999996</v>
      </c>
      <c r="C45" s="1">
        <v>43856</v>
      </c>
      <c r="D45" s="1">
        <v>43826</v>
      </c>
      <c r="E45" t="s">
        <v>428</v>
      </c>
      <c r="F45" t="s">
        <v>429</v>
      </c>
      <c r="G45" t="s">
        <v>429</v>
      </c>
      <c r="H45" t="s">
        <v>430</v>
      </c>
      <c r="I45" t="s">
        <v>428</v>
      </c>
      <c r="J45" t="s">
        <v>429</v>
      </c>
      <c r="K45" t="str">
        <f>HYPERLINK("https://www.commcarehq.org/a/demo-18/api/form/attachment/15931d40-bd38-4052-a130-0a997d1195f5/1577427789462.jpg")</f>
        <v>https://www.commcarehq.org/a/demo-18/api/form/attachment/15931d40-bd38-4052-a130-0a997d1195f5/1577427789462.jpg</v>
      </c>
      <c r="L45" t="str">
        <f>HYPERLINK("https://www.commcarehq.org/a/demo-18/api/form/attachment/15931d40-bd38-4052-a130-0a997d1195f5/1577427817753.jpg")</f>
        <v>https://www.commcarehq.org/a/demo-18/api/form/attachment/15931d40-bd38-4052-a130-0a997d1195f5/1577427817753.jpg</v>
      </c>
      <c r="M45" t="str">
        <f>HYPERLINK("https://www.commcarehq.org/a/demo-18/api/form/attachment/15931d40-bd38-4052-a130-0a997d1195f5/1577427870862.jpg")</f>
        <v>https://www.commcarehq.org/a/demo-18/api/form/attachment/15931d40-bd38-4052-a130-0a997d1195f5/1577427870862.jpg</v>
      </c>
      <c r="N45" t="str">
        <f>HYPERLINK("https://www.commcarehq.org/a/demo-18/api/form/attachment/15931d40-bd38-4052-a130-0a997d1195f5/1577427880827.jpg")</f>
        <v>https://www.commcarehq.org/a/demo-18/api/form/attachment/15931d40-bd38-4052-a130-0a997d1195f5/1577427880827.jpg</v>
      </c>
      <c r="O45" t="str">
        <f>HYPERLINK("https://www.commcarehq.org/a/demo-18/api/form/attachment/15931d40-bd38-4052-a130-0a997d1195f5/1577427898165.jpg")</f>
        <v>https://www.commcarehq.org/a/demo-18/api/form/attachment/15931d40-bd38-4052-a130-0a997d1195f5/1577427898165.jpg</v>
      </c>
      <c r="P45" t="str">
        <f>HYPERLINK("https://www.commcarehq.org/a/demo-18/api/form/attachment/15931d40-bd38-4052-a130-0a997d1195f5/1577427907289.jpg")</f>
        <v>https://www.commcarehq.org/a/demo-18/api/form/attachment/15931d40-bd38-4052-a130-0a997d1195f5/1577427907289.jpg</v>
      </c>
      <c r="Q45" s="2">
        <v>43826.267465277779</v>
      </c>
      <c r="R45" s="2">
        <v>43826.265462962961</v>
      </c>
      <c r="S45" t="s">
        <v>32</v>
      </c>
      <c r="T45" s="2">
        <v>43826.649131944447</v>
      </c>
      <c r="U45" t="s">
        <v>887</v>
      </c>
      <c r="V45" t="s">
        <v>888</v>
      </c>
    </row>
    <row r="46" spans="1:22" x14ac:dyDescent="0.45">
      <c r="A46" t="s">
        <v>367</v>
      </c>
      <c r="B46">
        <v>5.6</v>
      </c>
      <c r="C46" s="1">
        <v>43852</v>
      </c>
      <c r="D46" s="1">
        <v>43822</v>
      </c>
      <c r="E46" t="s">
        <v>428</v>
      </c>
      <c r="F46" t="s">
        <v>429</v>
      </c>
      <c r="G46" t="s">
        <v>429</v>
      </c>
      <c r="H46" t="s">
        <v>430</v>
      </c>
      <c r="I46" t="s">
        <v>428</v>
      </c>
      <c r="J46" t="s">
        <v>429</v>
      </c>
      <c r="K46" t="str">
        <f>HYPERLINK("https://www.commcarehq.org/a/demo-18/api/form/attachment/4e93f5ba-7f45-41ae-8dc5-9ea81003d5ee/1577082412680.jpg")</f>
        <v>https://www.commcarehq.org/a/demo-18/api/form/attachment/4e93f5ba-7f45-41ae-8dc5-9ea81003d5ee/1577082412680.jpg</v>
      </c>
      <c r="L46" t="str">
        <f>HYPERLINK("https://www.commcarehq.org/a/demo-18/api/form/attachment/4e93f5ba-7f45-41ae-8dc5-9ea81003d5ee/1577082437327.jpg")</f>
        <v>https://www.commcarehq.org/a/demo-18/api/form/attachment/4e93f5ba-7f45-41ae-8dc5-9ea81003d5ee/1577082437327.jpg</v>
      </c>
      <c r="M46" t="str">
        <f>HYPERLINK("https://www.commcarehq.org/a/demo-18/api/form/attachment/4e93f5ba-7f45-41ae-8dc5-9ea81003d5ee/1577082505852.jpg")</f>
        <v>https://www.commcarehq.org/a/demo-18/api/form/attachment/4e93f5ba-7f45-41ae-8dc5-9ea81003d5ee/1577082505852.jpg</v>
      </c>
      <c r="N46" t="str">
        <f>HYPERLINK("https://www.commcarehq.org/a/demo-18/api/form/attachment/4e93f5ba-7f45-41ae-8dc5-9ea81003d5ee/1577082516589.jpg")</f>
        <v>https://www.commcarehq.org/a/demo-18/api/form/attachment/4e93f5ba-7f45-41ae-8dc5-9ea81003d5ee/1577082516589.jpg</v>
      </c>
      <c r="O46" t="str">
        <f>HYPERLINK("https://www.commcarehq.org/a/demo-18/api/form/attachment/4e93f5ba-7f45-41ae-8dc5-9ea81003d5ee/1577082533924.jpg")</f>
        <v>https://www.commcarehq.org/a/demo-18/api/form/attachment/4e93f5ba-7f45-41ae-8dc5-9ea81003d5ee/1577082533924.jpg</v>
      </c>
      <c r="P46" t="str">
        <f>HYPERLINK("https://www.commcarehq.org/a/demo-18/api/form/attachment/4e93f5ba-7f45-41ae-8dc5-9ea81003d5ee/1577082542941.jpg")</f>
        <v>https://www.commcarehq.org/a/demo-18/api/form/attachment/4e93f5ba-7f45-41ae-8dc5-9ea81003d5ee/1577082542941.jpg</v>
      </c>
      <c r="Q46" s="2">
        <v>43822.270185185182</v>
      </c>
      <c r="R46" s="2">
        <v>43822.26840277778</v>
      </c>
      <c r="S46" t="s">
        <v>32</v>
      </c>
      <c r="T46" s="2">
        <v>43822.27039351852</v>
      </c>
      <c r="U46" t="s">
        <v>889</v>
      </c>
      <c r="V46" t="s">
        <v>890</v>
      </c>
    </row>
    <row r="47" spans="1:22" x14ac:dyDescent="0.45">
      <c r="A47" t="s">
        <v>175</v>
      </c>
      <c r="B47">
        <v>4</v>
      </c>
      <c r="C47" s="1">
        <v>43848</v>
      </c>
      <c r="D47" s="1">
        <v>43818</v>
      </c>
      <c r="E47" t="s">
        <v>428</v>
      </c>
      <c r="F47" t="s">
        <v>429</v>
      </c>
      <c r="G47" t="s">
        <v>429</v>
      </c>
      <c r="H47" t="s">
        <v>498</v>
      </c>
      <c r="I47" t="s">
        <v>428</v>
      </c>
      <c r="J47" t="s">
        <v>429</v>
      </c>
      <c r="K47" t="str">
        <f>HYPERLINK("https://www.commcarehq.org/a/demo-18/api/form/attachment/5e577aee-709f-4cee-937d-63a13d4207ac/1576746331317.jpg")</f>
        <v>https://www.commcarehq.org/a/demo-18/api/form/attachment/5e577aee-709f-4cee-937d-63a13d4207ac/1576746331317.jpg</v>
      </c>
      <c r="L47" t="str">
        <f>HYPERLINK("https://www.commcarehq.org/a/demo-18/api/form/attachment/5e577aee-709f-4cee-937d-63a13d4207ac/1576746358962.jpg")</f>
        <v>https://www.commcarehq.org/a/demo-18/api/form/attachment/5e577aee-709f-4cee-937d-63a13d4207ac/1576746358962.jpg</v>
      </c>
      <c r="M47" t="str">
        <f>HYPERLINK("https://www.commcarehq.org/a/demo-18/api/form/attachment/5e577aee-709f-4cee-937d-63a13d4207ac/1576746398336.jpg")</f>
        <v>https://www.commcarehq.org/a/demo-18/api/form/attachment/5e577aee-709f-4cee-937d-63a13d4207ac/1576746398336.jpg</v>
      </c>
      <c r="N47" t="str">
        <f>HYPERLINK("https://www.commcarehq.org/a/demo-18/api/form/attachment/5e577aee-709f-4cee-937d-63a13d4207ac/1576746408028.jpg")</f>
        <v>https://www.commcarehq.org/a/demo-18/api/form/attachment/5e577aee-709f-4cee-937d-63a13d4207ac/1576746408028.jpg</v>
      </c>
      <c r="O47" t="str">
        <f>HYPERLINK("https://www.commcarehq.org/a/demo-18/api/form/attachment/5e577aee-709f-4cee-937d-63a13d4207ac/1576746428888.jpg")</f>
        <v>https://www.commcarehq.org/a/demo-18/api/form/attachment/5e577aee-709f-4cee-937d-63a13d4207ac/1576746428888.jpg</v>
      </c>
      <c r="P47" t="str">
        <f>HYPERLINK("https://www.commcarehq.org/a/demo-18/api/form/attachment/5e577aee-709f-4cee-937d-63a13d4207ac/1576746438545.jpg")</f>
        <v>https://www.commcarehq.org/a/demo-18/api/form/attachment/5e577aee-709f-4cee-937d-63a13d4207ac/1576746438545.jpg</v>
      </c>
      <c r="Q47" s="2">
        <v>43818.380115740743</v>
      </c>
      <c r="R47" s="2">
        <v>43818.378518518519</v>
      </c>
      <c r="S47" t="s">
        <v>32</v>
      </c>
      <c r="T47" s="2">
        <v>43818.380532407406</v>
      </c>
      <c r="U47" s="3" t="s">
        <v>854</v>
      </c>
      <c r="V47" t="s">
        <v>855</v>
      </c>
    </row>
    <row r="48" spans="1:22" x14ac:dyDescent="0.45">
      <c r="A48" t="s">
        <v>376</v>
      </c>
      <c r="B48">
        <v>4.4000000000000004</v>
      </c>
      <c r="C48" s="1">
        <v>43849</v>
      </c>
      <c r="D48" s="1">
        <v>43819</v>
      </c>
      <c r="E48" t="s">
        <v>428</v>
      </c>
      <c r="F48" t="s">
        <v>429</v>
      </c>
      <c r="G48" t="s">
        <v>429</v>
      </c>
      <c r="H48" t="s">
        <v>447</v>
      </c>
      <c r="I48" t="s">
        <v>428</v>
      </c>
      <c r="J48" t="s">
        <v>429</v>
      </c>
      <c r="K48" t="str">
        <f>HYPERLINK("https://www.commcarehq.org/a/demo-18/api/form/attachment/6d59f419-82cd-4ada-ba34-89a685363879/1576823907185.jpg")</f>
        <v>https://www.commcarehq.org/a/demo-18/api/form/attachment/6d59f419-82cd-4ada-ba34-89a685363879/1576823907185.jpg</v>
      </c>
      <c r="L48" t="str">
        <f>HYPERLINK("https://www.commcarehq.org/a/demo-18/api/form/attachment/6d59f419-82cd-4ada-ba34-89a685363879/1576823939855.jpg")</f>
        <v>https://www.commcarehq.org/a/demo-18/api/form/attachment/6d59f419-82cd-4ada-ba34-89a685363879/1576823939855.jpg</v>
      </c>
      <c r="M48" t="str">
        <f>HYPERLINK("https://www.commcarehq.org/a/demo-18/api/form/attachment/6d59f419-82cd-4ada-ba34-89a685363879/1576824003629.jpg")</f>
        <v>https://www.commcarehq.org/a/demo-18/api/form/attachment/6d59f419-82cd-4ada-ba34-89a685363879/1576824003629.jpg</v>
      </c>
      <c r="N48" t="str">
        <f>HYPERLINK("https://www.commcarehq.org/a/demo-18/api/form/attachment/6d59f419-82cd-4ada-ba34-89a685363879/1576824013549.jpg")</f>
        <v>https://www.commcarehq.org/a/demo-18/api/form/attachment/6d59f419-82cd-4ada-ba34-89a685363879/1576824013549.jpg</v>
      </c>
      <c r="O48" t="str">
        <f>HYPERLINK("https://www.commcarehq.org/a/demo-18/api/form/attachment/6d59f419-82cd-4ada-ba34-89a685363879/1576824035766.jpg")</f>
        <v>https://www.commcarehq.org/a/demo-18/api/form/attachment/6d59f419-82cd-4ada-ba34-89a685363879/1576824035766.jpg</v>
      </c>
      <c r="P48" t="str">
        <f>HYPERLINK("https://www.commcarehq.org/a/demo-18/api/form/attachment/6d59f419-82cd-4ada-ba34-89a685363879/1576824051144.jpg")</f>
        <v>https://www.commcarehq.org/a/demo-18/api/form/attachment/6d59f419-82cd-4ada-ba34-89a685363879/1576824051144.jpg</v>
      </c>
      <c r="Q48" s="2">
        <v>43819.278391203705</v>
      </c>
      <c r="R48" s="2">
        <v>43819.275995370372</v>
      </c>
      <c r="S48" t="s">
        <v>32</v>
      </c>
      <c r="T48" s="2">
        <v>43819.278599537036</v>
      </c>
      <c r="U48" t="s">
        <v>891</v>
      </c>
      <c r="V48" t="s">
        <v>892</v>
      </c>
    </row>
    <row r="49" spans="1:22" x14ac:dyDescent="0.45">
      <c r="A49" t="s">
        <v>140</v>
      </c>
      <c r="B49">
        <v>5.7</v>
      </c>
      <c r="C49" s="1">
        <v>43855</v>
      </c>
      <c r="D49" s="1">
        <v>43825</v>
      </c>
      <c r="E49" t="s">
        <v>428</v>
      </c>
      <c r="F49" t="s">
        <v>429</v>
      </c>
      <c r="G49" t="s">
        <v>429</v>
      </c>
      <c r="H49" t="s">
        <v>430</v>
      </c>
      <c r="I49" t="s">
        <v>428</v>
      </c>
      <c r="J49" t="s">
        <v>429</v>
      </c>
      <c r="K49" t="str">
        <f>HYPERLINK("https://www.commcarehq.org/a/demo-18/api/form/attachment/c08b95bb-a581-476f-85d4-9c7e9c756617/1577342087527.jpg")</f>
        <v>https://www.commcarehq.org/a/demo-18/api/form/attachment/c08b95bb-a581-476f-85d4-9c7e9c756617/1577342087527.jpg</v>
      </c>
      <c r="L49" t="str">
        <f>HYPERLINK("https://www.commcarehq.org/a/demo-18/api/form/attachment/c08b95bb-a581-476f-85d4-9c7e9c756617/1577342121240.jpg")</f>
        <v>https://www.commcarehq.org/a/demo-18/api/form/attachment/c08b95bb-a581-476f-85d4-9c7e9c756617/1577342121240.jpg</v>
      </c>
      <c r="M49" t="str">
        <f>HYPERLINK("https://www.commcarehq.org/a/demo-18/api/form/attachment/c08b95bb-a581-476f-85d4-9c7e9c756617/1577342165466.jpg")</f>
        <v>https://www.commcarehq.org/a/demo-18/api/form/attachment/c08b95bb-a581-476f-85d4-9c7e9c756617/1577342165466.jpg</v>
      </c>
      <c r="N49" t="str">
        <f>HYPERLINK("https://www.commcarehq.org/a/demo-18/api/form/attachment/c08b95bb-a581-476f-85d4-9c7e9c756617/1577342175237.jpg")</f>
        <v>https://www.commcarehq.org/a/demo-18/api/form/attachment/c08b95bb-a581-476f-85d4-9c7e9c756617/1577342175237.jpg</v>
      </c>
      <c r="O49" t="str">
        <f>HYPERLINK("https://www.commcarehq.org/a/demo-18/api/form/attachment/c08b95bb-a581-476f-85d4-9c7e9c756617/1577342218532.jpg")</f>
        <v>https://www.commcarehq.org/a/demo-18/api/form/attachment/c08b95bb-a581-476f-85d4-9c7e9c756617/1577342218532.jpg</v>
      </c>
      <c r="P49" t="str">
        <f>HYPERLINK("https://www.commcarehq.org/a/demo-18/api/form/attachment/c08b95bb-a581-476f-85d4-9c7e9c756617/1577342238807.jpg")</f>
        <v>https://www.commcarehq.org/a/demo-18/api/form/attachment/c08b95bb-a581-476f-85d4-9c7e9c756617/1577342238807.jpg</v>
      </c>
      <c r="Q49" s="2">
        <v>43825.276006944441</v>
      </c>
      <c r="R49" s="2">
        <v>43825.273530092592</v>
      </c>
      <c r="S49" t="s">
        <v>32</v>
      </c>
      <c r="T49" s="2">
        <v>43825.285601851851</v>
      </c>
      <c r="U49" t="s">
        <v>903</v>
      </c>
      <c r="V49" t="s">
        <v>904</v>
      </c>
    </row>
    <row r="50" spans="1:22" x14ac:dyDescent="0.45">
      <c r="A50" t="s">
        <v>196</v>
      </c>
      <c r="B50">
        <v>6.4</v>
      </c>
      <c r="C50" s="1">
        <v>43855</v>
      </c>
      <c r="D50" s="1">
        <v>43825</v>
      </c>
      <c r="E50" t="s">
        <v>428</v>
      </c>
      <c r="F50" t="s">
        <v>429</v>
      </c>
      <c r="G50" t="s">
        <v>429</v>
      </c>
      <c r="H50" t="s">
        <v>430</v>
      </c>
      <c r="I50" t="s">
        <v>428</v>
      </c>
      <c r="J50" t="s">
        <v>429</v>
      </c>
      <c r="K50" t="str">
        <f>HYPERLINK("https://www.commcarehq.org/a/demo-18/api/form/attachment/c9d84d1c-ab5f-4989-8a70-0ec539bcb455/1577342893815.jpg")</f>
        <v>https://www.commcarehq.org/a/demo-18/api/form/attachment/c9d84d1c-ab5f-4989-8a70-0ec539bcb455/1577342893815.jpg</v>
      </c>
      <c r="L50" t="str">
        <f>HYPERLINK("https://www.commcarehq.org/a/demo-18/api/form/attachment/c9d84d1c-ab5f-4989-8a70-0ec539bcb455/1577342922577.jpg")</f>
        <v>https://www.commcarehq.org/a/demo-18/api/form/attachment/c9d84d1c-ab5f-4989-8a70-0ec539bcb455/1577342922577.jpg</v>
      </c>
      <c r="M50" t="str">
        <f>HYPERLINK("https://www.commcarehq.org/a/demo-18/api/form/attachment/c9d84d1c-ab5f-4989-8a70-0ec539bcb455/1577342969683.jpg")</f>
        <v>https://www.commcarehq.org/a/demo-18/api/form/attachment/c9d84d1c-ab5f-4989-8a70-0ec539bcb455/1577342969683.jpg</v>
      </c>
      <c r="N50" t="str">
        <f>HYPERLINK("https://www.commcarehq.org/a/demo-18/api/form/attachment/c9d84d1c-ab5f-4989-8a70-0ec539bcb455/1577342980229.jpg")</f>
        <v>https://www.commcarehq.org/a/demo-18/api/form/attachment/c9d84d1c-ab5f-4989-8a70-0ec539bcb455/1577342980229.jpg</v>
      </c>
      <c r="O50" t="str">
        <f>HYPERLINK("https://www.commcarehq.org/a/demo-18/api/form/attachment/c9d84d1c-ab5f-4989-8a70-0ec539bcb455/1577342998828.jpg")</f>
        <v>https://www.commcarehq.org/a/demo-18/api/form/attachment/c9d84d1c-ab5f-4989-8a70-0ec539bcb455/1577342998828.jpg</v>
      </c>
      <c r="P50" t="str">
        <f>HYPERLINK("https://www.commcarehq.org/a/demo-18/api/form/attachment/c9d84d1c-ab5f-4989-8a70-0ec539bcb455/1577343008666.jpg")</f>
        <v>https://www.commcarehq.org/a/demo-18/api/form/attachment/c9d84d1c-ab5f-4989-8a70-0ec539bcb455/1577343008666.jpg</v>
      </c>
      <c r="Q50" s="2">
        <v>43825.284837962965</v>
      </c>
      <c r="R50" s="2">
        <v>43825.283009259256</v>
      </c>
      <c r="S50" t="s">
        <v>32</v>
      </c>
      <c r="T50" s="2">
        <v>43825.286041666666</v>
      </c>
      <c r="U50" t="s">
        <v>905</v>
      </c>
      <c r="V50" t="s">
        <v>906</v>
      </c>
    </row>
    <row r="51" spans="1:22" x14ac:dyDescent="0.45">
      <c r="A51" t="s">
        <v>53</v>
      </c>
      <c r="B51">
        <v>5.2</v>
      </c>
      <c r="C51" s="1">
        <v>43852</v>
      </c>
      <c r="D51" s="1">
        <v>43822</v>
      </c>
      <c r="E51" t="s">
        <v>428</v>
      </c>
      <c r="F51" t="s">
        <v>429</v>
      </c>
      <c r="G51" t="s">
        <v>429</v>
      </c>
      <c r="H51" t="s">
        <v>430</v>
      </c>
      <c r="I51" t="s">
        <v>428</v>
      </c>
      <c r="J51" t="s">
        <v>429</v>
      </c>
      <c r="K51" t="str">
        <f>HYPERLINK("https://www.commcarehq.org/a/demo-18/api/form/attachment/bb70f104-12e2-40fa-8882-348a2baf3ee1/1577087399045.jpg")</f>
        <v>https://www.commcarehq.org/a/demo-18/api/form/attachment/bb70f104-12e2-40fa-8882-348a2baf3ee1/1577087399045.jpg</v>
      </c>
      <c r="L51" t="str">
        <f>HYPERLINK("https://www.commcarehq.org/a/demo-18/api/form/attachment/bb70f104-12e2-40fa-8882-348a2baf3ee1/1577087413210.jpg")</f>
        <v>https://www.commcarehq.org/a/demo-18/api/form/attachment/bb70f104-12e2-40fa-8882-348a2baf3ee1/1577087413210.jpg</v>
      </c>
      <c r="M51" t="str">
        <f>HYPERLINK("https://www.commcarehq.org/a/demo-18/api/form/attachment/bb70f104-12e2-40fa-8882-348a2baf3ee1/1577087502259.jpg")</f>
        <v>https://www.commcarehq.org/a/demo-18/api/form/attachment/bb70f104-12e2-40fa-8882-348a2baf3ee1/1577087502259.jpg</v>
      </c>
      <c r="N51" t="str">
        <f>HYPERLINK("https://www.commcarehq.org/a/demo-18/api/form/attachment/bb70f104-12e2-40fa-8882-348a2baf3ee1/1577087512609.jpg")</f>
        <v>https://www.commcarehq.org/a/demo-18/api/form/attachment/bb70f104-12e2-40fa-8882-348a2baf3ee1/1577087512609.jpg</v>
      </c>
      <c r="O51" t="str">
        <f>HYPERLINK("https://www.commcarehq.org/a/demo-18/api/form/attachment/bb70f104-12e2-40fa-8882-348a2baf3ee1/1577087545815.jpg")</f>
        <v>https://www.commcarehq.org/a/demo-18/api/form/attachment/bb70f104-12e2-40fa-8882-348a2baf3ee1/1577087545815.jpg</v>
      </c>
      <c r="P51" t="str">
        <f>HYPERLINK("https://www.commcarehq.org/a/demo-18/api/form/attachment/bb70f104-12e2-40fa-8882-348a2baf3ee1/1577087555354.jpg")</f>
        <v>https://www.commcarehq.org/a/demo-18/api/form/attachment/bb70f104-12e2-40fa-8882-348a2baf3ee1/1577087555354.jpg</v>
      </c>
      <c r="Q51" s="2">
        <v>43822.328217592592</v>
      </c>
      <c r="R51" s="2">
        <v>43822.325740740744</v>
      </c>
      <c r="S51" t="s">
        <v>32</v>
      </c>
      <c r="T51" s="2">
        <v>43822.3284375</v>
      </c>
      <c r="U51" t="s">
        <v>901</v>
      </c>
      <c r="V51" t="s">
        <v>902</v>
      </c>
    </row>
    <row r="52" spans="1:22" x14ac:dyDescent="0.45">
      <c r="A52" t="s">
        <v>193</v>
      </c>
      <c r="B52">
        <v>5.7</v>
      </c>
      <c r="C52" s="1">
        <v>43852</v>
      </c>
      <c r="D52" s="1">
        <v>43822</v>
      </c>
      <c r="E52" t="s">
        <v>428</v>
      </c>
      <c r="F52" t="s">
        <v>429</v>
      </c>
      <c r="G52" t="s">
        <v>429</v>
      </c>
      <c r="H52" t="s">
        <v>430</v>
      </c>
      <c r="I52" t="s">
        <v>428</v>
      </c>
      <c r="J52" t="s">
        <v>429</v>
      </c>
      <c r="K52" t="str">
        <f>HYPERLINK("https://www.commcarehq.org/a/demo-18/api/form/attachment/4db0e8d4-9974-474a-bce3-335b8cec3346/1577086660532.jpg")</f>
        <v>https://www.commcarehq.org/a/demo-18/api/form/attachment/4db0e8d4-9974-474a-bce3-335b8cec3346/1577086660532.jpg</v>
      </c>
      <c r="L52" t="str">
        <f>HYPERLINK("https://www.commcarehq.org/a/demo-18/api/form/attachment/4db0e8d4-9974-474a-bce3-335b8cec3346/1577086677374.jpg")</f>
        <v>https://www.commcarehq.org/a/demo-18/api/form/attachment/4db0e8d4-9974-474a-bce3-335b8cec3346/1577086677374.jpg</v>
      </c>
      <c r="M52" t="str">
        <f>HYPERLINK("https://www.commcarehq.org/a/demo-18/api/form/attachment/4db0e8d4-9974-474a-bce3-335b8cec3346/1577086790806.jpg")</f>
        <v>https://www.commcarehq.org/a/demo-18/api/form/attachment/4db0e8d4-9974-474a-bce3-335b8cec3346/1577086790806.jpg</v>
      </c>
      <c r="N52" t="str">
        <f>HYPERLINK("https://www.commcarehq.org/a/demo-18/api/form/attachment/4db0e8d4-9974-474a-bce3-335b8cec3346/1577086801423.jpg")</f>
        <v>https://www.commcarehq.org/a/demo-18/api/form/attachment/4db0e8d4-9974-474a-bce3-335b8cec3346/1577086801423.jpg</v>
      </c>
      <c r="O52" t="str">
        <f>HYPERLINK("https://www.commcarehq.org/a/demo-18/api/form/attachment/4db0e8d4-9974-474a-bce3-335b8cec3346/1577086821299.jpg")</f>
        <v>https://www.commcarehq.org/a/demo-18/api/form/attachment/4db0e8d4-9974-474a-bce3-335b8cec3346/1577086821299.jpg</v>
      </c>
      <c r="P52" t="str">
        <f>HYPERLINK("https://www.commcarehq.org/a/demo-18/api/form/attachment/4db0e8d4-9974-474a-bce3-335b8cec3346/1577086832684.jpg")</f>
        <v>https://www.commcarehq.org/a/demo-18/api/form/attachment/4db0e8d4-9974-474a-bce3-335b8cec3346/1577086832684.jpg</v>
      </c>
      <c r="Q52" s="2">
        <v>43822.319837962961</v>
      </c>
      <c r="R52" s="2">
        <v>43822.317245370374</v>
      </c>
      <c r="S52" t="s">
        <v>32</v>
      </c>
      <c r="T52" s="2">
        <v>43822.320057870369</v>
      </c>
      <c r="U52" t="s">
        <v>899</v>
      </c>
      <c r="V52" t="s">
        <v>900</v>
      </c>
    </row>
    <row r="53" spans="1:22" x14ac:dyDescent="0.45">
      <c r="A53" t="s">
        <v>292</v>
      </c>
      <c r="B53">
        <v>6.3</v>
      </c>
      <c r="C53" s="1">
        <v>43852</v>
      </c>
      <c r="D53" s="1">
        <v>43822</v>
      </c>
      <c r="E53" t="s">
        <v>428</v>
      </c>
      <c r="F53" t="s">
        <v>429</v>
      </c>
      <c r="G53" t="s">
        <v>429</v>
      </c>
      <c r="H53" t="s">
        <v>430</v>
      </c>
      <c r="I53" t="s">
        <v>428</v>
      </c>
      <c r="J53" t="s">
        <v>429</v>
      </c>
      <c r="K53" t="str">
        <f>HYPERLINK("https://www.commcarehq.org/a/demo-18/api/form/attachment/b4fe70a6-69b3-42e8-8e0a-d60ae4e840b1/1577083481989.jpg")</f>
        <v>https://www.commcarehq.org/a/demo-18/api/form/attachment/b4fe70a6-69b3-42e8-8e0a-d60ae4e840b1/1577083481989.jpg</v>
      </c>
      <c r="L53" t="str">
        <f>HYPERLINK("https://www.commcarehq.org/a/demo-18/api/form/attachment/b4fe70a6-69b3-42e8-8e0a-d60ae4e840b1/1577083493778.jpg")</f>
        <v>https://www.commcarehq.org/a/demo-18/api/form/attachment/b4fe70a6-69b3-42e8-8e0a-d60ae4e840b1/1577083493778.jpg</v>
      </c>
      <c r="M53" t="str">
        <f>HYPERLINK("https://www.commcarehq.org/a/demo-18/api/form/attachment/b4fe70a6-69b3-42e8-8e0a-d60ae4e840b1/1577083537609.jpg")</f>
        <v>https://www.commcarehq.org/a/demo-18/api/form/attachment/b4fe70a6-69b3-42e8-8e0a-d60ae4e840b1/1577083537609.jpg</v>
      </c>
      <c r="N53" t="str">
        <f>HYPERLINK("https://www.commcarehq.org/a/demo-18/api/form/attachment/b4fe70a6-69b3-42e8-8e0a-d60ae4e840b1/1577083568094.jpg")</f>
        <v>https://www.commcarehq.org/a/demo-18/api/form/attachment/b4fe70a6-69b3-42e8-8e0a-d60ae4e840b1/1577083568094.jpg</v>
      </c>
      <c r="O53" t="str">
        <f>HYPERLINK("https://www.commcarehq.org/a/demo-18/api/form/attachment/b4fe70a6-69b3-42e8-8e0a-d60ae4e840b1/1577083607359.jpg")</f>
        <v>https://www.commcarehq.org/a/demo-18/api/form/attachment/b4fe70a6-69b3-42e8-8e0a-d60ae4e840b1/1577083607359.jpg</v>
      </c>
      <c r="P53" t="str">
        <f>HYPERLINK("https://www.commcarehq.org/a/demo-18/api/form/attachment/b4fe70a6-69b3-42e8-8e0a-d60ae4e840b1/1577083620597.jpg")</f>
        <v>https://www.commcarehq.org/a/demo-18/api/form/attachment/b4fe70a6-69b3-42e8-8e0a-d60ae4e840b1/1577083620597.jpg</v>
      </c>
      <c r="Q53" s="2">
        <v>43822.28266203704</v>
      </c>
      <c r="R53" s="2">
        <v>43822.280590277776</v>
      </c>
      <c r="S53" t="s">
        <v>32</v>
      </c>
      <c r="T53" s="2">
        <v>43822.282847222225</v>
      </c>
      <c r="U53" t="s">
        <v>895</v>
      </c>
      <c r="V53" t="s">
        <v>896</v>
      </c>
    </row>
    <row r="54" spans="1:22" x14ac:dyDescent="0.45">
      <c r="A54" t="s">
        <v>143</v>
      </c>
      <c r="B54">
        <v>5.3</v>
      </c>
      <c r="C54" s="1">
        <v>43852</v>
      </c>
      <c r="D54" s="1">
        <v>43822</v>
      </c>
      <c r="E54" t="s">
        <v>428</v>
      </c>
      <c r="F54" t="s">
        <v>429</v>
      </c>
      <c r="G54" t="s">
        <v>429</v>
      </c>
      <c r="H54" t="s">
        <v>430</v>
      </c>
      <c r="I54" t="s">
        <v>428</v>
      </c>
      <c r="J54" t="s">
        <v>429</v>
      </c>
      <c r="K54" t="str">
        <f>HYPERLINK("https://www.commcarehq.org/a/demo-18/api/form/attachment/bdca8839-83b7-47b3-89e5-3d8b73f35744/1577087102774.jpg")</f>
        <v>https://www.commcarehq.org/a/demo-18/api/form/attachment/bdca8839-83b7-47b3-89e5-3d8b73f35744/1577087102774.jpg</v>
      </c>
      <c r="L54" t="str">
        <f>HYPERLINK("https://www.commcarehq.org/a/demo-18/api/form/attachment/bdca8839-83b7-47b3-89e5-3d8b73f35744/1577087125544.jpg")</f>
        <v>https://www.commcarehq.org/a/demo-18/api/form/attachment/bdca8839-83b7-47b3-89e5-3d8b73f35744/1577087125544.jpg</v>
      </c>
      <c r="M54" t="str">
        <f>HYPERLINK("https://www.commcarehq.org/a/demo-18/api/form/attachment/bdca8839-83b7-47b3-89e5-3d8b73f35744/1577087170120.jpg")</f>
        <v>https://www.commcarehq.org/a/demo-18/api/form/attachment/bdca8839-83b7-47b3-89e5-3d8b73f35744/1577087170120.jpg</v>
      </c>
      <c r="N54" t="str">
        <f>HYPERLINK("https://www.commcarehq.org/a/demo-18/api/form/attachment/bdca8839-83b7-47b3-89e5-3d8b73f35744/1577087179815.jpg")</f>
        <v>https://www.commcarehq.org/a/demo-18/api/form/attachment/bdca8839-83b7-47b3-89e5-3d8b73f35744/1577087179815.jpg</v>
      </c>
      <c r="O54" t="str">
        <f>HYPERLINK("https://www.commcarehq.org/a/demo-18/api/form/attachment/bdca8839-83b7-47b3-89e5-3d8b73f35744/1577087210602.jpg")</f>
        <v>https://www.commcarehq.org/a/demo-18/api/form/attachment/bdca8839-83b7-47b3-89e5-3d8b73f35744/1577087210602.jpg</v>
      </c>
      <c r="P54" t="str">
        <f>HYPERLINK("https://www.commcarehq.org/a/demo-18/api/form/attachment/bdca8839-83b7-47b3-89e5-3d8b73f35744/1577087220051.jpg")</f>
        <v>https://www.commcarehq.org/a/demo-18/api/form/attachment/bdca8839-83b7-47b3-89e5-3d8b73f35744/1577087220051.jpg</v>
      </c>
      <c r="Q54" s="2">
        <v>43822.324328703704</v>
      </c>
      <c r="R54" s="2">
        <v>43822.322557870371</v>
      </c>
      <c r="S54" t="s">
        <v>32</v>
      </c>
      <c r="T54" s="2">
        <v>43822.324594907404</v>
      </c>
      <c r="U54" t="s">
        <v>897</v>
      </c>
      <c r="V54" t="s">
        <v>898</v>
      </c>
    </row>
    <row r="55" spans="1:22" x14ac:dyDescent="0.45">
      <c r="A55" t="s">
        <v>50</v>
      </c>
      <c r="B55">
        <v>4.8</v>
      </c>
      <c r="C55" s="1">
        <v>43849</v>
      </c>
      <c r="D55" s="1">
        <v>43819</v>
      </c>
      <c r="E55" t="s">
        <v>428</v>
      </c>
      <c r="F55" t="s">
        <v>429</v>
      </c>
      <c r="G55" t="s">
        <v>429</v>
      </c>
      <c r="H55" t="s">
        <v>430</v>
      </c>
      <c r="I55" t="s">
        <v>428</v>
      </c>
      <c r="J55" t="s">
        <v>429</v>
      </c>
      <c r="K55" t="str">
        <f>HYPERLINK("https://www.commcarehq.org/a/demo-18/api/form/attachment/a884c7e2-6588-4e4f-93f2-15580fe77f57/1576824615890.jpg")</f>
        <v>https://www.commcarehq.org/a/demo-18/api/form/attachment/a884c7e2-6588-4e4f-93f2-15580fe77f57/1576824615890.jpg</v>
      </c>
      <c r="L55" t="str">
        <f>HYPERLINK("https://www.commcarehq.org/a/demo-18/api/form/attachment/a884c7e2-6588-4e4f-93f2-15580fe77f57/1576824639094.jpg")</f>
        <v>https://www.commcarehq.org/a/demo-18/api/form/attachment/a884c7e2-6588-4e4f-93f2-15580fe77f57/1576824639094.jpg</v>
      </c>
      <c r="M55" t="str">
        <f>HYPERLINK("https://www.commcarehq.org/a/demo-18/api/form/attachment/a884c7e2-6588-4e4f-93f2-15580fe77f57/1576824708929.jpg")</f>
        <v>https://www.commcarehq.org/a/demo-18/api/form/attachment/a884c7e2-6588-4e4f-93f2-15580fe77f57/1576824708929.jpg</v>
      </c>
      <c r="N55" t="str">
        <f>HYPERLINK("https://www.commcarehq.org/a/demo-18/api/form/attachment/a884c7e2-6588-4e4f-93f2-15580fe77f57/1576824718416.jpg")</f>
        <v>https://www.commcarehq.org/a/demo-18/api/form/attachment/a884c7e2-6588-4e4f-93f2-15580fe77f57/1576824718416.jpg</v>
      </c>
      <c r="O55" t="str">
        <f>HYPERLINK("https://www.commcarehq.org/a/demo-18/api/form/attachment/a884c7e2-6588-4e4f-93f2-15580fe77f57/1576824737210.jpg")</f>
        <v>https://www.commcarehq.org/a/demo-18/api/form/attachment/a884c7e2-6588-4e4f-93f2-15580fe77f57/1576824737210.jpg</v>
      </c>
      <c r="P55" t="str">
        <f>HYPERLINK("https://www.commcarehq.org/a/demo-18/api/form/attachment/a884c7e2-6588-4e4f-93f2-15580fe77f57/1576824751561.jpg")</f>
        <v>https://www.commcarehq.org/a/demo-18/api/form/attachment/a884c7e2-6588-4e4f-93f2-15580fe77f57/1576824751561.jpg</v>
      </c>
      <c r="Q55" s="2">
        <v>43819.286493055559</v>
      </c>
      <c r="R55" s="2">
        <v>43819.284282407411</v>
      </c>
      <c r="S55" t="s">
        <v>32</v>
      </c>
      <c r="T55" s="2">
        <v>43819.286712962959</v>
      </c>
      <c r="U55" s="3" t="s">
        <v>893</v>
      </c>
      <c r="V55" t="s">
        <v>894</v>
      </c>
    </row>
    <row r="56" spans="1:22" x14ac:dyDescent="0.45">
      <c r="A56" t="s">
        <v>361</v>
      </c>
      <c r="B56">
        <v>4.4000000000000004</v>
      </c>
      <c r="C56" s="1">
        <v>43848</v>
      </c>
      <c r="D56" s="1">
        <v>43818</v>
      </c>
      <c r="E56" t="s">
        <v>428</v>
      </c>
      <c r="F56" t="s">
        <v>429</v>
      </c>
      <c r="G56" t="s">
        <v>429</v>
      </c>
      <c r="H56" t="s">
        <v>447</v>
      </c>
      <c r="I56" t="s">
        <v>428</v>
      </c>
      <c r="J56" t="s">
        <v>429</v>
      </c>
      <c r="K56" t="str">
        <f>HYPERLINK("https://www.commcarehq.org/a/demo-18/api/form/attachment/69db910a-b6cc-4379-85b4-70d0054e3b2b/1576736981047.jpg")</f>
        <v>https://www.commcarehq.org/a/demo-18/api/form/attachment/69db910a-b6cc-4379-85b4-70d0054e3b2b/1576736981047.jpg</v>
      </c>
      <c r="L56" t="str">
        <f>HYPERLINK("https://www.commcarehq.org/a/demo-18/api/form/attachment/69db910a-b6cc-4379-85b4-70d0054e3b2b/1576737003514.jpg")</f>
        <v>https://www.commcarehq.org/a/demo-18/api/form/attachment/69db910a-b6cc-4379-85b4-70d0054e3b2b/1576737003514.jpg</v>
      </c>
      <c r="M56" t="str">
        <f>HYPERLINK("https://www.commcarehq.org/a/demo-18/api/form/attachment/69db910a-b6cc-4379-85b4-70d0054e3b2b/1576737048970.jpg")</f>
        <v>https://www.commcarehq.org/a/demo-18/api/form/attachment/69db910a-b6cc-4379-85b4-70d0054e3b2b/1576737048970.jpg</v>
      </c>
      <c r="N56" t="str">
        <f>HYPERLINK("https://www.commcarehq.org/a/demo-18/api/form/attachment/69db910a-b6cc-4379-85b4-70d0054e3b2b/1576737058830.jpg")</f>
        <v>https://www.commcarehq.org/a/demo-18/api/form/attachment/69db910a-b6cc-4379-85b4-70d0054e3b2b/1576737058830.jpg</v>
      </c>
      <c r="O56" t="str">
        <f>HYPERLINK("https://www.commcarehq.org/a/demo-18/api/form/attachment/69db910a-b6cc-4379-85b4-70d0054e3b2b/1576737074043.jpg")</f>
        <v>https://www.commcarehq.org/a/demo-18/api/form/attachment/69db910a-b6cc-4379-85b4-70d0054e3b2b/1576737074043.jpg</v>
      </c>
      <c r="P56" t="str">
        <f>HYPERLINK("https://www.commcarehq.org/a/demo-18/api/form/attachment/69db910a-b6cc-4379-85b4-70d0054e3b2b/1576737083702.jpg")</f>
        <v>https://www.commcarehq.org/a/demo-18/api/form/attachment/69db910a-b6cc-4379-85b4-70d0054e3b2b/1576737083702.jpg</v>
      </c>
      <c r="Q56" s="2">
        <v>43818.271817129629</v>
      </c>
      <c r="R56" s="2">
        <v>43818.269293981481</v>
      </c>
      <c r="S56" t="s">
        <v>32</v>
      </c>
      <c r="T56" s="2">
        <v>43818.272002314814</v>
      </c>
      <c r="U56" s="3" t="s">
        <v>856</v>
      </c>
      <c r="V56" t="s">
        <v>857</v>
      </c>
    </row>
    <row r="57" spans="1:22" x14ac:dyDescent="0.45">
      <c r="A57" t="s">
        <v>116</v>
      </c>
      <c r="B57">
        <v>5.0999999999999996</v>
      </c>
      <c r="C57" s="1">
        <v>43842</v>
      </c>
      <c r="D57" s="1">
        <v>43812</v>
      </c>
      <c r="E57" t="s">
        <v>428</v>
      </c>
      <c r="F57" t="s">
        <v>429</v>
      </c>
      <c r="G57" t="s">
        <v>429</v>
      </c>
      <c r="H57" t="s">
        <v>430</v>
      </c>
      <c r="I57" t="s">
        <v>428</v>
      </c>
      <c r="J57" t="s">
        <v>429</v>
      </c>
      <c r="K57" t="str">
        <f>HYPERLINK("https://www.commcarehq.org/a/demo-18/api/form/attachment/dd0144c3-0ed7-4021-9685-558aa34f023e/1576219858526.jpg")</f>
        <v>https://www.commcarehq.org/a/demo-18/api/form/attachment/dd0144c3-0ed7-4021-9685-558aa34f023e/1576219858526.jpg</v>
      </c>
      <c r="L57" t="str">
        <f>HYPERLINK("https://www.commcarehq.org/a/demo-18/api/form/attachment/dd0144c3-0ed7-4021-9685-558aa34f023e/1576219881473.jpg")</f>
        <v>https://www.commcarehq.org/a/demo-18/api/form/attachment/dd0144c3-0ed7-4021-9685-558aa34f023e/1576219881473.jpg</v>
      </c>
      <c r="M57" t="str">
        <f>HYPERLINK("https://www.commcarehq.org/a/demo-18/api/form/attachment/dd0144c3-0ed7-4021-9685-558aa34f023e/1576219978627.jpg")</f>
        <v>https://www.commcarehq.org/a/demo-18/api/form/attachment/dd0144c3-0ed7-4021-9685-558aa34f023e/1576219978627.jpg</v>
      </c>
      <c r="N57" t="str">
        <f>HYPERLINK("https://www.commcarehq.org/a/demo-18/api/form/attachment/dd0144c3-0ed7-4021-9685-558aa34f023e/1576219988952.jpg")</f>
        <v>https://www.commcarehq.org/a/demo-18/api/form/attachment/dd0144c3-0ed7-4021-9685-558aa34f023e/1576219988952.jpg</v>
      </c>
      <c r="O57" t="str">
        <f>HYPERLINK("https://www.commcarehq.org/a/demo-18/api/form/attachment/dd0144c3-0ed7-4021-9685-558aa34f023e/1576220004770.jpg")</f>
        <v>https://www.commcarehq.org/a/demo-18/api/form/attachment/dd0144c3-0ed7-4021-9685-558aa34f023e/1576220004770.jpg</v>
      </c>
      <c r="P57" t="str">
        <f>HYPERLINK("https://www.commcarehq.org/a/demo-18/api/form/attachment/dd0144c3-0ed7-4021-9685-558aa34f023e/1576220013720.jpg")</f>
        <v>https://www.commcarehq.org/a/demo-18/api/form/attachment/dd0144c3-0ed7-4021-9685-558aa34f023e/1576220013720.jpg</v>
      </c>
      <c r="Q57" s="2">
        <v>43812.287210648145</v>
      </c>
      <c r="R57" s="2">
        <v>43812.284861111111</v>
      </c>
      <c r="S57" t="s">
        <v>32</v>
      </c>
      <c r="T57" s="2">
        <v>43812.287418981483</v>
      </c>
      <c r="U57" t="s">
        <v>458</v>
      </c>
      <c r="V57" t="s">
        <v>459</v>
      </c>
    </row>
    <row r="58" spans="1:22" x14ac:dyDescent="0.45">
      <c r="A58" t="s">
        <v>325</v>
      </c>
      <c r="B58">
        <v>4.5</v>
      </c>
      <c r="C58" s="1">
        <v>43840</v>
      </c>
      <c r="D58" s="1">
        <v>43810</v>
      </c>
      <c r="E58" t="s">
        <v>428</v>
      </c>
      <c r="F58" t="s">
        <v>429</v>
      </c>
      <c r="G58" t="s">
        <v>429</v>
      </c>
      <c r="H58" t="s">
        <v>430</v>
      </c>
      <c r="I58" t="s">
        <v>428</v>
      </c>
      <c r="J58" t="s">
        <v>429</v>
      </c>
      <c r="K58" t="str">
        <f>HYPERLINK("https://www.commcarehq.org/a/demo-18/api/form/attachment/24e3f987-bbb2-4cde-9554-ddf512b8b738/1576047214615.jpg")</f>
        <v>https://www.commcarehq.org/a/demo-18/api/form/attachment/24e3f987-bbb2-4cde-9554-ddf512b8b738/1576047214615.jpg</v>
      </c>
      <c r="L58" t="str">
        <f>HYPERLINK("https://www.commcarehq.org/a/demo-18/api/form/attachment/24e3f987-bbb2-4cde-9554-ddf512b8b738/1576047242529.jpg")</f>
        <v>https://www.commcarehq.org/a/demo-18/api/form/attachment/24e3f987-bbb2-4cde-9554-ddf512b8b738/1576047242529.jpg</v>
      </c>
      <c r="M58" t="str">
        <f>HYPERLINK("https://www.commcarehq.org/a/demo-18/api/form/attachment/24e3f987-bbb2-4cde-9554-ddf512b8b738/1576047279687.jpg")</f>
        <v>https://www.commcarehq.org/a/demo-18/api/form/attachment/24e3f987-bbb2-4cde-9554-ddf512b8b738/1576047279687.jpg</v>
      </c>
      <c r="N58" t="str">
        <f>HYPERLINK("https://www.commcarehq.org/a/demo-18/api/form/attachment/24e3f987-bbb2-4cde-9554-ddf512b8b738/1576047288614.jpg")</f>
        <v>https://www.commcarehq.org/a/demo-18/api/form/attachment/24e3f987-bbb2-4cde-9554-ddf512b8b738/1576047288614.jpg</v>
      </c>
      <c r="O58" t="str">
        <f>HYPERLINK("https://www.commcarehq.org/a/demo-18/api/form/attachment/24e3f987-bbb2-4cde-9554-ddf512b8b738/1576047310046.jpg")</f>
        <v>https://www.commcarehq.org/a/demo-18/api/form/attachment/24e3f987-bbb2-4cde-9554-ddf512b8b738/1576047310046.jpg</v>
      </c>
      <c r="P58" t="str">
        <f>HYPERLINK("https://www.commcarehq.org/a/demo-18/api/form/attachment/24e3f987-bbb2-4cde-9554-ddf512b8b738/1576047321421.jpg")</f>
        <v>https://www.commcarehq.org/a/demo-18/api/form/attachment/24e3f987-bbb2-4cde-9554-ddf512b8b738/1576047321421.jpg</v>
      </c>
      <c r="Q58" s="2">
        <v>43810.288460648146</v>
      </c>
      <c r="R58" s="2">
        <v>43810.286469907405</v>
      </c>
      <c r="S58" t="s">
        <v>32</v>
      </c>
      <c r="T58" s="2">
        <v>43810.437314814815</v>
      </c>
      <c r="U58" t="s">
        <v>460</v>
      </c>
      <c r="V58" t="s">
        <v>461</v>
      </c>
    </row>
    <row r="59" spans="1:22" x14ac:dyDescent="0.45">
      <c r="A59" t="s">
        <v>271</v>
      </c>
      <c r="B59">
        <v>5.0999999999999996</v>
      </c>
      <c r="C59" s="1">
        <v>43845</v>
      </c>
      <c r="D59" s="1">
        <v>43815</v>
      </c>
      <c r="E59" t="s">
        <v>428</v>
      </c>
      <c r="F59" t="s">
        <v>429</v>
      </c>
      <c r="G59" t="s">
        <v>429</v>
      </c>
      <c r="H59" t="s">
        <v>430</v>
      </c>
      <c r="I59" t="s">
        <v>428</v>
      </c>
      <c r="J59" t="s">
        <v>429</v>
      </c>
      <c r="K59" t="str">
        <f>HYPERLINK("https://www.commcarehq.org/a/demo-18/api/form/attachment/770670a1-46ae-44a7-a4e0-82256e1415ed/1576481539447.jpg")</f>
        <v>https://www.commcarehq.org/a/demo-18/api/form/attachment/770670a1-46ae-44a7-a4e0-82256e1415ed/1576481539447.jpg</v>
      </c>
      <c r="L59" t="str">
        <f>HYPERLINK("https://www.commcarehq.org/a/demo-18/api/form/attachment/770670a1-46ae-44a7-a4e0-82256e1415ed/1576481560414.jpg")</f>
        <v>https://www.commcarehq.org/a/demo-18/api/form/attachment/770670a1-46ae-44a7-a4e0-82256e1415ed/1576481560414.jpg</v>
      </c>
      <c r="M59" t="str">
        <f>HYPERLINK("https://www.commcarehq.org/a/demo-18/api/form/attachment/770670a1-46ae-44a7-a4e0-82256e1415ed/1576481628968.jpg")</f>
        <v>https://www.commcarehq.org/a/demo-18/api/form/attachment/770670a1-46ae-44a7-a4e0-82256e1415ed/1576481628968.jpg</v>
      </c>
      <c r="N59" t="str">
        <f>HYPERLINK("https://www.commcarehq.org/a/demo-18/api/form/attachment/770670a1-46ae-44a7-a4e0-82256e1415ed/1576481641523.jpg")</f>
        <v>https://www.commcarehq.org/a/demo-18/api/form/attachment/770670a1-46ae-44a7-a4e0-82256e1415ed/1576481641523.jpg</v>
      </c>
      <c r="O59" t="str">
        <f>HYPERLINK("https://www.commcarehq.org/a/demo-18/api/form/attachment/770670a1-46ae-44a7-a4e0-82256e1415ed/1576481658646.jpg")</f>
        <v>https://www.commcarehq.org/a/demo-18/api/form/attachment/770670a1-46ae-44a7-a4e0-82256e1415ed/1576481658646.jpg</v>
      </c>
      <c r="P59" t="str">
        <f>HYPERLINK("https://www.commcarehq.org/a/demo-18/api/form/attachment/770670a1-46ae-44a7-a4e0-82256e1415ed/1576481668787.jpg")</f>
        <v>https://www.commcarehq.org/a/demo-18/api/form/attachment/770670a1-46ae-44a7-a4e0-82256e1415ed/1576481668787.jpg</v>
      </c>
      <c r="Q59" s="2">
        <v>43815.315625000003</v>
      </c>
      <c r="R59" s="2">
        <v>43815.313252314816</v>
      </c>
      <c r="S59" t="s">
        <v>32</v>
      </c>
      <c r="T59" s="2">
        <v>43815.315833333334</v>
      </c>
      <c r="U59" t="s">
        <v>462</v>
      </c>
      <c r="V59" t="s">
        <v>463</v>
      </c>
    </row>
    <row r="60" spans="1:22" x14ac:dyDescent="0.45">
      <c r="A60" t="s">
        <v>349</v>
      </c>
      <c r="B60">
        <v>4.0999999999999996</v>
      </c>
      <c r="C60" s="1">
        <v>43838</v>
      </c>
      <c r="D60" s="1">
        <v>43808</v>
      </c>
      <c r="E60" t="s">
        <v>428</v>
      </c>
      <c r="F60" t="s">
        <v>429</v>
      </c>
      <c r="G60" t="s">
        <v>429</v>
      </c>
      <c r="H60" t="s">
        <v>447</v>
      </c>
      <c r="I60" t="s">
        <v>428</v>
      </c>
      <c r="J60" t="s">
        <v>429</v>
      </c>
      <c r="K60" t="str">
        <f>HYPERLINK("https://www.commcarehq.org/a/demo-18/api/form/attachment/0cc7d9a9-460b-4f29-9705-aadc2480074f/1575878396872.jpg")</f>
        <v>https://www.commcarehq.org/a/demo-18/api/form/attachment/0cc7d9a9-460b-4f29-9705-aadc2480074f/1575878396872.jpg</v>
      </c>
      <c r="L60" t="str">
        <f>HYPERLINK("https://www.commcarehq.org/a/demo-18/api/form/attachment/0cc7d9a9-460b-4f29-9705-aadc2480074f/1575878415676.jpg")</f>
        <v>https://www.commcarehq.org/a/demo-18/api/form/attachment/0cc7d9a9-460b-4f29-9705-aadc2480074f/1575878415676.jpg</v>
      </c>
      <c r="M60" t="str">
        <f>HYPERLINK("https://www.commcarehq.org/a/demo-18/api/form/attachment/0cc7d9a9-460b-4f29-9705-aadc2480074f/1575878456311.jpg")</f>
        <v>https://www.commcarehq.org/a/demo-18/api/form/attachment/0cc7d9a9-460b-4f29-9705-aadc2480074f/1575878456311.jpg</v>
      </c>
      <c r="N60" t="str">
        <f>HYPERLINK("https://www.commcarehq.org/a/demo-18/api/form/attachment/0cc7d9a9-460b-4f29-9705-aadc2480074f/1575878463726.jpg")</f>
        <v>https://www.commcarehq.org/a/demo-18/api/form/attachment/0cc7d9a9-460b-4f29-9705-aadc2480074f/1575878463726.jpg</v>
      </c>
      <c r="O60" t="str">
        <f>HYPERLINK("https://www.commcarehq.org/a/demo-18/api/form/attachment/0cc7d9a9-460b-4f29-9705-aadc2480074f/1575878480426.jpg")</f>
        <v>https://www.commcarehq.org/a/demo-18/api/form/attachment/0cc7d9a9-460b-4f29-9705-aadc2480074f/1575878480426.jpg</v>
      </c>
      <c r="P60" t="str">
        <f>HYPERLINK("https://www.commcarehq.org/a/demo-18/api/form/attachment/0cc7d9a9-460b-4f29-9705-aadc2480074f/1575878492993.jpg")</f>
        <v>https://www.commcarehq.org/a/demo-18/api/form/attachment/0cc7d9a9-460b-4f29-9705-aadc2480074f/1575878492993.jpg</v>
      </c>
      <c r="Q60" s="2">
        <v>43808.334421296298</v>
      </c>
      <c r="R60" s="2">
        <v>43808.332858796297</v>
      </c>
      <c r="S60" t="s">
        <v>32</v>
      </c>
      <c r="T60" s="2">
        <v>43808.420763888891</v>
      </c>
      <c r="U60" s="3" t="s">
        <v>456</v>
      </c>
      <c r="V60" t="s">
        <v>457</v>
      </c>
    </row>
    <row r="61" spans="1:22" x14ac:dyDescent="0.45">
      <c r="A61" t="s">
        <v>217</v>
      </c>
      <c r="B61">
        <v>4.3</v>
      </c>
      <c r="C61" s="1">
        <v>43847</v>
      </c>
      <c r="D61" s="1">
        <v>43817</v>
      </c>
      <c r="E61" t="s">
        <v>428</v>
      </c>
      <c r="F61" t="s">
        <v>429</v>
      </c>
      <c r="G61" t="s">
        <v>429</v>
      </c>
      <c r="H61" t="s">
        <v>430</v>
      </c>
      <c r="I61" t="s">
        <v>428</v>
      </c>
      <c r="J61" t="s">
        <v>429</v>
      </c>
      <c r="K61" t="str">
        <f>HYPERLINK("https://www.commcarehq.org/a/demo-18/api/form/attachment/17935f3e-9b0a-4804-a0de-ebf1a65c1e43/1576650919389.jpg")</f>
        <v>https://www.commcarehq.org/a/demo-18/api/form/attachment/17935f3e-9b0a-4804-a0de-ebf1a65c1e43/1576650919389.jpg</v>
      </c>
      <c r="L61" t="str">
        <f>HYPERLINK("https://www.commcarehq.org/a/demo-18/api/form/attachment/17935f3e-9b0a-4804-a0de-ebf1a65c1e43/1576650937107.jpg")</f>
        <v>https://www.commcarehq.org/a/demo-18/api/form/attachment/17935f3e-9b0a-4804-a0de-ebf1a65c1e43/1576650937107.jpg</v>
      </c>
      <c r="M61" t="str">
        <f>HYPERLINK("https://www.commcarehq.org/a/demo-18/api/form/attachment/17935f3e-9b0a-4804-a0de-ebf1a65c1e43/1576651000218.jpg")</f>
        <v>https://www.commcarehq.org/a/demo-18/api/form/attachment/17935f3e-9b0a-4804-a0de-ebf1a65c1e43/1576651000218.jpg</v>
      </c>
      <c r="N61" t="str">
        <f>HYPERLINK("https://www.commcarehq.org/a/demo-18/api/form/attachment/17935f3e-9b0a-4804-a0de-ebf1a65c1e43/1576651011393.jpg")</f>
        <v>https://www.commcarehq.org/a/demo-18/api/form/attachment/17935f3e-9b0a-4804-a0de-ebf1a65c1e43/1576651011393.jpg</v>
      </c>
      <c r="O61" t="str">
        <f>HYPERLINK("https://www.commcarehq.org/a/demo-18/api/form/attachment/17935f3e-9b0a-4804-a0de-ebf1a65c1e43/1576651044033.jpg")</f>
        <v>https://www.commcarehq.org/a/demo-18/api/form/attachment/17935f3e-9b0a-4804-a0de-ebf1a65c1e43/1576651044033.jpg</v>
      </c>
      <c r="P61" t="str">
        <f>HYPERLINK("https://www.commcarehq.org/a/demo-18/api/form/attachment/17935f3e-9b0a-4804-a0de-ebf1a65c1e43/1576651054068.jpg")</f>
        <v>https://www.commcarehq.org/a/demo-18/api/form/attachment/17935f3e-9b0a-4804-a0de-ebf1a65c1e43/1576651054068.jpg</v>
      </c>
      <c r="Q61" s="2">
        <v>43817.276134259257</v>
      </c>
      <c r="R61" s="2">
        <v>43817.274108796293</v>
      </c>
      <c r="S61" t="s">
        <v>32</v>
      </c>
      <c r="T61" s="2">
        <v>43817.276284722226</v>
      </c>
      <c r="U61" t="s">
        <v>464</v>
      </c>
      <c r="V61" t="s">
        <v>465</v>
      </c>
    </row>
    <row r="62" spans="1:22" x14ac:dyDescent="0.45">
      <c r="A62" t="s">
        <v>41</v>
      </c>
      <c r="B62">
        <v>5.9</v>
      </c>
      <c r="C62" s="1">
        <v>43847</v>
      </c>
      <c r="D62" s="1">
        <v>43817</v>
      </c>
      <c r="E62" t="s">
        <v>428</v>
      </c>
      <c r="F62" t="s">
        <v>429</v>
      </c>
      <c r="G62" t="s">
        <v>429</v>
      </c>
      <c r="H62" t="s">
        <v>430</v>
      </c>
      <c r="I62" t="s">
        <v>428</v>
      </c>
      <c r="J62" t="s">
        <v>429</v>
      </c>
      <c r="K62" t="str">
        <f>HYPERLINK("https://www.commcarehq.org/a/demo-18/api/form/attachment/ec9428c3-9e1d-44e5-ba62-4638dea282e0/1576652569763.jpg")</f>
        <v>https://www.commcarehq.org/a/demo-18/api/form/attachment/ec9428c3-9e1d-44e5-ba62-4638dea282e0/1576652569763.jpg</v>
      </c>
      <c r="L62" t="str">
        <f>HYPERLINK("https://www.commcarehq.org/a/demo-18/api/form/attachment/ec9428c3-9e1d-44e5-ba62-4638dea282e0/1576652606057.jpg")</f>
        <v>https://www.commcarehq.org/a/demo-18/api/form/attachment/ec9428c3-9e1d-44e5-ba62-4638dea282e0/1576652606057.jpg</v>
      </c>
      <c r="M62" t="str">
        <f>HYPERLINK("https://www.commcarehq.org/a/demo-18/api/form/attachment/ec9428c3-9e1d-44e5-ba62-4638dea282e0/1576652641426.jpg")</f>
        <v>https://www.commcarehq.org/a/demo-18/api/form/attachment/ec9428c3-9e1d-44e5-ba62-4638dea282e0/1576652641426.jpg</v>
      </c>
      <c r="N62" t="str">
        <f>HYPERLINK("https://www.commcarehq.org/a/demo-18/api/form/attachment/ec9428c3-9e1d-44e5-ba62-4638dea282e0/1576652652939.jpg")</f>
        <v>https://www.commcarehq.org/a/demo-18/api/form/attachment/ec9428c3-9e1d-44e5-ba62-4638dea282e0/1576652652939.jpg</v>
      </c>
      <c r="O62" t="str">
        <f>HYPERLINK("https://www.commcarehq.org/a/demo-18/api/form/attachment/ec9428c3-9e1d-44e5-ba62-4638dea282e0/1576652674280.jpg")</f>
        <v>https://www.commcarehq.org/a/demo-18/api/form/attachment/ec9428c3-9e1d-44e5-ba62-4638dea282e0/1576652674280.jpg</v>
      </c>
      <c r="P62" t="str">
        <f>HYPERLINK("https://www.commcarehq.org/a/demo-18/api/form/attachment/ec9428c3-9e1d-44e5-ba62-4638dea282e0/1576652684312.jpg")</f>
        <v>https://www.commcarehq.org/a/demo-18/api/form/attachment/ec9428c3-9e1d-44e5-ba62-4638dea282e0/1576652684312.jpg</v>
      </c>
      <c r="Q62" s="2">
        <v>43817.294988425929</v>
      </c>
      <c r="R62" s="2">
        <v>43817.293043981481</v>
      </c>
      <c r="S62" t="s">
        <v>32</v>
      </c>
      <c r="T62" s="2">
        <v>43817.29515046296</v>
      </c>
      <c r="U62" t="s">
        <v>466</v>
      </c>
      <c r="V62" t="s">
        <v>467</v>
      </c>
    </row>
    <row r="63" spans="1:22" x14ac:dyDescent="0.45">
      <c r="A63" t="s">
        <v>235</v>
      </c>
      <c r="B63">
        <v>4.5</v>
      </c>
      <c r="C63" s="1">
        <v>43866</v>
      </c>
      <c r="D63" s="1">
        <v>43836</v>
      </c>
      <c r="E63" t="s">
        <v>428</v>
      </c>
      <c r="F63" t="s">
        <v>429</v>
      </c>
      <c r="G63" t="s">
        <v>429</v>
      </c>
      <c r="H63" t="s">
        <v>430</v>
      </c>
      <c r="I63" t="s">
        <v>428</v>
      </c>
      <c r="J63" t="s">
        <v>429</v>
      </c>
      <c r="K63" t="str">
        <f>HYPERLINK("https://www.commcarehq.org/a/demo-18/api/form/attachment/9e96ba99-3689-4117-8bc3-5d3748d2937a/1578294579579.jpg")</f>
        <v>https://www.commcarehq.org/a/demo-18/api/form/attachment/9e96ba99-3689-4117-8bc3-5d3748d2937a/1578294579579.jpg</v>
      </c>
      <c r="L63" t="str">
        <f>HYPERLINK("https://www.commcarehq.org/a/demo-18/api/form/attachment/9e96ba99-3689-4117-8bc3-5d3748d2937a/1578294596064.jpg")</f>
        <v>https://www.commcarehq.org/a/demo-18/api/form/attachment/9e96ba99-3689-4117-8bc3-5d3748d2937a/1578294596064.jpg</v>
      </c>
      <c r="M63" t="str">
        <f>HYPERLINK("https://www.commcarehq.org/a/demo-18/api/form/attachment/9e96ba99-3689-4117-8bc3-5d3748d2937a/1578294655529.jpg")</f>
        <v>https://www.commcarehq.org/a/demo-18/api/form/attachment/9e96ba99-3689-4117-8bc3-5d3748d2937a/1578294655529.jpg</v>
      </c>
      <c r="N63" t="str">
        <f>HYPERLINK("https://www.commcarehq.org/a/demo-18/api/form/attachment/9e96ba99-3689-4117-8bc3-5d3748d2937a/1578294664306.jpg")</f>
        <v>https://www.commcarehq.org/a/demo-18/api/form/attachment/9e96ba99-3689-4117-8bc3-5d3748d2937a/1578294664306.jpg</v>
      </c>
      <c r="O63" t="str">
        <f>HYPERLINK("https://www.commcarehq.org/a/demo-18/api/form/attachment/9e96ba99-3689-4117-8bc3-5d3748d2937a/1578294676684.jpg")</f>
        <v>https://www.commcarehq.org/a/demo-18/api/form/attachment/9e96ba99-3689-4117-8bc3-5d3748d2937a/1578294676684.jpg</v>
      </c>
      <c r="P63" t="str">
        <f>HYPERLINK("https://www.commcarehq.org/a/demo-18/api/form/attachment/9e96ba99-3689-4117-8bc3-5d3748d2937a/1578294684801.jpg")</f>
        <v>https://www.commcarehq.org/a/demo-18/api/form/attachment/9e96ba99-3689-4117-8bc3-5d3748d2937a/1578294684801.jpg</v>
      </c>
      <c r="Q63" s="2">
        <v>43836.299618055556</v>
      </c>
      <c r="R63" s="2">
        <v>43836.298090277778</v>
      </c>
      <c r="S63" t="s">
        <v>32</v>
      </c>
      <c r="T63" s="2">
        <v>43836.301145833335</v>
      </c>
      <c r="U63" t="s">
        <v>965</v>
      </c>
      <c r="V63" t="s">
        <v>966</v>
      </c>
    </row>
    <row r="64" spans="1:22" x14ac:dyDescent="0.45">
      <c r="A64" t="s">
        <v>385</v>
      </c>
      <c r="B64">
        <v>3.8</v>
      </c>
      <c r="C64" s="1">
        <v>43866</v>
      </c>
      <c r="D64" s="1">
        <v>43836</v>
      </c>
      <c r="E64" t="s">
        <v>428</v>
      </c>
      <c r="F64" t="s">
        <v>429</v>
      </c>
      <c r="G64" t="s">
        <v>429</v>
      </c>
      <c r="H64" t="s">
        <v>430</v>
      </c>
      <c r="I64" t="s">
        <v>428</v>
      </c>
      <c r="J64" t="s">
        <v>429</v>
      </c>
      <c r="K64" t="str">
        <f>HYPERLINK("https://www.commcarehq.org/a/demo-18/api/form/attachment/5eb08599-5816-46bb-a245-9d68f1c09436/1578294952287.jpg")</f>
        <v>https://www.commcarehq.org/a/demo-18/api/form/attachment/5eb08599-5816-46bb-a245-9d68f1c09436/1578294952287.jpg</v>
      </c>
      <c r="L64" t="str">
        <f>HYPERLINK("https://www.commcarehq.org/a/demo-18/api/form/attachment/5eb08599-5816-46bb-a245-9d68f1c09436/1578294965938.jpg")</f>
        <v>https://www.commcarehq.org/a/demo-18/api/form/attachment/5eb08599-5816-46bb-a245-9d68f1c09436/1578294965938.jpg</v>
      </c>
      <c r="M64" t="str">
        <f>HYPERLINK("https://www.commcarehq.org/a/demo-18/api/form/attachment/5eb08599-5816-46bb-a245-9d68f1c09436/1578295030457.jpg")</f>
        <v>https://www.commcarehq.org/a/demo-18/api/form/attachment/5eb08599-5816-46bb-a245-9d68f1c09436/1578295030457.jpg</v>
      </c>
      <c r="N64" t="str">
        <f>HYPERLINK("https://www.commcarehq.org/a/demo-18/api/form/attachment/5eb08599-5816-46bb-a245-9d68f1c09436/1578295040481.jpg")</f>
        <v>https://www.commcarehq.org/a/demo-18/api/form/attachment/5eb08599-5816-46bb-a245-9d68f1c09436/1578295040481.jpg</v>
      </c>
      <c r="O64" t="str">
        <f>HYPERLINK("https://www.commcarehq.org/a/demo-18/api/form/attachment/5eb08599-5816-46bb-a245-9d68f1c09436/1578295055928.jpg")</f>
        <v>https://www.commcarehq.org/a/demo-18/api/form/attachment/5eb08599-5816-46bb-a245-9d68f1c09436/1578295055928.jpg</v>
      </c>
      <c r="P64" t="str">
        <f>HYPERLINK("https://www.commcarehq.org/a/demo-18/api/form/attachment/5eb08599-5816-46bb-a245-9d68f1c09436/1578295065808.jpg")</f>
        <v>https://www.commcarehq.org/a/demo-18/api/form/attachment/5eb08599-5816-46bb-a245-9d68f1c09436/1578295065808.jpg</v>
      </c>
      <c r="Q64" s="2">
        <v>43836.304016203707</v>
      </c>
      <c r="R64" s="2">
        <v>43836.302025462966</v>
      </c>
      <c r="S64" t="s">
        <v>32</v>
      </c>
      <c r="T64" s="2">
        <v>43836.313692129632</v>
      </c>
      <c r="U64" t="s">
        <v>967</v>
      </c>
      <c r="V64" t="s">
        <v>968</v>
      </c>
    </row>
    <row r="65" spans="1:22" x14ac:dyDescent="0.45">
      <c r="A65" t="s">
        <v>244</v>
      </c>
      <c r="B65">
        <v>5.3</v>
      </c>
      <c r="C65" s="1">
        <v>43880</v>
      </c>
      <c r="D65" s="1">
        <v>43850</v>
      </c>
      <c r="E65" t="s">
        <v>428</v>
      </c>
      <c r="F65" t="s">
        <v>429</v>
      </c>
      <c r="G65" t="s">
        <v>429</v>
      </c>
      <c r="H65" t="s">
        <v>447</v>
      </c>
      <c r="I65" t="s">
        <v>428</v>
      </c>
      <c r="J65" t="s">
        <v>429</v>
      </c>
      <c r="K65" t="str">
        <f>HYPERLINK("https://www.commcarehq.org/a/demo-18/api/form/attachment/e239816e-b860-4f20-9bc1-7d7edecf7979/1579508223923.jpg")</f>
        <v>https://www.commcarehq.org/a/demo-18/api/form/attachment/e239816e-b860-4f20-9bc1-7d7edecf7979/1579508223923.jpg</v>
      </c>
      <c r="L65" t="str">
        <f>HYPERLINK("https://www.commcarehq.org/a/demo-18/api/form/attachment/e239816e-b860-4f20-9bc1-7d7edecf7979/1579508237663.jpg")</f>
        <v>https://www.commcarehq.org/a/demo-18/api/form/attachment/e239816e-b860-4f20-9bc1-7d7edecf7979/1579508237663.jpg</v>
      </c>
      <c r="M65" t="str">
        <f>HYPERLINK("https://www.commcarehq.org/a/demo-18/api/form/attachment/e239816e-b860-4f20-9bc1-7d7edecf7979/1579508283272.jpg")</f>
        <v>https://www.commcarehq.org/a/demo-18/api/form/attachment/e239816e-b860-4f20-9bc1-7d7edecf7979/1579508283272.jpg</v>
      </c>
      <c r="N65" t="str">
        <f>HYPERLINK("https://www.commcarehq.org/a/demo-18/api/form/attachment/e239816e-b860-4f20-9bc1-7d7edecf7979/1579508293169.jpg")</f>
        <v>https://www.commcarehq.org/a/demo-18/api/form/attachment/e239816e-b860-4f20-9bc1-7d7edecf7979/1579508293169.jpg</v>
      </c>
      <c r="O65" t="str">
        <f>HYPERLINK("https://www.commcarehq.org/a/demo-18/api/form/attachment/e239816e-b860-4f20-9bc1-7d7edecf7979/1579508321237.jpg")</f>
        <v>https://www.commcarehq.org/a/demo-18/api/form/attachment/e239816e-b860-4f20-9bc1-7d7edecf7979/1579508321237.jpg</v>
      </c>
      <c r="P65" t="str">
        <f>HYPERLINK("https://www.commcarehq.org/a/demo-18/api/form/attachment/e239816e-b860-4f20-9bc1-7d7edecf7979/1579508330655.jpg")</f>
        <v>https://www.commcarehq.org/a/demo-18/api/form/attachment/e239816e-b860-4f20-9bc1-7d7edecf7979/1579508330655.jpg</v>
      </c>
      <c r="Q65" s="2">
        <v>43850.346435185187</v>
      </c>
      <c r="R65" s="2">
        <v>43850.344884259262</v>
      </c>
      <c r="S65" t="s">
        <v>32</v>
      </c>
      <c r="T65" s="2">
        <v>43850.346666666665</v>
      </c>
      <c r="U65" t="s">
        <v>1096</v>
      </c>
      <c r="V65" t="s">
        <v>1097</v>
      </c>
    </row>
    <row r="66" spans="1:22" x14ac:dyDescent="0.45">
      <c r="A66" t="s">
        <v>319</v>
      </c>
      <c r="B66">
        <v>5.6</v>
      </c>
      <c r="C66" s="1">
        <v>43877</v>
      </c>
      <c r="D66" s="1">
        <v>43847</v>
      </c>
      <c r="E66" t="s">
        <v>428</v>
      </c>
      <c r="F66" t="s">
        <v>429</v>
      </c>
      <c r="G66" t="s">
        <v>429</v>
      </c>
      <c r="H66" t="s">
        <v>430</v>
      </c>
      <c r="I66" t="s">
        <v>428</v>
      </c>
      <c r="J66" t="s">
        <v>429</v>
      </c>
      <c r="K66" t="str">
        <f>HYPERLINK("https://www.commcarehq.org/a/demo-18/api/form/attachment/67dcff4c-7a19-4324-a826-930e8611fa24/1579244242128.jpg")</f>
        <v>https://www.commcarehq.org/a/demo-18/api/form/attachment/67dcff4c-7a19-4324-a826-930e8611fa24/1579244242128.jpg</v>
      </c>
      <c r="L66" t="str">
        <f>HYPERLINK("https://www.commcarehq.org/a/demo-18/api/form/attachment/67dcff4c-7a19-4324-a826-930e8611fa24/1579244259468.jpg")</f>
        <v>https://www.commcarehq.org/a/demo-18/api/form/attachment/67dcff4c-7a19-4324-a826-930e8611fa24/1579244259468.jpg</v>
      </c>
      <c r="M66" t="str">
        <f>HYPERLINK("https://www.commcarehq.org/a/demo-18/api/form/attachment/67dcff4c-7a19-4324-a826-930e8611fa24/1579244315492.jpg")</f>
        <v>https://www.commcarehq.org/a/demo-18/api/form/attachment/67dcff4c-7a19-4324-a826-930e8611fa24/1579244315492.jpg</v>
      </c>
      <c r="N66" t="str">
        <f>HYPERLINK("https://www.commcarehq.org/a/demo-18/api/form/attachment/67dcff4c-7a19-4324-a826-930e8611fa24/1579244326243.jpg")</f>
        <v>https://www.commcarehq.org/a/demo-18/api/form/attachment/67dcff4c-7a19-4324-a826-930e8611fa24/1579244326243.jpg</v>
      </c>
      <c r="O66" t="str">
        <f>HYPERLINK("https://www.commcarehq.org/a/demo-18/api/form/attachment/67dcff4c-7a19-4324-a826-930e8611fa24/1579244344162.jpg")</f>
        <v>https://www.commcarehq.org/a/demo-18/api/form/attachment/67dcff4c-7a19-4324-a826-930e8611fa24/1579244344162.jpg</v>
      </c>
      <c r="P66" t="str">
        <f>HYPERLINK("https://www.commcarehq.org/a/demo-18/api/form/attachment/67dcff4c-7a19-4324-a826-930e8611fa24/1579244354382.jpg")</f>
        <v>https://www.commcarehq.org/a/demo-18/api/form/attachment/67dcff4c-7a19-4324-a826-930e8611fa24/1579244354382.jpg</v>
      </c>
      <c r="Q66" s="2">
        <v>43847.29115740741</v>
      </c>
      <c r="R66" s="2">
        <v>43847.289513888885</v>
      </c>
      <c r="S66" t="s">
        <v>32</v>
      </c>
      <c r="T66" s="2">
        <v>43847.291388888887</v>
      </c>
      <c r="U66" t="s">
        <v>1094</v>
      </c>
      <c r="V66" t="s">
        <v>1095</v>
      </c>
    </row>
    <row r="67" spans="1:22" x14ac:dyDescent="0.45">
      <c r="A67" t="s">
        <v>229</v>
      </c>
      <c r="B67">
        <v>4.5</v>
      </c>
      <c r="C67" s="1">
        <v>43873</v>
      </c>
      <c r="D67" s="1">
        <v>43843</v>
      </c>
      <c r="E67" t="s">
        <v>428</v>
      </c>
      <c r="F67" t="s">
        <v>429</v>
      </c>
      <c r="G67" t="s">
        <v>429</v>
      </c>
      <c r="H67" t="s">
        <v>430</v>
      </c>
      <c r="I67" t="s">
        <v>428</v>
      </c>
      <c r="J67" t="s">
        <v>429</v>
      </c>
      <c r="K67" t="str">
        <f>HYPERLINK("https://www.commcarehq.org/a/demo-18/api/form/attachment/d4f80154-fcaa-4092-8943-fe228978c34f/1578896329922.jpg")</f>
        <v>https://www.commcarehq.org/a/demo-18/api/form/attachment/d4f80154-fcaa-4092-8943-fe228978c34f/1578896329922.jpg</v>
      </c>
      <c r="L67" t="str">
        <f>HYPERLINK("https://www.commcarehq.org/a/demo-18/api/form/attachment/d4f80154-fcaa-4092-8943-fe228978c34f/1578896351219.jpg")</f>
        <v>https://www.commcarehq.org/a/demo-18/api/form/attachment/d4f80154-fcaa-4092-8943-fe228978c34f/1578896351219.jpg</v>
      </c>
      <c r="M67" t="str">
        <f>HYPERLINK("https://www.commcarehq.org/a/demo-18/api/form/attachment/d4f80154-fcaa-4092-8943-fe228978c34f/1578896417587.jpg")</f>
        <v>https://www.commcarehq.org/a/demo-18/api/form/attachment/d4f80154-fcaa-4092-8943-fe228978c34f/1578896417587.jpg</v>
      </c>
      <c r="N67" t="str">
        <f>HYPERLINK("https://www.commcarehq.org/a/demo-18/api/form/attachment/d4f80154-fcaa-4092-8943-fe228978c34f/1578896429551.jpg")</f>
        <v>https://www.commcarehq.org/a/demo-18/api/form/attachment/d4f80154-fcaa-4092-8943-fe228978c34f/1578896429551.jpg</v>
      </c>
      <c r="O67" t="str">
        <f>HYPERLINK("https://www.commcarehq.org/a/demo-18/api/form/attachment/d4f80154-fcaa-4092-8943-fe228978c34f/1578896452626.jpg")</f>
        <v>https://www.commcarehq.org/a/demo-18/api/form/attachment/d4f80154-fcaa-4092-8943-fe228978c34f/1578896452626.jpg</v>
      </c>
      <c r="P67" t="str">
        <f>HYPERLINK("https://www.commcarehq.org/a/demo-18/api/form/attachment/d4f80154-fcaa-4092-8943-fe228978c34f/1578896463254.jpg")</f>
        <v>https://www.commcarehq.org/a/demo-18/api/form/attachment/d4f80154-fcaa-4092-8943-fe228978c34f/1578896463254.jpg</v>
      </c>
      <c r="Q67" s="2">
        <v>43843.264641203707</v>
      </c>
      <c r="R67" s="2">
        <v>43843.262627314813</v>
      </c>
      <c r="S67" t="s">
        <v>32</v>
      </c>
      <c r="T67" s="2">
        <v>43843.264814814815</v>
      </c>
      <c r="U67" t="s">
        <v>1027</v>
      </c>
      <c r="V67" t="s">
        <v>1028</v>
      </c>
    </row>
    <row r="68" spans="1:22" x14ac:dyDescent="0.45">
      <c r="A68" t="s">
        <v>241</v>
      </c>
      <c r="B68">
        <v>6</v>
      </c>
      <c r="C68" s="1">
        <v>43875</v>
      </c>
      <c r="D68" s="1">
        <v>43845</v>
      </c>
      <c r="E68" t="s">
        <v>428</v>
      </c>
      <c r="F68" t="s">
        <v>429</v>
      </c>
      <c r="G68" t="s">
        <v>429</v>
      </c>
      <c r="H68" t="s">
        <v>447</v>
      </c>
      <c r="I68" t="s">
        <v>428</v>
      </c>
      <c r="J68" t="s">
        <v>429</v>
      </c>
      <c r="K68" t="str">
        <f>HYPERLINK("https://www.commcarehq.org/a/demo-18/api/form/attachment/4eccec81-f11c-4116-ae8a-d2b3165a372b/1579069060178.jpg")</f>
        <v>https://www.commcarehq.org/a/demo-18/api/form/attachment/4eccec81-f11c-4116-ae8a-d2b3165a372b/1579069060178.jpg</v>
      </c>
      <c r="L68" t="str">
        <f>HYPERLINK("https://www.commcarehq.org/a/demo-18/api/form/attachment/4eccec81-f11c-4116-ae8a-d2b3165a372b/1579069086170.jpg")</f>
        <v>https://www.commcarehq.org/a/demo-18/api/form/attachment/4eccec81-f11c-4116-ae8a-d2b3165a372b/1579069086170.jpg</v>
      </c>
      <c r="M68" t="str">
        <f>HYPERLINK("https://www.commcarehq.org/a/demo-18/api/form/attachment/4eccec81-f11c-4116-ae8a-d2b3165a372b/1579069136781.jpg")</f>
        <v>https://www.commcarehq.org/a/demo-18/api/form/attachment/4eccec81-f11c-4116-ae8a-d2b3165a372b/1579069136781.jpg</v>
      </c>
      <c r="N68" t="str">
        <f>HYPERLINK("https://www.commcarehq.org/a/demo-18/api/form/attachment/4eccec81-f11c-4116-ae8a-d2b3165a372b/1579069146597.jpg")</f>
        <v>https://www.commcarehq.org/a/demo-18/api/form/attachment/4eccec81-f11c-4116-ae8a-d2b3165a372b/1579069146597.jpg</v>
      </c>
      <c r="O68" t="str">
        <f>HYPERLINK("https://www.commcarehq.org/a/demo-18/api/form/attachment/4eccec81-f11c-4116-ae8a-d2b3165a372b/1579069167443.jpg")</f>
        <v>https://www.commcarehq.org/a/demo-18/api/form/attachment/4eccec81-f11c-4116-ae8a-d2b3165a372b/1579069167443.jpg</v>
      </c>
      <c r="P68" t="str">
        <f>HYPERLINK("https://www.commcarehq.org/a/demo-18/api/form/attachment/4eccec81-f11c-4116-ae8a-d2b3165a372b/1579069179200.jpg")</f>
        <v>https://www.commcarehq.org/a/demo-18/api/form/attachment/4eccec81-f11c-4116-ae8a-d2b3165a372b/1579069179200.jpg</v>
      </c>
      <c r="Q68" s="2">
        <v>43845.263668981483</v>
      </c>
      <c r="R68" s="2">
        <v>43845.261631944442</v>
      </c>
      <c r="S68" t="s">
        <v>32</v>
      </c>
      <c r="T68" s="2">
        <v>43845.263888888891</v>
      </c>
      <c r="U68" t="s">
        <v>1039</v>
      </c>
      <c r="V68" t="s">
        <v>1040</v>
      </c>
    </row>
    <row r="69" spans="1:22" x14ac:dyDescent="0.45">
      <c r="A69" t="s">
        <v>28</v>
      </c>
      <c r="B69">
        <v>3.5</v>
      </c>
      <c r="C69" s="1">
        <v>43835</v>
      </c>
      <c r="D69" s="1">
        <v>43805</v>
      </c>
      <c r="E69" t="s">
        <v>428</v>
      </c>
      <c r="F69" t="s">
        <v>429</v>
      </c>
      <c r="G69" t="s">
        <v>429</v>
      </c>
      <c r="H69" t="s">
        <v>484</v>
      </c>
      <c r="I69" t="s">
        <v>428</v>
      </c>
      <c r="J69" t="s">
        <v>429</v>
      </c>
      <c r="K69" t="str">
        <f>HYPERLINK("https://www.commcarehq.org/a/demo-18/api/form/attachment/8259fd78-26ce-42f8-9922-e043cd3d56f5/1575620716901.jpg")</f>
        <v>https://www.commcarehq.org/a/demo-18/api/form/attachment/8259fd78-26ce-42f8-9922-e043cd3d56f5/1575620716901.jpg</v>
      </c>
      <c r="L69" t="str">
        <f>HYPERLINK("https://www.commcarehq.org/a/demo-18/api/form/attachment/8259fd78-26ce-42f8-9922-e043cd3d56f5/1575620731913.jpg")</f>
        <v>https://www.commcarehq.org/a/demo-18/api/form/attachment/8259fd78-26ce-42f8-9922-e043cd3d56f5/1575620731913.jpg</v>
      </c>
      <c r="M69" t="str">
        <f>HYPERLINK("https://www.commcarehq.org/a/demo-18/api/form/attachment/8259fd78-26ce-42f8-9922-e043cd3d56f5/1575620774899.jpg")</f>
        <v>https://www.commcarehq.org/a/demo-18/api/form/attachment/8259fd78-26ce-42f8-9922-e043cd3d56f5/1575620774899.jpg</v>
      </c>
      <c r="N69" t="str">
        <f>HYPERLINK("https://www.commcarehq.org/a/demo-18/api/form/attachment/8259fd78-26ce-42f8-9922-e043cd3d56f5/1575620783143.jpg")</f>
        <v>https://www.commcarehq.org/a/demo-18/api/form/attachment/8259fd78-26ce-42f8-9922-e043cd3d56f5/1575620783143.jpg</v>
      </c>
      <c r="O69" t="str">
        <f>HYPERLINK("https://www.commcarehq.org/a/demo-18/api/form/attachment/8259fd78-26ce-42f8-9922-e043cd3d56f5/1575620800157.jpg")</f>
        <v>https://www.commcarehq.org/a/demo-18/api/form/attachment/8259fd78-26ce-42f8-9922-e043cd3d56f5/1575620800157.jpg</v>
      </c>
      <c r="P69" t="str">
        <f>HYPERLINK("https://www.commcarehq.org/a/demo-18/api/form/attachment/8259fd78-26ce-42f8-9922-e043cd3d56f5/1575620809955.jpg")</f>
        <v>https://www.commcarehq.org/a/demo-18/api/form/attachment/8259fd78-26ce-42f8-9922-e043cd3d56f5/1575620809955.jpg</v>
      </c>
      <c r="Q69" s="2">
        <v>43805.351979166669</v>
      </c>
      <c r="R69" s="2">
        <v>43805.349710648145</v>
      </c>
      <c r="S69" t="s">
        <v>32</v>
      </c>
      <c r="T69" s="2">
        <v>43805.352199074077</v>
      </c>
      <c r="U69" s="3" t="s">
        <v>485</v>
      </c>
      <c r="V69" t="s">
        <v>486</v>
      </c>
    </row>
    <row r="70" spans="1:22" x14ac:dyDescent="0.45">
      <c r="A70" t="s">
        <v>220</v>
      </c>
      <c r="B70">
        <v>5.6</v>
      </c>
      <c r="C70" s="1">
        <v>43838</v>
      </c>
      <c r="D70" s="1">
        <v>43808</v>
      </c>
      <c r="E70" t="s">
        <v>428</v>
      </c>
      <c r="F70" t="s">
        <v>429</v>
      </c>
      <c r="G70" t="s">
        <v>429</v>
      </c>
      <c r="H70" t="s">
        <v>430</v>
      </c>
      <c r="I70" t="s">
        <v>428</v>
      </c>
      <c r="J70" t="s">
        <v>429</v>
      </c>
      <c r="K70" t="str">
        <f>HYPERLINK("https://www.commcarehq.org/a/demo-18/api/form/attachment/e42e0e0f-ab31-4d37-a0c3-cbfdf4e941d6/1575875903707.jpg")</f>
        <v>https://www.commcarehq.org/a/demo-18/api/form/attachment/e42e0e0f-ab31-4d37-a0c3-cbfdf4e941d6/1575875903707.jpg</v>
      </c>
      <c r="L70" t="str">
        <f>HYPERLINK("https://www.commcarehq.org/a/demo-18/api/form/attachment/e42e0e0f-ab31-4d37-a0c3-cbfdf4e941d6/1575875920288.jpg")</f>
        <v>https://www.commcarehq.org/a/demo-18/api/form/attachment/e42e0e0f-ab31-4d37-a0c3-cbfdf4e941d6/1575875920288.jpg</v>
      </c>
      <c r="M70" t="str">
        <f>HYPERLINK("https://www.commcarehq.org/a/demo-18/api/form/attachment/e42e0e0f-ab31-4d37-a0c3-cbfdf4e941d6/1575875977043.jpg")</f>
        <v>https://www.commcarehq.org/a/demo-18/api/form/attachment/e42e0e0f-ab31-4d37-a0c3-cbfdf4e941d6/1575875977043.jpg</v>
      </c>
      <c r="N70" t="str">
        <f>HYPERLINK("https://www.commcarehq.org/a/demo-18/api/form/attachment/e42e0e0f-ab31-4d37-a0c3-cbfdf4e941d6/1575875986241.jpg")</f>
        <v>https://www.commcarehq.org/a/demo-18/api/form/attachment/e42e0e0f-ab31-4d37-a0c3-cbfdf4e941d6/1575875986241.jpg</v>
      </c>
      <c r="O70" t="str">
        <f>HYPERLINK("https://www.commcarehq.org/a/demo-18/api/form/attachment/e42e0e0f-ab31-4d37-a0c3-cbfdf4e941d6/1575876005030.jpg")</f>
        <v>https://www.commcarehq.org/a/demo-18/api/form/attachment/e42e0e0f-ab31-4d37-a0c3-cbfdf4e941d6/1575876005030.jpg</v>
      </c>
      <c r="P70" t="str">
        <f>HYPERLINK("https://www.commcarehq.org/a/demo-18/api/form/attachment/e42e0e0f-ab31-4d37-a0c3-cbfdf4e941d6/1575876013526.jpg")</f>
        <v>https://www.commcarehq.org/a/demo-18/api/form/attachment/e42e0e0f-ab31-4d37-a0c3-cbfdf4e941d6/1575876013526.jpg</v>
      </c>
      <c r="Q70" s="2">
        <v>43808.30572916667</v>
      </c>
      <c r="R70" s="2">
        <v>43808.303819444445</v>
      </c>
      <c r="S70" t="s">
        <v>32</v>
      </c>
      <c r="T70" s="2">
        <v>43808.419340277775</v>
      </c>
      <c r="U70" t="s">
        <v>487</v>
      </c>
      <c r="V70" t="s">
        <v>488</v>
      </c>
    </row>
    <row r="71" spans="1:22" x14ac:dyDescent="0.45">
      <c r="A71" t="s">
        <v>352</v>
      </c>
      <c r="B71">
        <v>5.8</v>
      </c>
      <c r="C71" s="1">
        <v>43838</v>
      </c>
      <c r="D71" s="1">
        <v>43808</v>
      </c>
      <c r="E71" t="s">
        <v>428</v>
      </c>
      <c r="F71" t="s">
        <v>429</v>
      </c>
      <c r="G71" t="s">
        <v>429</v>
      </c>
      <c r="H71" t="s">
        <v>430</v>
      </c>
      <c r="I71" t="s">
        <v>428</v>
      </c>
      <c r="J71" t="s">
        <v>429</v>
      </c>
      <c r="K71" t="str">
        <f>HYPERLINK("https://www.commcarehq.org/a/demo-18/api/form/attachment/c63b38b1-d082-482c-84a6-e5e5ceea136b/1575877761536.jpg")</f>
        <v>https://www.commcarehq.org/a/demo-18/api/form/attachment/c63b38b1-d082-482c-84a6-e5e5ceea136b/1575877761536.jpg</v>
      </c>
      <c r="L71" t="str">
        <f>HYPERLINK("https://www.commcarehq.org/a/demo-18/api/form/attachment/c63b38b1-d082-482c-84a6-e5e5ceea136b/1575877779841.jpg")</f>
        <v>https://www.commcarehq.org/a/demo-18/api/form/attachment/c63b38b1-d082-482c-84a6-e5e5ceea136b/1575877779841.jpg</v>
      </c>
      <c r="M71" t="str">
        <f>HYPERLINK("https://www.commcarehq.org/a/demo-18/api/form/attachment/c63b38b1-d082-482c-84a6-e5e5ceea136b/1575877823619.jpg")</f>
        <v>https://www.commcarehq.org/a/demo-18/api/form/attachment/c63b38b1-d082-482c-84a6-e5e5ceea136b/1575877823619.jpg</v>
      </c>
      <c r="N71" t="str">
        <f>HYPERLINK("https://www.commcarehq.org/a/demo-18/api/form/attachment/c63b38b1-d082-482c-84a6-e5e5ceea136b/1575877833172.jpg")</f>
        <v>https://www.commcarehq.org/a/demo-18/api/form/attachment/c63b38b1-d082-482c-84a6-e5e5ceea136b/1575877833172.jpg</v>
      </c>
      <c r="O71" t="str">
        <f>HYPERLINK("https://www.commcarehq.org/a/demo-18/api/form/attachment/c63b38b1-d082-482c-84a6-e5e5ceea136b/1575877851787.jpg")</f>
        <v>https://www.commcarehq.org/a/demo-18/api/form/attachment/c63b38b1-d082-482c-84a6-e5e5ceea136b/1575877851787.jpg</v>
      </c>
      <c r="P71" t="str">
        <f>HYPERLINK("https://www.commcarehq.org/a/demo-18/api/form/attachment/c63b38b1-d082-482c-84a6-e5e5ceea136b/1575877859291.jpg")</f>
        <v>https://www.commcarehq.org/a/demo-18/api/form/attachment/c63b38b1-d082-482c-84a6-e5e5ceea136b/1575877859291.jpg</v>
      </c>
      <c r="Q71" s="2">
        <v>43808.327094907407</v>
      </c>
      <c r="R71" s="2">
        <v>43808.32545138889</v>
      </c>
      <c r="S71" t="s">
        <v>32</v>
      </c>
      <c r="T71" s="2">
        <v>43808.420254629629</v>
      </c>
      <c r="U71" t="s">
        <v>489</v>
      </c>
      <c r="V71" t="s">
        <v>490</v>
      </c>
    </row>
    <row r="72" spans="1:22" x14ac:dyDescent="0.45">
      <c r="A72" t="s">
        <v>107</v>
      </c>
      <c r="B72">
        <v>4.5999999999999996</v>
      </c>
      <c r="C72" s="1">
        <v>43838</v>
      </c>
      <c r="D72" s="1">
        <v>43808</v>
      </c>
      <c r="E72" t="s">
        <v>428</v>
      </c>
      <c r="F72" t="s">
        <v>429</v>
      </c>
      <c r="G72" t="s">
        <v>429</v>
      </c>
      <c r="H72" t="s">
        <v>430</v>
      </c>
      <c r="I72" t="s">
        <v>428</v>
      </c>
      <c r="J72" t="s">
        <v>429</v>
      </c>
      <c r="K72" t="str">
        <f>HYPERLINK("https://www.commcarehq.org/a/demo-18/api/form/attachment/21129fce-8487-4045-a396-4927905285b7/1575882958800.jpg")</f>
        <v>https://www.commcarehq.org/a/demo-18/api/form/attachment/21129fce-8487-4045-a396-4927905285b7/1575882958800.jpg</v>
      </c>
      <c r="L72" t="str">
        <f>HYPERLINK("https://www.commcarehq.org/a/demo-18/api/form/attachment/21129fce-8487-4045-a396-4927905285b7/1575882972618.jpg")</f>
        <v>https://www.commcarehq.org/a/demo-18/api/form/attachment/21129fce-8487-4045-a396-4927905285b7/1575882972618.jpg</v>
      </c>
      <c r="M72" t="str">
        <f>HYPERLINK("https://www.commcarehq.org/a/demo-18/api/form/attachment/21129fce-8487-4045-a396-4927905285b7/1575883043019.jpg")</f>
        <v>https://www.commcarehq.org/a/demo-18/api/form/attachment/21129fce-8487-4045-a396-4927905285b7/1575883043019.jpg</v>
      </c>
      <c r="N72" t="str">
        <f>HYPERLINK("https://www.commcarehq.org/a/demo-18/api/form/attachment/21129fce-8487-4045-a396-4927905285b7/1575883051670.jpg")</f>
        <v>https://www.commcarehq.org/a/demo-18/api/form/attachment/21129fce-8487-4045-a396-4927905285b7/1575883051670.jpg</v>
      </c>
      <c r="O72" t="str">
        <f>HYPERLINK("https://www.commcarehq.org/a/demo-18/api/form/attachment/21129fce-8487-4045-a396-4927905285b7/1575883069118.jpg")</f>
        <v>https://www.commcarehq.org/a/demo-18/api/form/attachment/21129fce-8487-4045-a396-4927905285b7/1575883069118.jpg</v>
      </c>
      <c r="P72" t="str">
        <f>HYPERLINK("https://www.commcarehq.org/a/demo-18/api/form/attachment/21129fce-8487-4045-a396-4927905285b7/1575883079516.jpg")</f>
        <v>https://www.commcarehq.org/a/demo-18/api/form/attachment/21129fce-8487-4045-a396-4927905285b7/1575883079516.jpg</v>
      </c>
      <c r="Q72" s="2">
        <v>43808.387511574074</v>
      </c>
      <c r="R72" s="2">
        <v>43808.385625000003</v>
      </c>
      <c r="S72" t="s">
        <v>32</v>
      </c>
      <c r="T72" s="2">
        <v>43808.422858796293</v>
      </c>
      <c r="U72" t="s">
        <v>491</v>
      </c>
      <c r="V72" t="s">
        <v>492</v>
      </c>
    </row>
    <row r="73" spans="1:22" x14ac:dyDescent="0.45">
      <c r="A73" t="s">
        <v>119</v>
      </c>
      <c r="B73">
        <v>3.4</v>
      </c>
      <c r="C73" s="1">
        <v>43842</v>
      </c>
      <c r="D73" s="1">
        <v>43812</v>
      </c>
      <c r="E73" t="s">
        <v>428</v>
      </c>
      <c r="F73" t="s">
        <v>429</v>
      </c>
      <c r="G73" t="s">
        <v>429</v>
      </c>
      <c r="H73" t="s">
        <v>468</v>
      </c>
      <c r="I73" t="s">
        <v>428</v>
      </c>
      <c r="J73" t="s">
        <v>429</v>
      </c>
      <c r="K73" t="str">
        <f>HYPERLINK("https://www.commcarehq.org/a/demo-18/api/form/attachment/d46d605c-535d-418e-a1b4-71d9bc265780/1576228976981.jpg")</f>
        <v>https://www.commcarehq.org/a/demo-18/api/form/attachment/d46d605c-535d-418e-a1b4-71d9bc265780/1576228976981.jpg</v>
      </c>
      <c r="L73" t="str">
        <f>HYPERLINK("https://www.commcarehq.org/a/demo-18/api/form/attachment/d46d605c-535d-418e-a1b4-71d9bc265780/1576229002435.jpg")</f>
        <v>https://www.commcarehq.org/a/demo-18/api/form/attachment/d46d605c-535d-418e-a1b4-71d9bc265780/1576229002435.jpg</v>
      </c>
      <c r="M73" t="str">
        <f>HYPERLINK("https://www.commcarehq.org/a/demo-18/api/form/attachment/d46d605c-535d-418e-a1b4-71d9bc265780/1576229066068.jpg")</f>
        <v>https://www.commcarehq.org/a/demo-18/api/form/attachment/d46d605c-535d-418e-a1b4-71d9bc265780/1576229066068.jpg</v>
      </c>
      <c r="N73" t="str">
        <f>HYPERLINK("https://www.commcarehq.org/a/demo-18/api/form/attachment/d46d605c-535d-418e-a1b4-71d9bc265780/1576229074841.jpg")</f>
        <v>https://www.commcarehq.org/a/demo-18/api/form/attachment/d46d605c-535d-418e-a1b4-71d9bc265780/1576229074841.jpg</v>
      </c>
      <c r="O73" t="str">
        <f>HYPERLINK("https://www.commcarehq.org/a/demo-18/api/form/attachment/d46d605c-535d-418e-a1b4-71d9bc265780/1576229094761.jpg")</f>
        <v>https://www.commcarehq.org/a/demo-18/api/form/attachment/d46d605c-535d-418e-a1b4-71d9bc265780/1576229094761.jpg</v>
      </c>
      <c r="P73" t="str">
        <f>HYPERLINK("https://www.commcarehq.org/a/demo-18/api/form/attachment/d46d605c-535d-418e-a1b4-71d9bc265780/1576229104457.jpg")</f>
        <v>https://www.commcarehq.org/a/demo-18/api/form/attachment/d46d605c-535d-418e-a1b4-71d9bc265780/1576229104457.jpg</v>
      </c>
      <c r="Q73" s="2">
        <v>43812.392442129632</v>
      </c>
      <c r="R73" s="2">
        <v>43812.390138888892</v>
      </c>
      <c r="S73" t="s">
        <v>32</v>
      </c>
      <c r="T73" s="2">
        <v>43812.392627314817</v>
      </c>
      <c r="U73" t="s">
        <v>469</v>
      </c>
      <c r="V73" t="s">
        <v>470</v>
      </c>
    </row>
    <row r="74" spans="1:22" x14ac:dyDescent="0.45">
      <c r="A74" t="s">
        <v>334</v>
      </c>
      <c r="B74">
        <v>3.7</v>
      </c>
      <c r="C74" s="1">
        <v>43840</v>
      </c>
      <c r="D74" s="1">
        <v>43810</v>
      </c>
      <c r="E74" t="s">
        <v>428</v>
      </c>
      <c r="F74" t="s">
        <v>429</v>
      </c>
      <c r="G74" t="s">
        <v>429</v>
      </c>
      <c r="H74" t="s">
        <v>430</v>
      </c>
      <c r="I74" t="s">
        <v>428</v>
      </c>
      <c r="J74" t="s">
        <v>429</v>
      </c>
      <c r="K74" t="str">
        <f>HYPERLINK("https://www.commcarehq.org/a/demo-18/api/form/attachment/6536fe47-efa4-44b7-aa4e-6b45b02df841/1576055513637.jpg")</f>
        <v>https://www.commcarehq.org/a/demo-18/api/form/attachment/6536fe47-efa4-44b7-aa4e-6b45b02df841/1576055513637.jpg</v>
      </c>
      <c r="L74" t="str">
        <f>HYPERLINK("https://www.commcarehq.org/a/demo-18/api/form/attachment/6536fe47-efa4-44b7-aa4e-6b45b02df841/1576055535454.jpg")</f>
        <v>https://www.commcarehq.org/a/demo-18/api/form/attachment/6536fe47-efa4-44b7-aa4e-6b45b02df841/1576055535454.jpg</v>
      </c>
      <c r="M74" t="str">
        <f>HYPERLINK("https://www.commcarehq.org/a/demo-18/api/form/attachment/6536fe47-efa4-44b7-aa4e-6b45b02df841/1576055582809.jpg")</f>
        <v>https://www.commcarehq.org/a/demo-18/api/form/attachment/6536fe47-efa4-44b7-aa4e-6b45b02df841/1576055582809.jpg</v>
      </c>
      <c r="N74" t="str">
        <f>HYPERLINK("https://www.commcarehq.org/a/demo-18/api/form/attachment/6536fe47-efa4-44b7-aa4e-6b45b02df841/1576055593974.jpg")</f>
        <v>https://www.commcarehq.org/a/demo-18/api/form/attachment/6536fe47-efa4-44b7-aa4e-6b45b02df841/1576055593974.jpg</v>
      </c>
      <c r="O74" t="str">
        <f>HYPERLINK("https://www.commcarehq.org/a/demo-18/api/form/attachment/6536fe47-efa4-44b7-aa4e-6b45b02df841/1576055609491.jpg")</f>
        <v>https://www.commcarehq.org/a/demo-18/api/form/attachment/6536fe47-efa4-44b7-aa4e-6b45b02df841/1576055609491.jpg</v>
      </c>
      <c r="P74" t="str">
        <f>HYPERLINK("https://www.commcarehq.org/a/demo-18/api/form/attachment/6536fe47-efa4-44b7-aa4e-6b45b02df841/1576055626536.jpg")</f>
        <v>https://www.commcarehq.org/a/demo-18/api/form/attachment/6536fe47-efa4-44b7-aa4e-6b45b02df841/1576055626536.jpg</v>
      </c>
      <c r="Q74" s="2">
        <v>43810.384583333333</v>
      </c>
      <c r="R74" s="2">
        <v>43810.382060185184</v>
      </c>
      <c r="S74" t="s">
        <v>32</v>
      </c>
      <c r="T74" s="2">
        <v>43810.441886574074</v>
      </c>
      <c r="U74" t="s">
        <v>471</v>
      </c>
      <c r="V74" t="s">
        <v>472</v>
      </c>
    </row>
    <row r="75" spans="1:22" x14ac:dyDescent="0.45">
      <c r="A75" t="s">
        <v>113</v>
      </c>
      <c r="B75">
        <v>6.4</v>
      </c>
      <c r="C75" s="1">
        <v>43840</v>
      </c>
      <c r="D75" s="1">
        <v>43810</v>
      </c>
      <c r="E75" t="s">
        <v>428</v>
      </c>
      <c r="F75" t="s">
        <v>429</v>
      </c>
      <c r="G75" t="s">
        <v>429</v>
      </c>
      <c r="H75" t="s">
        <v>430</v>
      </c>
      <c r="I75" t="s">
        <v>428</v>
      </c>
      <c r="J75" t="s">
        <v>429</v>
      </c>
      <c r="K75" t="str">
        <f>HYPERLINK("https://www.commcarehq.org/a/demo-18/api/form/attachment/2e0b0a9f-4c07-4a15-87f0-f2fbbf523c64/1576046277286.jpg")</f>
        <v>https://www.commcarehq.org/a/demo-18/api/form/attachment/2e0b0a9f-4c07-4a15-87f0-f2fbbf523c64/1576046277286.jpg</v>
      </c>
      <c r="L75" t="str">
        <f>HYPERLINK("https://www.commcarehq.org/a/demo-18/api/form/attachment/2e0b0a9f-4c07-4a15-87f0-f2fbbf523c64/1576046297893.jpg")</f>
        <v>https://www.commcarehq.org/a/demo-18/api/form/attachment/2e0b0a9f-4c07-4a15-87f0-f2fbbf523c64/1576046297893.jpg</v>
      </c>
      <c r="M75" t="str">
        <f>HYPERLINK("https://www.commcarehq.org/a/demo-18/api/form/attachment/2e0b0a9f-4c07-4a15-87f0-f2fbbf523c64/1576046340843.jpg")</f>
        <v>https://www.commcarehq.org/a/demo-18/api/form/attachment/2e0b0a9f-4c07-4a15-87f0-f2fbbf523c64/1576046340843.jpg</v>
      </c>
      <c r="N75" t="str">
        <f>HYPERLINK("https://www.commcarehq.org/a/demo-18/api/form/attachment/2e0b0a9f-4c07-4a15-87f0-f2fbbf523c64/1576046349869.jpg")</f>
        <v>https://www.commcarehq.org/a/demo-18/api/form/attachment/2e0b0a9f-4c07-4a15-87f0-f2fbbf523c64/1576046349869.jpg</v>
      </c>
      <c r="O75" t="str">
        <f>HYPERLINK("https://www.commcarehq.org/a/demo-18/api/form/attachment/2e0b0a9f-4c07-4a15-87f0-f2fbbf523c64/1576046372287.jpg")</f>
        <v>https://www.commcarehq.org/a/demo-18/api/form/attachment/2e0b0a9f-4c07-4a15-87f0-f2fbbf523c64/1576046372287.jpg</v>
      </c>
      <c r="P75" t="str">
        <f>HYPERLINK("https://www.commcarehq.org/a/demo-18/api/form/attachment/2e0b0a9f-4c07-4a15-87f0-f2fbbf523c64/1576046383658.jpg")</f>
        <v>https://www.commcarehq.org/a/demo-18/api/form/attachment/2e0b0a9f-4c07-4a15-87f0-f2fbbf523c64/1576046383658.jpg</v>
      </c>
      <c r="Q75" s="2">
        <v>43810.277604166666</v>
      </c>
      <c r="R75" s="2">
        <v>43810.274224537039</v>
      </c>
      <c r="S75" t="s">
        <v>32</v>
      </c>
      <c r="T75" s="2">
        <v>43810.43650462963</v>
      </c>
      <c r="U75" t="s">
        <v>473</v>
      </c>
      <c r="V75" t="s">
        <v>474</v>
      </c>
    </row>
    <row r="76" spans="1:22" x14ac:dyDescent="0.45">
      <c r="A76" t="s">
        <v>328</v>
      </c>
      <c r="B76">
        <v>3.8</v>
      </c>
      <c r="C76" s="1">
        <v>43840</v>
      </c>
      <c r="D76" s="1">
        <v>43810</v>
      </c>
      <c r="E76" t="s">
        <v>428</v>
      </c>
      <c r="F76" t="s">
        <v>429</v>
      </c>
      <c r="G76" t="s">
        <v>429</v>
      </c>
      <c r="H76" t="s">
        <v>430</v>
      </c>
      <c r="I76" t="s">
        <v>428</v>
      </c>
      <c r="J76" t="s">
        <v>429</v>
      </c>
      <c r="K76" t="str">
        <f>HYPERLINK("https://www.commcarehq.org/a/demo-18/api/form/attachment/59c0eef4-158a-4dc8-91a6-90f7e892f234/1576056235266.jpg")</f>
        <v>https://www.commcarehq.org/a/demo-18/api/form/attachment/59c0eef4-158a-4dc8-91a6-90f7e892f234/1576056235266.jpg</v>
      </c>
      <c r="L76" t="str">
        <f>HYPERLINK("https://www.commcarehq.org/a/demo-18/api/form/attachment/59c0eef4-158a-4dc8-91a6-90f7e892f234/1576056256760.jpg")</f>
        <v>https://www.commcarehq.org/a/demo-18/api/form/attachment/59c0eef4-158a-4dc8-91a6-90f7e892f234/1576056256760.jpg</v>
      </c>
      <c r="M76" t="str">
        <f>HYPERLINK("https://www.commcarehq.org/a/demo-18/api/form/attachment/59c0eef4-158a-4dc8-91a6-90f7e892f234/1576056360920.jpg")</f>
        <v>https://www.commcarehq.org/a/demo-18/api/form/attachment/59c0eef4-158a-4dc8-91a6-90f7e892f234/1576056360920.jpg</v>
      </c>
      <c r="N76" t="str">
        <f>HYPERLINK("https://www.commcarehq.org/a/demo-18/api/form/attachment/59c0eef4-158a-4dc8-91a6-90f7e892f234/1576056371789.jpg")</f>
        <v>https://www.commcarehq.org/a/demo-18/api/form/attachment/59c0eef4-158a-4dc8-91a6-90f7e892f234/1576056371789.jpg</v>
      </c>
      <c r="O76" t="str">
        <f>HYPERLINK("https://www.commcarehq.org/a/demo-18/api/form/attachment/59c0eef4-158a-4dc8-91a6-90f7e892f234/1576056392841.jpg")</f>
        <v>https://www.commcarehq.org/a/demo-18/api/form/attachment/59c0eef4-158a-4dc8-91a6-90f7e892f234/1576056392841.jpg</v>
      </c>
      <c r="P76" t="str">
        <f>HYPERLINK("https://www.commcarehq.org/a/demo-18/api/form/attachment/59c0eef4-158a-4dc8-91a6-90f7e892f234/1576056403822.jpg")</f>
        <v>https://www.commcarehq.org/a/demo-18/api/form/attachment/59c0eef4-158a-4dc8-91a6-90f7e892f234/1576056403822.jpg</v>
      </c>
      <c r="Q76" s="2">
        <v>43810.393576388888</v>
      </c>
      <c r="R76" s="2">
        <v>43810.390972222223</v>
      </c>
      <c r="S76" t="s">
        <v>32</v>
      </c>
      <c r="T76" s="2">
        <v>43810.442395833335</v>
      </c>
      <c r="U76" t="s">
        <v>475</v>
      </c>
      <c r="V76" t="s">
        <v>476</v>
      </c>
    </row>
    <row r="77" spans="1:22" x14ac:dyDescent="0.45">
      <c r="A77" t="s">
        <v>337</v>
      </c>
      <c r="B77">
        <v>5.3</v>
      </c>
      <c r="C77" s="1">
        <v>43842</v>
      </c>
      <c r="D77" s="1">
        <v>43812</v>
      </c>
      <c r="E77" t="s">
        <v>428</v>
      </c>
      <c r="F77" t="s">
        <v>429</v>
      </c>
      <c r="G77" t="s">
        <v>429</v>
      </c>
      <c r="H77" t="s">
        <v>430</v>
      </c>
      <c r="I77" t="s">
        <v>428</v>
      </c>
      <c r="J77" t="s">
        <v>429</v>
      </c>
      <c r="K77" t="str">
        <f>HYPERLINK("https://www.commcarehq.org/a/demo-18/api/form/attachment/f1ec24c2-9e87-4fcd-ab17-23375c19f812/1576219177104.jpg")</f>
        <v>https://www.commcarehq.org/a/demo-18/api/form/attachment/f1ec24c2-9e87-4fcd-ab17-23375c19f812/1576219177104.jpg</v>
      </c>
      <c r="L77" t="str">
        <f>HYPERLINK("https://www.commcarehq.org/a/demo-18/api/form/attachment/f1ec24c2-9e87-4fcd-ab17-23375c19f812/1576219199021.jpg")</f>
        <v>https://www.commcarehq.org/a/demo-18/api/form/attachment/f1ec24c2-9e87-4fcd-ab17-23375c19f812/1576219199021.jpg</v>
      </c>
      <c r="M77" t="str">
        <f>HYPERLINK("https://www.commcarehq.org/a/demo-18/api/form/attachment/f1ec24c2-9e87-4fcd-ab17-23375c19f812/1576219276689.jpg")</f>
        <v>https://www.commcarehq.org/a/demo-18/api/form/attachment/f1ec24c2-9e87-4fcd-ab17-23375c19f812/1576219276689.jpg</v>
      </c>
      <c r="N77" t="str">
        <f>HYPERLINK("https://www.commcarehq.org/a/demo-18/api/form/attachment/f1ec24c2-9e87-4fcd-ab17-23375c19f812/1576219285057.jpg")</f>
        <v>https://www.commcarehq.org/a/demo-18/api/form/attachment/f1ec24c2-9e87-4fcd-ab17-23375c19f812/1576219285057.jpg</v>
      </c>
      <c r="O77" t="str">
        <f>HYPERLINK("https://www.commcarehq.org/a/demo-18/api/form/attachment/f1ec24c2-9e87-4fcd-ab17-23375c19f812/1576219317549.jpg")</f>
        <v>https://www.commcarehq.org/a/demo-18/api/form/attachment/f1ec24c2-9e87-4fcd-ab17-23375c19f812/1576219317549.jpg</v>
      </c>
      <c r="P77" t="str">
        <f>HYPERLINK("https://www.commcarehq.org/a/demo-18/api/form/attachment/f1ec24c2-9e87-4fcd-ab17-23375c19f812/1576219327723.jpg")</f>
        <v>https://www.commcarehq.org/a/demo-18/api/form/attachment/f1ec24c2-9e87-4fcd-ab17-23375c19f812/1576219327723.jpg</v>
      </c>
      <c r="Q77" s="2">
        <v>43812.279270833336</v>
      </c>
      <c r="R77" s="2">
        <v>43812.276863425926</v>
      </c>
      <c r="S77" t="s">
        <v>32</v>
      </c>
      <c r="T77" s="2">
        <v>43812.279456018521</v>
      </c>
      <c r="U77" t="s">
        <v>477</v>
      </c>
      <c r="V77" t="s">
        <v>478</v>
      </c>
    </row>
    <row r="78" spans="1:22" x14ac:dyDescent="0.45">
      <c r="A78" t="s">
        <v>110</v>
      </c>
      <c r="B78">
        <v>5.5</v>
      </c>
      <c r="C78" s="1">
        <v>43845</v>
      </c>
      <c r="D78" s="1">
        <v>43815</v>
      </c>
      <c r="E78" t="s">
        <v>428</v>
      </c>
      <c r="F78" t="s">
        <v>429</v>
      </c>
      <c r="G78" t="s">
        <v>429</v>
      </c>
      <c r="H78" t="s">
        <v>430</v>
      </c>
      <c r="I78" t="s">
        <v>428</v>
      </c>
      <c r="J78" t="s">
        <v>429</v>
      </c>
      <c r="K78" t="str">
        <f>HYPERLINK("https://www.commcarehq.org/a/demo-18/api/form/attachment/d84ade1a-2356-4d76-93d8-517c197887d6/1576482239854.jpg")</f>
        <v>https://www.commcarehq.org/a/demo-18/api/form/attachment/d84ade1a-2356-4d76-93d8-517c197887d6/1576482239854.jpg</v>
      </c>
      <c r="L78" t="str">
        <f>HYPERLINK("https://www.commcarehq.org/a/demo-18/api/form/attachment/d84ade1a-2356-4d76-93d8-517c197887d6/1576482257703.jpg")</f>
        <v>https://www.commcarehq.org/a/demo-18/api/form/attachment/d84ade1a-2356-4d76-93d8-517c197887d6/1576482257703.jpg</v>
      </c>
      <c r="M78" t="str">
        <f>HYPERLINK("https://www.commcarehq.org/a/demo-18/api/form/attachment/d84ade1a-2356-4d76-93d8-517c197887d6/1576482307066.jpg")</f>
        <v>https://www.commcarehq.org/a/demo-18/api/form/attachment/d84ade1a-2356-4d76-93d8-517c197887d6/1576482307066.jpg</v>
      </c>
      <c r="N78" t="str">
        <f>HYPERLINK("https://www.commcarehq.org/a/demo-18/api/form/attachment/d84ade1a-2356-4d76-93d8-517c197887d6/1576482317254.jpg")</f>
        <v>https://www.commcarehq.org/a/demo-18/api/form/attachment/d84ade1a-2356-4d76-93d8-517c197887d6/1576482317254.jpg</v>
      </c>
      <c r="O78" t="str">
        <f>HYPERLINK("https://www.commcarehq.org/a/demo-18/api/form/attachment/d84ade1a-2356-4d76-93d8-517c197887d6/1576482338571.jpg")</f>
        <v>https://www.commcarehq.org/a/demo-18/api/form/attachment/d84ade1a-2356-4d76-93d8-517c197887d6/1576482338571.jpg</v>
      </c>
      <c r="P78" t="str">
        <f>HYPERLINK("https://www.commcarehq.org/a/demo-18/api/form/attachment/d84ade1a-2356-4d76-93d8-517c197887d6/1576482354772.jpg")</f>
        <v>https://www.commcarehq.org/a/demo-18/api/form/attachment/d84ade1a-2356-4d76-93d8-517c197887d6/1576482354772.jpg</v>
      </c>
      <c r="Q78" s="2">
        <v>43815.323564814818</v>
      </c>
      <c r="R78" s="2">
        <v>43815.321793981479</v>
      </c>
      <c r="S78" t="s">
        <v>32</v>
      </c>
      <c r="T78" s="2">
        <v>43815.323784722219</v>
      </c>
      <c r="U78" s="3" t="s">
        <v>479</v>
      </c>
      <c r="V78" t="s">
        <v>480</v>
      </c>
    </row>
    <row r="79" spans="1:22" x14ac:dyDescent="0.45">
      <c r="A79" t="s">
        <v>184</v>
      </c>
      <c r="B79">
        <v>5.6</v>
      </c>
      <c r="C79" s="1">
        <v>43852</v>
      </c>
      <c r="D79" s="1">
        <v>43822</v>
      </c>
      <c r="E79" t="s">
        <v>428</v>
      </c>
      <c r="F79" t="s">
        <v>429</v>
      </c>
      <c r="G79" t="s">
        <v>429</v>
      </c>
      <c r="H79" t="s">
        <v>430</v>
      </c>
      <c r="I79" t="s">
        <v>428</v>
      </c>
      <c r="J79" t="s">
        <v>429</v>
      </c>
      <c r="K79" t="str">
        <f>HYPERLINK("https://www.commcarehq.org/a/demo-18/api/form/attachment/d880aaee-2fb0-4b52-ae45-f3e380f76b7f/1577084677955.jpg")</f>
        <v>https://www.commcarehq.org/a/demo-18/api/form/attachment/d880aaee-2fb0-4b52-ae45-f3e380f76b7f/1577084677955.jpg</v>
      </c>
      <c r="L79" t="str">
        <f>HYPERLINK("https://www.commcarehq.org/a/demo-18/api/form/attachment/d880aaee-2fb0-4b52-ae45-f3e380f76b7f/1577084694867.jpg")</f>
        <v>https://www.commcarehq.org/a/demo-18/api/form/attachment/d880aaee-2fb0-4b52-ae45-f3e380f76b7f/1577084694867.jpg</v>
      </c>
      <c r="M79" t="str">
        <f>HYPERLINK("https://www.commcarehq.org/a/demo-18/api/form/attachment/d880aaee-2fb0-4b52-ae45-f3e380f76b7f/1577084768535.jpg")</f>
        <v>https://www.commcarehq.org/a/demo-18/api/form/attachment/d880aaee-2fb0-4b52-ae45-f3e380f76b7f/1577084768535.jpg</v>
      </c>
      <c r="N79" t="str">
        <f>HYPERLINK("https://www.commcarehq.org/a/demo-18/api/form/attachment/d880aaee-2fb0-4b52-ae45-f3e380f76b7f/1577084778524.jpg")</f>
        <v>https://www.commcarehq.org/a/demo-18/api/form/attachment/d880aaee-2fb0-4b52-ae45-f3e380f76b7f/1577084778524.jpg</v>
      </c>
      <c r="O79" t="str">
        <f>HYPERLINK("https://www.commcarehq.org/a/demo-18/api/form/attachment/d880aaee-2fb0-4b52-ae45-f3e380f76b7f/1577084808023.jpg")</f>
        <v>https://www.commcarehq.org/a/demo-18/api/form/attachment/d880aaee-2fb0-4b52-ae45-f3e380f76b7f/1577084808023.jpg</v>
      </c>
      <c r="P79" t="str">
        <f>HYPERLINK("https://www.commcarehq.org/a/demo-18/api/form/attachment/d880aaee-2fb0-4b52-ae45-f3e380f76b7f/1577084819003.jpg")</f>
        <v>https://www.commcarehq.org/a/demo-18/api/form/attachment/d880aaee-2fb0-4b52-ae45-f3e380f76b7f/1577084819003.jpg</v>
      </c>
      <c r="Q79" s="2">
        <v>43822.296539351853</v>
      </c>
      <c r="R79" s="2">
        <v>43822.294363425928</v>
      </c>
      <c r="S79" t="s">
        <v>32</v>
      </c>
      <c r="T79" s="2">
        <v>43822.296736111108</v>
      </c>
      <c r="U79" s="3" t="s">
        <v>907</v>
      </c>
      <c r="V79" t="s">
        <v>908</v>
      </c>
    </row>
    <row r="80" spans="1:22" x14ac:dyDescent="0.45">
      <c r="A80" t="s">
        <v>340</v>
      </c>
      <c r="B80">
        <v>5.6</v>
      </c>
      <c r="C80" s="1">
        <v>43852</v>
      </c>
      <c r="D80" s="1">
        <v>43822</v>
      </c>
      <c r="E80" t="s">
        <v>428</v>
      </c>
      <c r="F80" t="s">
        <v>429</v>
      </c>
      <c r="G80" t="s">
        <v>429</v>
      </c>
      <c r="H80" t="s">
        <v>430</v>
      </c>
      <c r="I80" t="s">
        <v>428</v>
      </c>
      <c r="J80" t="s">
        <v>429</v>
      </c>
      <c r="K80" t="str">
        <f>HYPERLINK("https://www.commcarehq.org/a/demo-18/api/form/attachment/cd0da201-b2e2-4831-bc5b-3d6520098b77/1577083147555.jpg")</f>
        <v>https://www.commcarehq.org/a/demo-18/api/form/attachment/cd0da201-b2e2-4831-bc5b-3d6520098b77/1577083147555.jpg</v>
      </c>
      <c r="L80" t="str">
        <f>HYPERLINK("https://www.commcarehq.org/a/demo-18/api/form/attachment/cd0da201-b2e2-4831-bc5b-3d6520098b77/1577083167674.jpg")</f>
        <v>https://www.commcarehq.org/a/demo-18/api/form/attachment/cd0da201-b2e2-4831-bc5b-3d6520098b77/1577083167674.jpg</v>
      </c>
      <c r="M80" t="str">
        <f>HYPERLINK("https://www.commcarehq.org/a/demo-18/api/form/attachment/cd0da201-b2e2-4831-bc5b-3d6520098b77/1577083218284.jpg")</f>
        <v>https://www.commcarehq.org/a/demo-18/api/form/attachment/cd0da201-b2e2-4831-bc5b-3d6520098b77/1577083218284.jpg</v>
      </c>
      <c r="N80" t="str">
        <f>HYPERLINK("https://www.commcarehq.org/a/demo-18/api/form/attachment/cd0da201-b2e2-4831-bc5b-3d6520098b77/1577083229126.jpg")</f>
        <v>https://www.commcarehq.org/a/demo-18/api/form/attachment/cd0da201-b2e2-4831-bc5b-3d6520098b77/1577083229126.jpg</v>
      </c>
      <c r="O80" t="str">
        <f>HYPERLINK("https://www.commcarehq.org/a/demo-18/api/form/attachment/cd0da201-b2e2-4831-bc5b-3d6520098b77/1577083246020.jpg")</f>
        <v>https://www.commcarehq.org/a/demo-18/api/form/attachment/cd0da201-b2e2-4831-bc5b-3d6520098b77/1577083246020.jpg</v>
      </c>
      <c r="P80" t="str">
        <f>HYPERLINK("https://www.commcarehq.org/a/demo-18/api/form/attachment/cd0da201-b2e2-4831-bc5b-3d6520098b77/1577083255678.jpg")</f>
        <v>https://www.commcarehq.org/a/demo-18/api/form/attachment/cd0da201-b2e2-4831-bc5b-3d6520098b77/1577083255678.jpg</v>
      </c>
      <c r="Q80" s="2">
        <v>43822.278437499997</v>
      </c>
      <c r="R80" s="2">
        <v>43822.276747685188</v>
      </c>
      <c r="S80" t="s">
        <v>32</v>
      </c>
      <c r="T80" s="2">
        <v>43822.278634259259</v>
      </c>
      <c r="U80" t="s">
        <v>909</v>
      </c>
      <c r="V80" t="s">
        <v>910</v>
      </c>
    </row>
    <row r="81" spans="1:22" x14ac:dyDescent="0.45">
      <c r="A81" t="s">
        <v>364</v>
      </c>
      <c r="B81">
        <v>4.9000000000000004</v>
      </c>
      <c r="C81" s="1">
        <v>43855</v>
      </c>
      <c r="D81" s="1">
        <v>43825</v>
      </c>
      <c r="E81" t="s">
        <v>428</v>
      </c>
      <c r="F81" t="s">
        <v>429</v>
      </c>
      <c r="G81" t="s">
        <v>429</v>
      </c>
      <c r="H81" t="s">
        <v>430</v>
      </c>
      <c r="I81" t="s">
        <v>428</v>
      </c>
      <c r="J81" t="s">
        <v>429</v>
      </c>
      <c r="K81" t="str">
        <f>HYPERLINK("https://www.commcarehq.org/a/demo-18/api/form/attachment/df1a03cb-c9fc-4b4e-8085-09045f924f32/1577341648119.jpg")</f>
        <v>https://www.commcarehq.org/a/demo-18/api/form/attachment/df1a03cb-c9fc-4b4e-8085-09045f924f32/1577341648119.jpg</v>
      </c>
      <c r="L81" t="str">
        <f>HYPERLINK("https://www.commcarehq.org/a/demo-18/api/form/attachment/df1a03cb-c9fc-4b4e-8085-09045f924f32/1577341661443.jpg")</f>
        <v>https://www.commcarehq.org/a/demo-18/api/form/attachment/df1a03cb-c9fc-4b4e-8085-09045f924f32/1577341661443.jpg</v>
      </c>
      <c r="M81" t="str">
        <f>HYPERLINK("https://www.commcarehq.org/a/demo-18/api/form/attachment/df1a03cb-c9fc-4b4e-8085-09045f924f32/1577341698718.jpg")</f>
        <v>https://www.commcarehq.org/a/demo-18/api/form/attachment/df1a03cb-c9fc-4b4e-8085-09045f924f32/1577341698718.jpg</v>
      </c>
      <c r="N81" t="str">
        <f>HYPERLINK("https://www.commcarehq.org/a/demo-18/api/form/attachment/df1a03cb-c9fc-4b4e-8085-09045f924f32/1577341709176.jpg")</f>
        <v>https://www.commcarehq.org/a/demo-18/api/form/attachment/df1a03cb-c9fc-4b4e-8085-09045f924f32/1577341709176.jpg</v>
      </c>
      <c r="O81" t="str">
        <f>HYPERLINK("https://www.commcarehq.org/a/demo-18/api/form/attachment/df1a03cb-c9fc-4b4e-8085-09045f924f32/1577341731824.jpg")</f>
        <v>https://www.commcarehq.org/a/demo-18/api/form/attachment/df1a03cb-c9fc-4b4e-8085-09045f924f32/1577341731824.jpg</v>
      </c>
      <c r="P81" t="str">
        <f>HYPERLINK("https://www.commcarehq.org/a/demo-18/api/form/attachment/df1a03cb-c9fc-4b4e-8085-09045f924f32/1577341752558.jpg")</f>
        <v>https://www.commcarehq.org/a/demo-18/api/form/attachment/df1a03cb-c9fc-4b4e-8085-09045f924f32/1577341752558.jpg</v>
      </c>
      <c r="Q81" s="2">
        <v>43825.270312499997</v>
      </c>
      <c r="R81" s="2">
        <v>43825.268460648149</v>
      </c>
      <c r="S81" t="s">
        <v>32</v>
      </c>
      <c r="T81" s="2">
        <v>43825.285358796296</v>
      </c>
      <c r="U81" t="s">
        <v>911</v>
      </c>
      <c r="V81" t="s">
        <v>912</v>
      </c>
    </row>
    <row r="82" spans="1:22" x14ac:dyDescent="0.45">
      <c r="A82" t="s">
        <v>481</v>
      </c>
      <c r="B82">
        <v>3.8</v>
      </c>
      <c r="C82" s="1">
        <v>43827</v>
      </c>
      <c r="D82" s="1">
        <v>43797</v>
      </c>
      <c r="E82" t="s">
        <v>428</v>
      </c>
      <c r="F82" t="s">
        <v>429</v>
      </c>
      <c r="G82" t="s">
        <v>429</v>
      </c>
      <c r="H82" t="s">
        <v>430</v>
      </c>
      <c r="I82" t="s">
        <v>428</v>
      </c>
      <c r="J82" t="s">
        <v>429</v>
      </c>
      <c r="K82" t="str">
        <f>HYPERLINK("https://www.commcarehq.org/a/demo-18/api/form/attachment/9d8208a6-54b9-444f-8eb7-59fa2e470c8b/1574930640426.jpg")</f>
        <v>https://www.commcarehq.org/a/demo-18/api/form/attachment/9d8208a6-54b9-444f-8eb7-59fa2e470c8b/1574930640426.jpg</v>
      </c>
      <c r="L82" t="str">
        <f>HYPERLINK("https://www.commcarehq.org/a/demo-18/api/form/attachment/9d8208a6-54b9-444f-8eb7-59fa2e470c8b/1574930652972.jpg")</f>
        <v>https://www.commcarehq.org/a/demo-18/api/form/attachment/9d8208a6-54b9-444f-8eb7-59fa2e470c8b/1574930652972.jpg</v>
      </c>
      <c r="M82" t="str">
        <f>HYPERLINK("https://www.commcarehq.org/a/demo-18/api/form/attachment/9d8208a6-54b9-444f-8eb7-59fa2e470c8b/1574930691138.jpg")</f>
        <v>https://www.commcarehq.org/a/demo-18/api/form/attachment/9d8208a6-54b9-444f-8eb7-59fa2e470c8b/1574930691138.jpg</v>
      </c>
      <c r="N82" t="str">
        <f>HYPERLINK("https://www.commcarehq.org/a/demo-18/api/form/attachment/9d8208a6-54b9-444f-8eb7-59fa2e470c8b/1574930702007.jpg")</f>
        <v>https://www.commcarehq.org/a/demo-18/api/form/attachment/9d8208a6-54b9-444f-8eb7-59fa2e470c8b/1574930702007.jpg</v>
      </c>
      <c r="O82" t="str">
        <f>HYPERLINK("https://www.commcarehq.org/a/demo-18/api/form/attachment/9d8208a6-54b9-444f-8eb7-59fa2e470c8b/1574930729706.jpg")</f>
        <v>https://www.commcarehq.org/a/demo-18/api/form/attachment/9d8208a6-54b9-444f-8eb7-59fa2e470c8b/1574930729706.jpg</v>
      </c>
      <c r="P82" t="str">
        <f>HYPERLINK("https://www.commcarehq.org/a/demo-18/api/form/attachment/9d8208a6-54b9-444f-8eb7-59fa2e470c8b/1574930740158.jpg")</f>
        <v>https://www.commcarehq.org/a/demo-18/api/form/attachment/9d8208a6-54b9-444f-8eb7-59fa2e470c8b/1574930740158.jpg</v>
      </c>
      <c r="Q82" s="2">
        <v>43797.365057870367</v>
      </c>
      <c r="R82" s="2">
        <v>43797.363391203704</v>
      </c>
      <c r="S82" t="s">
        <v>32</v>
      </c>
      <c r="T82" s="2">
        <v>43797.365277777775</v>
      </c>
      <c r="U82" t="s">
        <v>482</v>
      </c>
      <c r="V82" t="s">
        <v>483</v>
      </c>
    </row>
    <row r="83" spans="1:22" x14ac:dyDescent="0.45">
      <c r="A83" t="s">
        <v>256</v>
      </c>
      <c r="B83">
        <v>5.4</v>
      </c>
      <c r="C83" s="1">
        <v>43882</v>
      </c>
      <c r="D83" s="1">
        <v>43852</v>
      </c>
      <c r="E83" t="s">
        <v>428</v>
      </c>
      <c r="F83" t="s">
        <v>429</v>
      </c>
      <c r="G83" t="s">
        <v>429</v>
      </c>
      <c r="H83" t="s">
        <v>430</v>
      </c>
      <c r="I83" t="s">
        <v>428</v>
      </c>
      <c r="J83" t="s">
        <v>429</v>
      </c>
      <c r="K83" t="str">
        <f>HYPERLINK("https://www.commcarehq.org/a/demo-18/api/form/attachment/a869c7f1-1691-489f-bd22-be6558143035/1579676278342.jpg")</f>
        <v>https://www.commcarehq.org/a/demo-18/api/form/attachment/a869c7f1-1691-489f-bd22-be6558143035/1579676278342.jpg</v>
      </c>
      <c r="L83" t="str">
        <f>HYPERLINK("https://www.commcarehq.org/a/demo-18/api/form/attachment/a869c7f1-1691-489f-bd22-be6558143035/1579676297921.jpg")</f>
        <v>https://www.commcarehq.org/a/demo-18/api/form/attachment/a869c7f1-1691-489f-bd22-be6558143035/1579676297921.jpg</v>
      </c>
      <c r="M83" t="str">
        <f>HYPERLINK("https://www.commcarehq.org/a/demo-18/api/form/attachment/a869c7f1-1691-489f-bd22-be6558143035/1579676341945.jpg")</f>
        <v>https://www.commcarehq.org/a/demo-18/api/form/attachment/a869c7f1-1691-489f-bd22-be6558143035/1579676341945.jpg</v>
      </c>
      <c r="N83" t="str">
        <f>HYPERLINK("https://www.commcarehq.org/a/demo-18/api/form/attachment/a869c7f1-1691-489f-bd22-be6558143035/1579676354509.jpg")</f>
        <v>https://www.commcarehq.org/a/demo-18/api/form/attachment/a869c7f1-1691-489f-bd22-be6558143035/1579676354509.jpg</v>
      </c>
      <c r="O83" t="str">
        <f>HYPERLINK("https://www.commcarehq.org/a/demo-18/api/form/attachment/a869c7f1-1691-489f-bd22-be6558143035/1579676370981.jpg")</f>
        <v>https://www.commcarehq.org/a/demo-18/api/form/attachment/a869c7f1-1691-489f-bd22-be6558143035/1579676370981.jpg</v>
      </c>
      <c r="P83" t="str">
        <f>HYPERLINK("https://www.commcarehq.org/a/demo-18/api/form/attachment/a869c7f1-1691-489f-bd22-be6558143035/1579676380896.jpg")</f>
        <v>https://www.commcarehq.org/a/demo-18/api/form/attachment/a869c7f1-1691-489f-bd22-be6558143035/1579676380896.jpg</v>
      </c>
      <c r="Q83" s="2">
        <v>43852.29146990741</v>
      </c>
      <c r="R83" s="2">
        <v>43852.289444444446</v>
      </c>
      <c r="S83" t="s">
        <v>32</v>
      </c>
      <c r="T83" s="2">
        <v>43852.291689814818</v>
      </c>
      <c r="U83" t="s">
        <v>1151</v>
      </c>
      <c r="V83" t="s">
        <v>1152</v>
      </c>
    </row>
    <row r="84" spans="1:22" x14ac:dyDescent="0.45">
      <c r="A84" t="s">
        <v>178</v>
      </c>
      <c r="B84">
        <v>4.5</v>
      </c>
      <c r="C84" s="1">
        <v>43866</v>
      </c>
      <c r="D84" s="1">
        <v>43836</v>
      </c>
      <c r="E84" t="s">
        <v>428</v>
      </c>
      <c r="F84" t="s">
        <v>429</v>
      </c>
      <c r="G84" t="s">
        <v>429</v>
      </c>
      <c r="H84" t="s">
        <v>430</v>
      </c>
      <c r="I84" t="s">
        <v>428</v>
      </c>
      <c r="J84" t="s">
        <v>429</v>
      </c>
      <c r="K84" t="str">
        <f>HYPERLINK("https://www.commcarehq.org/a/demo-18/api/form/attachment/51b084ea-4b78-4d3e-938e-d2bceb233d66/1578292465461.jpg")</f>
        <v>https://www.commcarehq.org/a/demo-18/api/form/attachment/51b084ea-4b78-4d3e-938e-d2bceb233d66/1578292465461.jpg</v>
      </c>
      <c r="L84" t="str">
        <f>HYPERLINK("https://www.commcarehq.org/a/demo-18/api/form/attachment/51b084ea-4b78-4d3e-938e-d2bceb233d66/1578292512491.jpg")</f>
        <v>https://www.commcarehq.org/a/demo-18/api/form/attachment/51b084ea-4b78-4d3e-938e-d2bceb233d66/1578292512491.jpg</v>
      </c>
      <c r="M84" t="str">
        <f>HYPERLINK("https://www.commcarehq.org/a/demo-18/api/form/attachment/51b084ea-4b78-4d3e-938e-d2bceb233d66/1578292630244.jpg")</f>
        <v>https://www.commcarehq.org/a/demo-18/api/form/attachment/51b084ea-4b78-4d3e-938e-d2bceb233d66/1578292630244.jpg</v>
      </c>
      <c r="N84" t="str">
        <f>HYPERLINK("https://www.commcarehq.org/a/demo-18/api/form/attachment/51b084ea-4b78-4d3e-938e-d2bceb233d66/1578292640643.jpg")</f>
        <v>https://www.commcarehq.org/a/demo-18/api/form/attachment/51b084ea-4b78-4d3e-938e-d2bceb233d66/1578292640643.jpg</v>
      </c>
      <c r="O84" t="str">
        <f>HYPERLINK("https://www.commcarehq.org/a/demo-18/api/form/attachment/51b084ea-4b78-4d3e-938e-d2bceb233d66/1578292660960.jpg")</f>
        <v>https://www.commcarehq.org/a/demo-18/api/form/attachment/51b084ea-4b78-4d3e-938e-d2bceb233d66/1578292660960.jpg</v>
      </c>
      <c r="P84" t="str">
        <f>HYPERLINK("https://www.commcarehq.org/a/demo-18/api/form/attachment/51b084ea-4b78-4d3e-938e-d2bceb233d66/1578292675373.jpg")</f>
        <v>https://www.commcarehq.org/a/demo-18/api/form/attachment/51b084ea-4b78-4d3e-938e-d2bceb233d66/1578292675373.jpg</v>
      </c>
      <c r="Q84" s="2">
        <v>43836.276388888888</v>
      </c>
      <c r="R84" s="2">
        <v>43836.273368055554</v>
      </c>
      <c r="S84" t="s">
        <v>32</v>
      </c>
      <c r="T84" s="2">
        <v>43836.276944444442</v>
      </c>
      <c r="U84" t="s">
        <v>971</v>
      </c>
      <c r="V84" t="s">
        <v>972</v>
      </c>
    </row>
    <row r="85" spans="1:22" x14ac:dyDescent="0.45">
      <c r="A85" t="s">
        <v>161</v>
      </c>
      <c r="B85">
        <v>5.5</v>
      </c>
      <c r="C85" s="1">
        <v>43868</v>
      </c>
      <c r="D85" s="1">
        <v>43838</v>
      </c>
      <c r="E85" t="s">
        <v>428</v>
      </c>
      <c r="F85" t="s">
        <v>429</v>
      </c>
      <c r="G85" t="s">
        <v>429</v>
      </c>
      <c r="H85" t="s">
        <v>430</v>
      </c>
      <c r="I85" t="s">
        <v>428</v>
      </c>
      <c r="J85" t="s">
        <v>429</v>
      </c>
      <c r="K85" t="str">
        <f>HYPERLINK("https://www.commcarehq.org/a/demo-18/api/form/attachment/4cf9ba8b-b8f7-4c9f-89c7-0b638d356eef/1578465635490.jpg")</f>
        <v>https://www.commcarehq.org/a/demo-18/api/form/attachment/4cf9ba8b-b8f7-4c9f-89c7-0b638d356eef/1578465635490.jpg</v>
      </c>
      <c r="L85" t="str">
        <f>HYPERLINK("https://www.commcarehq.org/a/demo-18/api/form/attachment/4cf9ba8b-b8f7-4c9f-89c7-0b638d356eef/1578465664342.jpg")</f>
        <v>https://www.commcarehq.org/a/demo-18/api/form/attachment/4cf9ba8b-b8f7-4c9f-89c7-0b638d356eef/1578465664342.jpg</v>
      </c>
      <c r="M85" t="str">
        <f>HYPERLINK("https://www.commcarehq.org/a/demo-18/api/form/attachment/4cf9ba8b-b8f7-4c9f-89c7-0b638d356eef/1578465717183.jpg")</f>
        <v>https://www.commcarehq.org/a/demo-18/api/form/attachment/4cf9ba8b-b8f7-4c9f-89c7-0b638d356eef/1578465717183.jpg</v>
      </c>
      <c r="N85" t="str">
        <f>HYPERLINK("https://www.commcarehq.org/a/demo-18/api/form/attachment/4cf9ba8b-b8f7-4c9f-89c7-0b638d356eef/1578465734273.jpg")</f>
        <v>https://www.commcarehq.org/a/demo-18/api/form/attachment/4cf9ba8b-b8f7-4c9f-89c7-0b638d356eef/1578465734273.jpg</v>
      </c>
      <c r="O85" t="str">
        <f>HYPERLINK("https://www.commcarehq.org/a/demo-18/api/form/attachment/4cf9ba8b-b8f7-4c9f-89c7-0b638d356eef/1578465756864.jpg")</f>
        <v>https://www.commcarehq.org/a/demo-18/api/form/attachment/4cf9ba8b-b8f7-4c9f-89c7-0b638d356eef/1578465756864.jpg</v>
      </c>
      <c r="P85" t="str">
        <f>HYPERLINK("https://www.commcarehq.org/a/demo-18/api/form/attachment/4cf9ba8b-b8f7-4c9f-89c7-0b638d356eef/1578465769814.jpg")</f>
        <v>https://www.commcarehq.org/a/demo-18/api/form/attachment/4cf9ba8b-b8f7-4c9f-89c7-0b638d356eef/1578465769814.jpg</v>
      </c>
      <c r="Q85" s="2">
        <v>43838.279756944445</v>
      </c>
      <c r="R85" s="2">
        <v>43838.277442129627</v>
      </c>
      <c r="S85" t="s">
        <v>32</v>
      </c>
      <c r="T85" s="2">
        <v>43838.280034722222</v>
      </c>
      <c r="U85" t="s">
        <v>977</v>
      </c>
      <c r="V85" t="s">
        <v>978</v>
      </c>
    </row>
    <row r="86" spans="1:22" x14ac:dyDescent="0.45">
      <c r="A86" t="s">
        <v>262</v>
      </c>
      <c r="B86">
        <v>4.9000000000000004</v>
      </c>
      <c r="C86" s="1">
        <v>43870</v>
      </c>
      <c r="D86" s="1">
        <v>43840</v>
      </c>
      <c r="E86" t="s">
        <v>428</v>
      </c>
      <c r="F86" t="s">
        <v>429</v>
      </c>
      <c r="G86" t="s">
        <v>429</v>
      </c>
      <c r="H86" t="s">
        <v>430</v>
      </c>
      <c r="I86" t="s">
        <v>428</v>
      </c>
      <c r="J86" t="s">
        <v>429</v>
      </c>
      <c r="K86" t="str">
        <f>HYPERLINK("https://www.commcarehq.org/a/demo-18/api/form/attachment/e652d812-f6f0-495e-b436-5139fa1b4082/1578638233870.jpg")</f>
        <v>https://www.commcarehq.org/a/demo-18/api/form/attachment/e652d812-f6f0-495e-b436-5139fa1b4082/1578638233870.jpg</v>
      </c>
      <c r="L86" t="str">
        <f>HYPERLINK("https://www.commcarehq.org/a/demo-18/api/form/attachment/e652d812-f6f0-495e-b436-5139fa1b4082/1578638269183.jpg")</f>
        <v>https://www.commcarehq.org/a/demo-18/api/form/attachment/e652d812-f6f0-495e-b436-5139fa1b4082/1578638269183.jpg</v>
      </c>
      <c r="M86" t="str">
        <f>HYPERLINK("https://www.commcarehq.org/a/demo-18/api/form/attachment/e652d812-f6f0-495e-b436-5139fa1b4082/1578638314680.jpg")</f>
        <v>https://www.commcarehq.org/a/demo-18/api/form/attachment/e652d812-f6f0-495e-b436-5139fa1b4082/1578638314680.jpg</v>
      </c>
      <c r="N86" t="str">
        <f>HYPERLINK("https://www.commcarehq.org/a/demo-18/api/form/attachment/e652d812-f6f0-495e-b436-5139fa1b4082/1578638324080.jpg")</f>
        <v>https://www.commcarehq.org/a/demo-18/api/form/attachment/e652d812-f6f0-495e-b436-5139fa1b4082/1578638324080.jpg</v>
      </c>
      <c r="O86" t="str">
        <f>HYPERLINK("https://www.commcarehq.org/a/demo-18/api/form/attachment/e652d812-f6f0-495e-b436-5139fa1b4082/1578638349725.jpg")</f>
        <v>https://www.commcarehq.org/a/demo-18/api/form/attachment/e652d812-f6f0-495e-b436-5139fa1b4082/1578638349725.jpg</v>
      </c>
      <c r="P86" t="str">
        <f>HYPERLINK("https://www.commcarehq.org/a/demo-18/api/form/attachment/e652d812-f6f0-495e-b436-5139fa1b4082/1578638360901.jpg")</f>
        <v>https://www.commcarehq.org/a/demo-18/api/form/attachment/e652d812-f6f0-495e-b436-5139fa1b4082/1578638360901.jpg</v>
      </c>
      <c r="Q86" s="2">
        <v>43840.277349537035</v>
      </c>
      <c r="R86" s="2">
        <v>43840.275127314817</v>
      </c>
      <c r="S86" t="s">
        <v>32</v>
      </c>
      <c r="T86" s="2">
        <v>43840.277627314812</v>
      </c>
      <c r="U86" t="s">
        <v>1013</v>
      </c>
      <c r="V86" t="s">
        <v>1014</v>
      </c>
    </row>
    <row r="87" spans="1:22" x14ac:dyDescent="0.45">
      <c r="A87" t="s">
        <v>152</v>
      </c>
      <c r="B87">
        <v>5</v>
      </c>
      <c r="C87" s="1">
        <v>43870</v>
      </c>
      <c r="D87" s="1">
        <v>43840</v>
      </c>
      <c r="E87" t="s">
        <v>428</v>
      </c>
      <c r="F87" t="s">
        <v>429</v>
      </c>
      <c r="G87" t="s">
        <v>429</v>
      </c>
      <c r="H87" t="s">
        <v>430</v>
      </c>
      <c r="I87" t="s">
        <v>428</v>
      </c>
      <c r="J87" t="s">
        <v>429</v>
      </c>
      <c r="K87" t="str">
        <f>HYPERLINK("https://www.commcarehq.org/a/demo-18/api/form/attachment/b232707f-fd06-4cbb-80e1-85408d22a189/1578643342072.jpg")</f>
        <v>https://www.commcarehq.org/a/demo-18/api/form/attachment/b232707f-fd06-4cbb-80e1-85408d22a189/1578643342072.jpg</v>
      </c>
      <c r="L87" t="str">
        <f>HYPERLINK("https://www.commcarehq.org/a/demo-18/api/form/attachment/b232707f-fd06-4cbb-80e1-85408d22a189/1578643360923.jpg")</f>
        <v>https://www.commcarehq.org/a/demo-18/api/form/attachment/b232707f-fd06-4cbb-80e1-85408d22a189/1578643360923.jpg</v>
      </c>
      <c r="M87" t="str">
        <f>HYPERLINK("https://www.commcarehq.org/a/demo-18/api/form/attachment/b232707f-fd06-4cbb-80e1-85408d22a189/1578643459933.jpg")</f>
        <v>https://www.commcarehq.org/a/demo-18/api/form/attachment/b232707f-fd06-4cbb-80e1-85408d22a189/1578643459933.jpg</v>
      </c>
      <c r="N87" t="str">
        <f>HYPERLINK("https://www.commcarehq.org/a/demo-18/api/form/attachment/b232707f-fd06-4cbb-80e1-85408d22a189/1578643471249.jpg")</f>
        <v>https://www.commcarehq.org/a/demo-18/api/form/attachment/b232707f-fd06-4cbb-80e1-85408d22a189/1578643471249.jpg</v>
      </c>
      <c r="O87" t="str">
        <f>HYPERLINK("https://www.commcarehq.org/a/demo-18/api/form/attachment/b232707f-fd06-4cbb-80e1-85408d22a189/1578643492140.jpg")</f>
        <v>https://www.commcarehq.org/a/demo-18/api/form/attachment/b232707f-fd06-4cbb-80e1-85408d22a189/1578643492140.jpg</v>
      </c>
      <c r="P87" t="str">
        <f>HYPERLINK("https://www.commcarehq.org/a/demo-18/api/form/attachment/b232707f-fd06-4cbb-80e1-85408d22a189/1578643502535.jpg")</f>
        <v>https://www.commcarehq.org/a/demo-18/api/form/attachment/b232707f-fd06-4cbb-80e1-85408d22a189/1578643502535.jpg</v>
      </c>
      <c r="Q87" s="2">
        <v>43840.336851851855</v>
      </c>
      <c r="R87" s="2">
        <v>43840.334386574075</v>
      </c>
      <c r="S87" t="s">
        <v>32</v>
      </c>
      <c r="T87" s="2">
        <v>43840.337071759262</v>
      </c>
      <c r="U87" t="s">
        <v>1015</v>
      </c>
      <c r="V87" t="s">
        <v>1016</v>
      </c>
    </row>
    <row r="88" spans="1:22" x14ac:dyDescent="0.45">
      <c r="A88" t="s">
        <v>95</v>
      </c>
      <c r="B88">
        <v>5.6</v>
      </c>
      <c r="C88" s="1">
        <v>43869</v>
      </c>
      <c r="D88" s="1">
        <v>43839</v>
      </c>
      <c r="E88" t="s">
        <v>428</v>
      </c>
      <c r="F88" t="s">
        <v>429</v>
      </c>
      <c r="G88" t="s">
        <v>429</v>
      </c>
      <c r="H88" t="s">
        <v>430</v>
      </c>
      <c r="I88" t="s">
        <v>428</v>
      </c>
      <c r="J88" t="s">
        <v>429</v>
      </c>
      <c r="K88" t="str">
        <f>HYPERLINK("https://www.commcarehq.org/a/demo-18/api/form/attachment/4e66a9c9-14cb-4e61-8782-d8bc42535b05/1578551326086.jpg")</f>
        <v>https://www.commcarehq.org/a/demo-18/api/form/attachment/4e66a9c9-14cb-4e61-8782-d8bc42535b05/1578551326086.jpg</v>
      </c>
      <c r="L88" t="str">
        <f>HYPERLINK("https://www.commcarehq.org/a/demo-18/api/form/attachment/4e66a9c9-14cb-4e61-8782-d8bc42535b05/1578551342159.jpg")</f>
        <v>https://www.commcarehq.org/a/demo-18/api/form/attachment/4e66a9c9-14cb-4e61-8782-d8bc42535b05/1578551342159.jpg</v>
      </c>
      <c r="M88" t="str">
        <f>HYPERLINK("https://www.commcarehq.org/a/demo-18/api/form/attachment/4e66a9c9-14cb-4e61-8782-d8bc42535b05/1578551377582.jpg")</f>
        <v>https://www.commcarehq.org/a/demo-18/api/form/attachment/4e66a9c9-14cb-4e61-8782-d8bc42535b05/1578551377582.jpg</v>
      </c>
      <c r="N88" t="str">
        <f>HYPERLINK("https://www.commcarehq.org/a/demo-18/api/form/attachment/4e66a9c9-14cb-4e61-8782-d8bc42535b05/1578551392076.jpg")</f>
        <v>https://www.commcarehq.org/a/demo-18/api/form/attachment/4e66a9c9-14cb-4e61-8782-d8bc42535b05/1578551392076.jpg</v>
      </c>
      <c r="O88" t="str">
        <f>HYPERLINK("https://www.commcarehq.org/a/demo-18/api/form/attachment/4e66a9c9-14cb-4e61-8782-d8bc42535b05/1578551411698.jpg")</f>
        <v>https://www.commcarehq.org/a/demo-18/api/form/attachment/4e66a9c9-14cb-4e61-8782-d8bc42535b05/1578551411698.jpg</v>
      </c>
      <c r="P88" t="str">
        <f>HYPERLINK("https://www.commcarehq.org/a/demo-18/api/form/attachment/4e66a9c9-14cb-4e61-8782-d8bc42535b05/1578551421286.jpg")</f>
        <v>https://www.commcarehq.org/a/demo-18/api/form/attachment/4e66a9c9-14cb-4e61-8782-d8bc42535b05/1578551421286.jpg</v>
      </c>
      <c r="Q88" s="2">
        <v>43839.271099537036</v>
      </c>
      <c r="R88" s="2">
        <v>43839.269467592596</v>
      </c>
      <c r="S88" t="s">
        <v>32</v>
      </c>
      <c r="T88" s="2">
        <v>43839.271319444444</v>
      </c>
      <c r="U88" t="s">
        <v>973</v>
      </c>
      <c r="V88" t="s">
        <v>974</v>
      </c>
    </row>
    <row r="89" spans="1:22" x14ac:dyDescent="0.45">
      <c r="A89" t="s">
        <v>400</v>
      </c>
      <c r="B89">
        <v>5.4</v>
      </c>
      <c r="C89" s="1">
        <v>43869</v>
      </c>
      <c r="D89" s="1">
        <v>43839</v>
      </c>
      <c r="E89" t="s">
        <v>428</v>
      </c>
      <c r="F89" t="s">
        <v>429</v>
      </c>
      <c r="G89" t="s">
        <v>429</v>
      </c>
      <c r="H89" t="s">
        <v>430</v>
      </c>
      <c r="I89" t="s">
        <v>428</v>
      </c>
      <c r="J89" t="s">
        <v>429</v>
      </c>
      <c r="K89" t="str">
        <f>HYPERLINK("https://www.commcarehq.org/a/demo-18/api/form/attachment/f29d0b8c-c88b-45fc-a7ef-b30937cc0506/1578555712794.jpg")</f>
        <v>https://www.commcarehq.org/a/demo-18/api/form/attachment/f29d0b8c-c88b-45fc-a7ef-b30937cc0506/1578555712794.jpg</v>
      </c>
      <c r="L89" t="str">
        <f>HYPERLINK("https://www.commcarehq.org/a/demo-18/api/form/attachment/f29d0b8c-c88b-45fc-a7ef-b30937cc0506/1578555739162.jpg")</f>
        <v>https://www.commcarehq.org/a/demo-18/api/form/attachment/f29d0b8c-c88b-45fc-a7ef-b30937cc0506/1578555739162.jpg</v>
      </c>
      <c r="M89" t="str">
        <f>HYPERLINK("https://www.commcarehq.org/a/demo-18/api/form/attachment/f29d0b8c-c88b-45fc-a7ef-b30937cc0506/1578555803023.jpg")</f>
        <v>https://www.commcarehq.org/a/demo-18/api/form/attachment/f29d0b8c-c88b-45fc-a7ef-b30937cc0506/1578555803023.jpg</v>
      </c>
      <c r="N89" t="str">
        <f>HYPERLINK("https://www.commcarehq.org/a/demo-18/api/form/attachment/f29d0b8c-c88b-45fc-a7ef-b30937cc0506/1578555813308.jpg")</f>
        <v>https://www.commcarehq.org/a/demo-18/api/form/attachment/f29d0b8c-c88b-45fc-a7ef-b30937cc0506/1578555813308.jpg</v>
      </c>
      <c r="O89" t="str">
        <f>HYPERLINK("https://www.commcarehq.org/a/demo-18/api/form/attachment/f29d0b8c-c88b-45fc-a7ef-b30937cc0506/1578555834615.jpg")</f>
        <v>https://www.commcarehq.org/a/demo-18/api/form/attachment/f29d0b8c-c88b-45fc-a7ef-b30937cc0506/1578555834615.jpg</v>
      </c>
      <c r="P89" t="str">
        <f>HYPERLINK("https://www.commcarehq.org/a/demo-18/api/form/attachment/f29d0b8c-c88b-45fc-a7ef-b30937cc0506/1578555850720.jpg")</f>
        <v>https://www.commcarehq.org/a/demo-18/api/form/attachment/f29d0b8c-c88b-45fc-a7ef-b30937cc0506/1578555850720.jpg</v>
      </c>
      <c r="Q89" s="2">
        <v>43839.32236111111</v>
      </c>
      <c r="R89" s="2">
        <v>43839.320208333331</v>
      </c>
      <c r="S89" t="s">
        <v>32</v>
      </c>
      <c r="T89" s="2">
        <v>43839.322546296295</v>
      </c>
      <c r="U89" t="s">
        <v>975</v>
      </c>
      <c r="V89" t="s">
        <v>976</v>
      </c>
    </row>
    <row r="90" spans="1:22" x14ac:dyDescent="0.45">
      <c r="A90" t="s">
        <v>406</v>
      </c>
      <c r="B90">
        <v>5.5</v>
      </c>
      <c r="C90" s="1">
        <v>43876</v>
      </c>
      <c r="D90" s="1">
        <v>43846</v>
      </c>
      <c r="E90" t="s">
        <v>428</v>
      </c>
      <c r="F90" t="s">
        <v>429</v>
      </c>
      <c r="G90" t="s">
        <v>429</v>
      </c>
      <c r="H90" t="s">
        <v>498</v>
      </c>
      <c r="I90" t="s">
        <v>428</v>
      </c>
      <c r="J90" t="s">
        <v>429</v>
      </c>
      <c r="K90" t="str">
        <f>HYPERLINK("https://www.commcarehq.org/a/demo-18/api/form/attachment/b940c04d-2620-4122-9e41-2e6c4078a9e8/1579155742185.jpg")</f>
        <v>https://www.commcarehq.org/a/demo-18/api/form/attachment/b940c04d-2620-4122-9e41-2e6c4078a9e8/1579155742185.jpg</v>
      </c>
      <c r="L90" t="str">
        <f>HYPERLINK("https://www.commcarehq.org/a/demo-18/api/form/attachment/b940c04d-2620-4122-9e41-2e6c4078a9e8/1579155757282.jpg")</f>
        <v>https://www.commcarehq.org/a/demo-18/api/form/attachment/b940c04d-2620-4122-9e41-2e6c4078a9e8/1579155757282.jpg</v>
      </c>
      <c r="M90" t="str">
        <f>HYPERLINK("https://www.commcarehq.org/a/demo-18/api/form/attachment/b940c04d-2620-4122-9e41-2e6c4078a9e8/1579155801683.jpg")</f>
        <v>https://www.commcarehq.org/a/demo-18/api/form/attachment/b940c04d-2620-4122-9e41-2e6c4078a9e8/1579155801683.jpg</v>
      </c>
      <c r="N90" t="str">
        <f>HYPERLINK("https://www.commcarehq.org/a/demo-18/api/form/attachment/b940c04d-2620-4122-9e41-2e6c4078a9e8/1579155817216.jpg")</f>
        <v>https://www.commcarehq.org/a/demo-18/api/form/attachment/b940c04d-2620-4122-9e41-2e6c4078a9e8/1579155817216.jpg</v>
      </c>
      <c r="O90" t="str">
        <f>HYPERLINK("https://www.commcarehq.org/a/demo-18/api/form/attachment/b940c04d-2620-4122-9e41-2e6c4078a9e8/1579155840744.jpg")</f>
        <v>https://www.commcarehq.org/a/demo-18/api/form/attachment/b940c04d-2620-4122-9e41-2e6c4078a9e8/1579155840744.jpg</v>
      </c>
      <c r="P90" t="str">
        <f>HYPERLINK("https://www.commcarehq.org/a/demo-18/api/form/attachment/b940c04d-2620-4122-9e41-2e6c4078a9e8/1579155850535.jpg")</f>
        <v>https://www.commcarehq.org/a/demo-18/api/form/attachment/b940c04d-2620-4122-9e41-2e6c4078a9e8/1579155850535.jpg</v>
      </c>
      <c r="Q90" s="2">
        <v>43846.266805555555</v>
      </c>
      <c r="R90" s="2">
        <v>43846.264999999999</v>
      </c>
      <c r="S90" t="s">
        <v>32</v>
      </c>
      <c r="T90" s="2">
        <v>43846.26699074074</v>
      </c>
      <c r="U90" t="s">
        <v>1041</v>
      </c>
      <c r="V90" t="s">
        <v>1042</v>
      </c>
    </row>
    <row r="91" spans="1:22" x14ac:dyDescent="0.45">
      <c r="A91" t="s">
        <v>1206</v>
      </c>
      <c r="B91">
        <v>5.0999999999999996</v>
      </c>
      <c r="C91" s="1">
        <v>43866</v>
      </c>
      <c r="D91" s="1">
        <v>43836</v>
      </c>
      <c r="E91" t="s">
        <v>428</v>
      </c>
      <c r="F91" t="s">
        <v>429</v>
      </c>
      <c r="G91" t="s">
        <v>429</v>
      </c>
      <c r="H91" t="s">
        <v>430</v>
      </c>
      <c r="I91" t="s">
        <v>428</v>
      </c>
      <c r="J91" t="s">
        <v>429</v>
      </c>
      <c r="K91" t="str">
        <f>HYPERLINK("https://www.commcarehq.org/a/demo-18/api/form/attachment/946ec019-1cbc-44d5-bcad-395fe5223560/1578297103101.jpg")</f>
        <v>https://www.commcarehq.org/a/demo-18/api/form/attachment/946ec019-1cbc-44d5-bcad-395fe5223560/1578297103101.jpg</v>
      </c>
      <c r="L91" t="str">
        <f>HYPERLINK("https://www.commcarehq.org/a/demo-18/api/form/attachment/946ec019-1cbc-44d5-bcad-395fe5223560/1578297123900.jpg")</f>
        <v>https://www.commcarehq.org/a/demo-18/api/form/attachment/946ec019-1cbc-44d5-bcad-395fe5223560/1578297123900.jpg</v>
      </c>
      <c r="M91" t="str">
        <f>HYPERLINK("https://www.commcarehq.org/a/demo-18/api/form/attachment/946ec019-1cbc-44d5-bcad-395fe5223560/1578297207748.jpg")</f>
        <v>https://www.commcarehq.org/a/demo-18/api/form/attachment/946ec019-1cbc-44d5-bcad-395fe5223560/1578297207748.jpg</v>
      </c>
      <c r="N91" t="str">
        <f>HYPERLINK("https://www.commcarehq.org/a/demo-18/api/form/attachment/946ec019-1cbc-44d5-bcad-395fe5223560/1578297218003.jpg")</f>
        <v>https://www.commcarehq.org/a/demo-18/api/form/attachment/946ec019-1cbc-44d5-bcad-395fe5223560/1578297218003.jpg</v>
      </c>
      <c r="O91" t="str">
        <f>HYPERLINK("https://www.commcarehq.org/a/demo-18/api/form/attachment/946ec019-1cbc-44d5-bcad-395fe5223560/1578297234565.jpg")</f>
        <v>https://www.commcarehq.org/a/demo-18/api/form/attachment/946ec019-1cbc-44d5-bcad-395fe5223560/1578297234565.jpg</v>
      </c>
      <c r="P91" t="str">
        <f>HYPERLINK("https://www.commcarehq.org/a/demo-18/api/form/attachment/946ec019-1cbc-44d5-bcad-395fe5223560/1578297245988.jpg")</f>
        <v>https://www.commcarehq.org/a/demo-18/api/form/attachment/946ec019-1cbc-44d5-bcad-395fe5223560/1578297245988.jpg</v>
      </c>
      <c r="Q91" s="2">
        <v>43836.329259259262</v>
      </c>
      <c r="R91" s="2">
        <v>43836.326932870368</v>
      </c>
      <c r="S91" t="s">
        <v>32</v>
      </c>
      <c r="T91" s="2">
        <v>43836.33016203704</v>
      </c>
      <c r="U91" t="s">
        <v>969</v>
      </c>
      <c r="V91" t="s">
        <v>970</v>
      </c>
    </row>
    <row r="92" spans="1:22" x14ac:dyDescent="0.45">
      <c r="A92" t="s">
        <v>493</v>
      </c>
      <c r="B92">
        <v>4.5999999999999996</v>
      </c>
      <c r="C92" s="1">
        <v>43827</v>
      </c>
      <c r="D92" s="1">
        <v>43797</v>
      </c>
      <c r="E92" t="s">
        <v>428</v>
      </c>
      <c r="F92" t="s">
        <v>429</v>
      </c>
      <c r="G92" t="s">
        <v>429</v>
      </c>
      <c r="H92" t="s">
        <v>430</v>
      </c>
      <c r="I92" t="s">
        <v>428</v>
      </c>
      <c r="J92" t="s">
        <v>429</v>
      </c>
      <c r="K92" t="str">
        <f>HYPERLINK("https://www.commcarehq.org/a/demo-18/api/form/attachment/37254872-89d8-4203-9bee-4748a380aa84/1574935799042.jpg")</f>
        <v>https://www.commcarehq.org/a/demo-18/api/form/attachment/37254872-89d8-4203-9bee-4748a380aa84/1574935799042.jpg</v>
      </c>
      <c r="L92" t="str">
        <f>HYPERLINK("https://www.commcarehq.org/a/demo-18/api/form/attachment/37254872-89d8-4203-9bee-4748a380aa84/1574935826178.jpg")</f>
        <v>https://www.commcarehq.org/a/demo-18/api/form/attachment/37254872-89d8-4203-9bee-4748a380aa84/1574935826178.jpg</v>
      </c>
      <c r="M92" t="str">
        <f>HYPERLINK("https://www.commcarehq.org/a/demo-18/api/form/attachment/37254872-89d8-4203-9bee-4748a380aa84/1574935939961.jpg")</f>
        <v>https://www.commcarehq.org/a/demo-18/api/form/attachment/37254872-89d8-4203-9bee-4748a380aa84/1574935939961.jpg</v>
      </c>
      <c r="N92" t="str">
        <f>HYPERLINK("https://www.commcarehq.org/a/demo-18/api/form/attachment/37254872-89d8-4203-9bee-4748a380aa84/1574935950708.jpg")</f>
        <v>https://www.commcarehq.org/a/demo-18/api/form/attachment/37254872-89d8-4203-9bee-4748a380aa84/1574935950708.jpg</v>
      </c>
      <c r="O92" t="str">
        <f>HYPERLINK("https://www.commcarehq.org/a/demo-18/api/form/attachment/37254872-89d8-4203-9bee-4748a380aa84/1574935971596.jpg")</f>
        <v>https://www.commcarehq.org/a/demo-18/api/form/attachment/37254872-89d8-4203-9bee-4748a380aa84/1574935971596.jpg</v>
      </c>
      <c r="P92" t="str">
        <f>HYPERLINK("https://www.commcarehq.org/a/demo-18/api/form/attachment/37254872-89d8-4203-9bee-4748a380aa84/1574935986687.jpg")</f>
        <v>https://www.commcarehq.org/a/demo-18/api/form/attachment/37254872-89d8-4203-9bee-4748a380aa84/1574935986687.jpg</v>
      </c>
      <c r="Q92" s="2">
        <v>43797.425798611112</v>
      </c>
      <c r="R92" s="2">
        <v>43797.422974537039</v>
      </c>
      <c r="S92" t="s">
        <v>32</v>
      </c>
      <c r="T92" s="2">
        <v>43797.426018518519</v>
      </c>
      <c r="U92" t="s">
        <v>494</v>
      </c>
      <c r="V92" t="s">
        <v>495</v>
      </c>
    </row>
    <row r="93" spans="1:22" x14ac:dyDescent="0.45">
      <c r="A93" t="s">
        <v>346</v>
      </c>
      <c r="B93">
        <v>5.9</v>
      </c>
      <c r="C93" s="1">
        <v>43838</v>
      </c>
      <c r="D93" s="1">
        <v>43808</v>
      </c>
      <c r="E93" t="s">
        <v>428</v>
      </c>
      <c r="F93" t="s">
        <v>429</v>
      </c>
      <c r="G93" t="s">
        <v>429</v>
      </c>
      <c r="H93" t="s">
        <v>447</v>
      </c>
      <c r="I93" t="s">
        <v>428</v>
      </c>
      <c r="J93" t="s">
        <v>429</v>
      </c>
      <c r="K93" t="str">
        <f>HYPERLINK("https://www.commcarehq.org/a/demo-18/api/form/attachment/bceaf4e7-4d62-4a22-b9af-8219c2e562d8/1575882591553.jpg")</f>
        <v>https://www.commcarehq.org/a/demo-18/api/form/attachment/bceaf4e7-4d62-4a22-b9af-8219c2e562d8/1575882591553.jpg</v>
      </c>
      <c r="L93" t="str">
        <f>HYPERLINK("https://www.commcarehq.org/a/demo-18/api/form/attachment/bceaf4e7-4d62-4a22-b9af-8219c2e562d8/1575882601132.jpg")</f>
        <v>https://www.commcarehq.org/a/demo-18/api/form/attachment/bceaf4e7-4d62-4a22-b9af-8219c2e562d8/1575882601132.jpg</v>
      </c>
      <c r="M93" t="str">
        <f>HYPERLINK("https://www.commcarehq.org/a/demo-18/api/form/attachment/bceaf4e7-4d62-4a22-b9af-8219c2e562d8/1575882658690.jpg")</f>
        <v>https://www.commcarehq.org/a/demo-18/api/form/attachment/bceaf4e7-4d62-4a22-b9af-8219c2e562d8/1575882658690.jpg</v>
      </c>
      <c r="N93" t="str">
        <f>HYPERLINK("https://www.commcarehq.org/a/demo-18/api/form/attachment/bceaf4e7-4d62-4a22-b9af-8219c2e562d8/1575882668119.jpg")</f>
        <v>https://www.commcarehq.org/a/demo-18/api/form/attachment/bceaf4e7-4d62-4a22-b9af-8219c2e562d8/1575882668119.jpg</v>
      </c>
      <c r="O93" t="str">
        <f>HYPERLINK("https://www.commcarehq.org/a/demo-18/api/form/attachment/bceaf4e7-4d62-4a22-b9af-8219c2e562d8/1575882685197.jpg")</f>
        <v>https://www.commcarehq.org/a/demo-18/api/form/attachment/bceaf4e7-4d62-4a22-b9af-8219c2e562d8/1575882685197.jpg</v>
      </c>
      <c r="P93" t="str">
        <f>HYPERLINK("https://www.commcarehq.org/a/demo-18/api/form/attachment/bceaf4e7-4d62-4a22-b9af-8219c2e562d8/1575882696275.jpg")</f>
        <v>https://www.commcarehq.org/a/demo-18/api/form/attachment/bceaf4e7-4d62-4a22-b9af-8219c2e562d8/1575882696275.jpg</v>
      </c>
      <c r="Q93" s="2">
        <v>43808.383067129631</v>
      </c>
      <c r="R93" s="2">
        <v>43808.381064814814</v>
      </c>
      <c r="S93" t="s">
        <v>32</v>
      </c>
      <c r="T93" s="2">
        <v>43808.42260416667</v>
      </c>
      <c r="U93" s="3" t="s">
        <v>496</v>
      </c>
      <c r="V93" t="s">
        <v>497</v>
      </c>
    </row>
    <row r="94" spans="1:22" x14ac:dyDescent="0.45">
      <c r="A94" t="s">
        <v>31</v>
      </c>
      <c r="B94">
        <v>5.2</v>
      </c>
      <c r="C94" s="1">
        <v>43840</v>
      </c>
      <c r="D94" s="1">
        <v>43810</v>
      </c>
      <c r="E94" t="s">
        <v>428</v>
      </c>
      <c r="F94" t="s">
        <v>429</v>
      </c>
      <c r="G94" t="s">
        <v>429</v>
      </c>
      <c r="H94" t="s">
        <v>498</v>
      </c>
      <c r="I94" t="s">
        <v>428</v>
      </c>
      <c r="J94" t="s">
        <v>429</v>
      </c>
      <c r="K94" t="str">
        <f>HYPERLINK("https://www.commcarehq.org/a/demo-18/api/form/attachment/34e74022-4af8-4513-8e3b-868c9a31e385/1576048791464.jpg")</f>
        <v>https://www.commcarehq.org/a/demo-18/api/form/attachment/34e74022-4af8-4513-8e3b-868c9a31e385/1576048791464.jpg</v>
      </c>
      <c r="L94" t="str">
        <f>HYPERLINK("https://www.commcarehq.org/a/demo-18/api/form/attachment/34e74022-4af8-4513-8e3b-868c9a31e385/1576048821617.jpg")</f>
        <v>https://www.commcarehq.org/a/demo-18/api/form/attachment/34e74022-4af8-4513-8e3b-868c9a31e385/1576048821617.jpg</v>
      </c>
      <c r="M94" t="str">
        <f>HYPERLINK("https://www.commcarehq.org/a/demo-18/api/form/attachment/34e74022-4af8-4513-8e3b-868c9a31e385/1576048922902.jpg")</f>
        <v>https://www.commcarehq.org/a/demo-18/api/form/attachment/34e74022-4af8-4513-8e3b-868c9a31e385/1576048922902.jpg</v>
      </c>
      <c r="N94" t="str">
        <f>HYPERLINK("https://www.commcarehq.org/a/demo-18/api/form/attachment/34e74022-4af8-4513-8e3b-868c9a31e385/1576048932888.jpg")</f>
        <v>https://www.commcarehq.org/a/demo-18/api/form/attachment/34e74022-4af8-4513-8e3b-868c9a31e385/1576048932888.jpg</v>
      </c>
      <c r="O94" t="str">
        <f>HYPERLINK("https://www.commcarehq.org/a/demo-18/api/form/attachment/34e74022-4af8-4513-8e3b-868c9a31e385/1576048953585.jpg")</f>
        <v>https://www.commcarehq.org/a/demo-18/api/form/attachment/34e74022-4af8-4513-8e3b-868c9a31e385/1576048953585.jpg</v>
      </c>
      <c r="P94" t="str">
        <f>HYPERLINK("https://www.commcarehq.org/a/demo-18/api/form/attachment/34e74022-4af8-4513-8e3b-868c9a31e385/1576048973128.jpg")</f>
        <v>https://www.commcarehq.org/a/demo-18/api/form/attachment/34e74022-4af8-4513-8e3b-868c9a31e385/1576048973128.jpg</v>
      </c>
      <c r="Q94" s="2">
        <v>43810.307592592595</v>
      </c>
      <c r="R94" s="2">
        <v>43810.303738425922</v>
      </c>
      <c r="S94" t="s">
        <v>32</v>
      </c>
      <c r="T94" s="2">
        <v>43810.437905092593</v>
      </c>
      <c r="U94" s="3" t="s">
        <v>499</v>
      </c>
      <c r="V94" t="s">
        <v>500</v>
      </c>
    </row>
    <row r="95" spans="1:22" x14ac:dyDescent="0.45">
      <c r="A95" t="s">
        <v>211</v>
      </c>
      <c r="B95">
        <v>3.4</v>
      </c>
      <c r="C95" s="1">
        <v>43840</v>
      </c>
      <c r="D95" s="1">
        <v>43810</v>
      </c>
      <c r="E95" t="s">
        <v>428</v>
      </c>
      <c r="F95" t="s">
        <v>429</v>
      </c>
      <c r="G95" t="s">
        <v>429</v>
      </c>
      <c r="H95" t="s">
        <v>447</v>
      </c>
      <c r="I95" t="s">
        <v>428</v>
      </c>
      <c r="J95" t="s">
        <v>429</v>
      </c>
      <c r="K95" t="str">
        <f>HYPERLINK("https://www.commcarehq.org/a/demo-18/api/form/attachment/1897eb29-7b91-4bfa-adac-afe9e0341ced/1576049293691.jpg")</f>
        <v>https://www.commcarehq.org/a/demo-18/api/form/attachment/1897eb29-7b91-4bfa-adac-afe9e0341ced/1576049293691.jpg</v>
      </c>
      <c r="L95" t="str">
        <f>HYPERLINK("https://www.commcarehq.org/a/demo-18/api/form/attachment/1897eb29-7b91-4bfa-adac-afe9e0341ced/1576049311466.jpg")</f>
        <v>https://www.commcarehq.org/a/demo-18/api/form/attachment/1897eb29-7b91-4bfa-adac-afe9e0341ced/1576049311466.jpg</v>
      </c>
      <c r="M95" t="str">
        <f>HYPERLINK("https://www.commcarehq.org/a/demo-18/api/form/attachment/1897eb29-7b91-4bfa-adac-afe9e0341ced/1576049398364.jpg")</f>
        <v>https://www.commcarehq.org/a/demo-18/api/form/attachment/1897eb29-7b91-4bfa-adac-afe9e0341ced/1576049398364.jpg</v>
      </c>
      <c r="N95" t="str">
        <f>HYPERLINK("https://www.commcarehq.org/a/demo-18/api/form/attachment/1897eb29-7b91-4bfa-adac-afe9e0341ced/1576049407536.jpg")</f>
        <v>https://www.commcarehq.org/a/demo-18/api/form/attachment/1897eb29-7b91-4bfa-adac-afe9e0341ced/1576049407536.jpg</v>
      </c>
      <c r="O95" t="str">
        <f>HYPERLINK("https://www.commcarehq.org/a/demo-18/api/form/attachment/1897eb29-7b91-4bfa-adac-afe9e0341ced/1576049433930.jpg")</f>
        <v>https://www.commcarehq.org/a/demo-18/api/form/attachment/1897eb29-7b91-4bfa-adac-afe9e0341ced/1576049433930.jpg</v>
      </c>
      <c r="P95" t="str">
        <f>HYPERLINK("https://www.commcarehq.org/a/demo-18/api/form/attachment/1897eb29-7b91-4bfa-adac-afe9e0341ced/1576049442778.jpg")</f>
        <v>https://www.commcarehq.org/a/demo-18/api/form/attachment/1897eb29-7b91-4bfa-adac-afe9e0341ced/1576049442778.jpg</v>
      </c>
      <c r="Q95" s="2">
        <v>43810.313009259262</v>
      </c>
      <c r="R95" s="2">
        <v>43810.310358796298</v>
      </c>
      <c r="S95" t="s">
        <v>32</v>
      </c>
      <c r="T95" s="2">
        <v>43810.438136574077</v>
      </c>
      <c r="U95" t="s">
        <v>501</v>
      </c>
      <c r="V95" t="s">
        <v>502</v>
      </c>
    </row>
    <row r="96" spans="1:22" x14ac:dyDescent="0.45">
      <c r="A96" t="s">
        <v>331</v>
      </c>
      <c r="B96">
        <v>4.5</v>
      </c>
      <c r="C96" s="1">
        <v>43840</v>
      </c>
      <c r="D96" s="1">
        <v>43810</v>
      </c>
      <c r="E96" t="s">
        <v>428</v>
      </c>
      <c r="F96" t="s">
        <v>429</v>
      </c>
      <c r="G96" t="s">
        <v>429</v>
      </c>
      <c r="H96" t="s">
        <v>430</v>
      </c>
      <c r="I96" t="s">
        <v>428</v>
      </c>
      <c r="J96" t="s">
        <v>429</v>
      </c>
      <c r="K96" t="str">
        <f>HYPERLINK("https://www.commcarehq.org/a/demo-18/api/form/attachment/3594ad98-838d-4960-84fb-b8c601ea44dd/1576046771145.jpg")</f>
        <v>https://www.commcarehq.org/a/demo-18/api/form/attachment/3594ad98-838d-4960-84fb-b8c601ea44dd/1576046771145.jpg</v>
      </c>
      <c r="L96" t="str">
        <f>HYPERLINK("https://www.commcarehq.org/a/demo-18/api/form/attachment/3594ad98-838d-4960-84fb-b8c601ea44dd/1576046794219.jpg")</f>
        <v>https://www.commcarehq.org/a/demo-18/api/form/attachment/3594ad98-838d-4960-84fb-b8c601ea44dd/1576046794219.jpg</v>
      </c>
      <c r="M96" t="str">
        <f>HYPERLINK("https://www.commcarehq.org/a/demo-18/api/form/attachment/3594ad98-838d-4960-84fb-b8c601ea44dd/1576046845539.jpg")</f>
        <v>https://www.commcarehq.org/a/demo-18/api/form/attachment/3594ad98-838d-4960-84fb-b8c601ea44dd/1576046845539.jpg</v>
      </c>
      <c r="N96" t="str">
        <f>HYPERLINK("https://www.commcarehq.org/a/demo-18/api/form/attachment/3594ad98-838d-4960-84fb-b8c601ea44dd/1576046856122.jpg")</f>
        <v>https://www.commcarehq.org/a/demo-18/api/form/attachment/3594ad98-838d-4960-84fb-b8c601ea44dd/1576046856122.jpg</v>
      </c>
      <c r="O96" t="str">
        <f>HYPERLINK("https://www.commcarehq.org/a/demo-18/api/form/attachment/3594ad98-838d-4960-84fb-b8c601ea44dd/1576046878763.jpg")</f>
        <v>https://www.commcarehq.org/a/demo-18/api/form/attachment/3594ad98-838d-4960-84fb-b8c601ea44dd/1576046878763.jpg</v>
      </c>
      <c r="P96" t="str">
        <f>HYPERLINK("https://www.commcarehq.org/a/demo-18/api/form/attachment/3594ad98-838d-4960-84fb-b8c601ea44dd/1576046887041.jpg")</f>
        <v>https://www.commcarehq.org/a/demo-18/api/form/attachment/3594ad98-838d-4960-84fb-b8c601ea44dd/1576046887041.jpg</v>
      </c>
      <c r="Q96" s="2">
        <v>43810.283425925925</v>
      </c>
      <c r="R96" s="2">
        <v>43810.2815162037</v>
      </c>
      <c r="S96" t="s">
        <v>32</v>
      </c>
      <c r="T96" s="2">
        <v>43810.436874999999</v>
      </c>
      <c r="U96" t="s">
        <v>503</v>
      </c>
      <c r="V96" t="s">
        <v>504</v>
      </c>
    </row>
    <row r="97" spans="1:22" x14ac:dyDescent="0.45">
      <c r="A97" t="s">
        <v>19</v>
      </c>
      <c r="B97">
        <v>3.8</v>
      </c>
      <c r="C97" s="1">
        <v>43834</v>
      </c>
      <c r="D97" s="1">
        <v>43804</v>
      </c>
      <c r="E97" t="s">
        <v>428</v>
      </c>
      <c r="F97" t="s">
        <v>429</v>
      </c>
      <c r="G97" t="s">
        <v>429</v>
      </c>
      <c r="H97" t="s">
        <v>498</v>
      </c>
      <c r="I97" t="s">
        <v>428</v>
      </c>
      <c r="J97" t="s">
        <v>429</v>
      </c>
      <c r="K97" t="str">
        <f>HYPERLINK("https://www.commcarehq.org/a/demo-18/api/form/attachment/f77ea4d6-4732-4ae1-9fbe-f44c73b93f5a/1575528423307.jpg")</f>
        <v>https://www.commcarehq.org/a/demo-18/api/form/attachment/f77ea4d6-4732-4ae1-9fbe-f44c73b93f5a/1575528423307.jpg</v>
      </c>
      <c r="L97" t="str">
        <f>HYPERLINK("https://www.commcarehq.org/a/demo-18/api/form/attachment/f77ea4d6-4732-4ae1-9fbe-f44c73b93f5a/1575528451714.jpg")</f>
        <v>https://www.commcarehq.org/a/demo-18/api/form/attachment/f77ea4d6-4732-4ae1-9fbe-f44c73b93f5a/1575528451714.jpg</v>
      </c>
      <c r="M97" t="str">
        <f>HYPERLINK("https://www.commcarehq.org/a/demo-18/api/form/attachment/f77ea4d6-4732-4ae1-9fbe-f44c73b93f5a/1575528544040.jpg")</f>
        <v>https://www.commcarehq.org/a/demo-18/api/form/attachment/f77ea4d6-4732-4ae1-9fbe-f44c73b93f5a/1575528544040.jpg</v>
      </c>
      <c r="N97" t="str">
        <f>HYPERLINK("https://www.commcarehq.org/a/demo-18/api/form/attachment/f77ea4d6-4732-4ae1-9fbe-f44c73b93f5a/1575528556801.jpg")</f>
        <v>https://www.commcarehq.org/a/demo-18/api/form/attachment/f77ea4d6-4732-4ae1-9fbe-f44c73b93f5a/1575528556801.jpg</v>
      </c>
      <c r="O97" t="str">
        <f>HYPERLINK("https://www.commcarehq.org/a/demo-18/api/form/attachment/f77ea4d6-4732-4ae1-9fbe-f44c73b93f5a/1575528590651.jpg")</f>
        <v>https://www.commcarehq.org/a/demo-18/api/form/attachment/f77ea4d6-4732-4ae1-9fbe-f44c73b93f5a/1575528590651.jpg</v>
      </c>
      <c r="P97" t="str">
        <f>HYPERLINK("https://www.commcarehq.org/a/demo-18/api/form/attachment/f77ea4d6-4732-4ae1-9fbe-f44c73b93f5a/1575528600927.jpg")</f>
        <v>https://www.commcarehq.org/a/demo-18/api/form/attachment/f77ea4d6-4732-4ae1-9fbe-f44c73b93f5a/1575528600927.jpg</v>
      </c>
      <c r="Q97" s="2">
        <v>43804.284756944442</v>
      </c>
      <c r="R97" s="2">
        <v>43804.281631944446</v>
      </c>
      <c r="S97" t="s">
        <v>32</v>
      </c>
      <c r="T97" s="2">
        <v>43804.406122685185</v>
      </c>
      <c r="U97" t="s">
        <v>505</v>
      </c>
      <c r="V97" t="s">
        <v>506</v>
      </c>
    </row>
    <row r="98" spans="1:22" x14ac:dyDescent="0.45">
      <c r="A98" t="s">
        <v>373</v>
      </c>
      <c r="B98">
        <v>4.4000000000000004</v>
      </c>
      <c r="C98" s="1">
        <v>43849</v>
      </c>
      <c r="D98" s="1">
        <v>43819</v>
      </c>
      <c r="E98" t="s">
        <v>428</v>
      </c>
      <c r="F98" t="s">
        <v>429</v>
      </c>
      <c r="G98" t="s">
        <v>429</v>
      </c>
      <c r="H98" t="s">
        <v>430</v>
      </c>
      <c r="I98" t="s">
        <v>428</v>
      </c>
      <c r="J98" t="s">
        <v>429</v>
      </c>
      <c r="K98" t="str">
        <f>HYPERLINK("https://www.commcarehq.org/a/demo-18/api/form/attachment/a4af11f8-c2d6-4be6-ba68-26543a2f6cc6/1576828176243.jpg")</f>
        <v>https://www.commcarehq.org/a/demo-18/api/form/attachment/a4af11f8-c2d6-4be6-ba68-26543a2f6cc6/1576828176243.jpg</v>
      </c>
      <c r="L98" t="str">
        <f>HYPERLINK("https://www.commcarehq.org/a/demo-18/api/form/attachment/a4af11f8-c2d6-4be6-ba68-26543a2f6cc6/1576828199003.jpg")</f>
        <v>https://www.commcarehq.org/a/demo-18/api/form/attachment/a4af11f8-c2d6-4be6-ba68-26543a2f6cc6/1576828199003.jpg</v>
      </c>
      <c r="M98" t="str">
        <f>HYPERLINK("https://www.commcarehq.org/a/demo-18/api/form/attachment/a4af11f8-c2d6-4be6-ba68-26543a2f6cc6/1576828269967.jpg")</f>
        <v>https://www.commcarehq.org/a/demo-18/api/form/attachment/a4af11f8-c2d6-4be6-ba68-26543a2f6cc6/1576828269967.jpg</v>
      </c>
      <c r="N98" t="str">
        <f>HYPERLINK("https://www.commcarehq.org/a/demo-18/api/form/attachment/a4af11f8-c2d6-4be6-ba68-26543a2f6cc6/1576828280845.jpg")</f>
        <v>https://www.commcarehq.org/a/demo-18/api/form/attachment/a4af11f8-c2d6-4be6-ba68-26543a2f6cc6/1576828280845.jpg</v>
      </c>
      <c r="O98" t="str">
        <f>HYPERLINK("https://www.commcarehq.org/a/demo-18/api/form/attachment/a4af11f8-c2d6-4be6-ba68-26543a2f6cc6/1576828301056.jpg")</f>
        <v>https://www.commcarehq.org/a/demo-18/api/form/attachment/a4af11f8-c2d6-4be6-ba68-26543a2f6cc6/1576828301056.jpg</v>
      </c>
      <c r="P98" t="str">
        <f>HYPERLINK("https://www.commcarehq.org/a/demo-18/api/form/attachment/a4af11f8-c2d6-4be6-ba68-26543a2f6cc6/1576828310197.jpg")</f>
        <v>https://www.commcarehq.org/a/demo-18/api/form/attachment/a4af11f8-c2d6-4be6-ba68-26543a2f6cc6/1576828310197.jpg</v>
      </c>
      <c r="Q98" s="2">
        <v>43819.327685185184</v>
      </c>
      <c r="R98" s="2">
        <v>43819.325092592589</v>
      </c>
      <c r="S98" t="s">
        <v>32</v>
      </c>
      <c r="T98" s="2">
        <v>43819.327893518515</v>
      </c>
      <c r="U98" s="3" t="s">
        <v>913</v>
      </c>
      <c r="V98" t="s">
        <v>914</v>
      </c>
    </row>
    <row r="99" spans="1:22" x14ac:dyDescent="0.45">
      <c r="A99" t="s">
        <v>71</v>
      </c>
      <c r="B99">
        <v>5.8</v>
      </c>
      <c r="C99" s="1">
        <v>43852</v>
      </c>
      <c r="D99" s="1">
        <v>43822</v>
      </c>
      <c r="E99" t="s">
        <v>428</v>
      </c>
      <c r="F99" t="s">
        <v>429</v>
      </c>
      <c r="G99" t="s">
        <v>429</v>
      </c>
      <c r="H99" t="s">
        <v>430</v>
      </c>
      <c r="I99" t="s">
        <v>428</v>
      </c>
      <c r="J99" t="s">
        <v>429</v>
      </c>
      <c r="K99" t="str">
        <f>HYPERLINK("https://www.commcarehq.org/a/demo-18/api/form/attachment/010e11d8-2391-4b1a-b697-0f7ebf434be8/1577082058865.jpg")</f>
        <v>https://www.commcarehq.org/a/demo-18/api/form/attachment/010e11d8-2391-4b1a-b697-0f7ebf434be8/1577082058865.jpg</v>
      </c>
      <c r="L99" t="str">
        <f>HYPERLINK("https://www.commcarehq.org/a/demo-18/api/form/attachment/010e11d8-2391-4b1a-b697-0f7ebf434be8/1577082078616.jpg")</f>
        <v>https://www.commcarehq.org/a/demo-18/api/form/attachment/010e11d8-2391-4b1a-b697-0f7ebf434be8/1577082078616.jpg</v>
      </c>
      <c r="M99" t="str">
        <f>HYPERLINK("https://www.commcarehq.org/a/demo-18/api/form/attachment/010e11d8-2391-4b1a-b697-0f7ebf434be8/1577082183784.jpg")</f>
        <v>https://www.commcarehq.org/a/demo-18/api/form/attachment/010e11d8-2391-4b1a-b697-0f7ebf434be8/1577082183784.jpg</v>
      </c>
      <c r="N99" t="str">
        <f>HYPERLINK("https://www.commcarehq.org/a/demo-18/api/form/attachment/010e11d8-2391-4b1a-b697-0f7ebf434be8/1577082193829.jpg")</f>
        <v>https://www.commcarehq.org/a/demo-18/api/form/attachment/010e11d8-2391-4b1a-b697-0f7ebf434be8/1577082193829.jpg</v>
      </c>
      <c r="O99" t="str">
        <f>HYPERLINK("https://www.commcarehq.org/a/demo-18/api/form/attachment/010e11d8-2391-4b1a-b697-0f7ebf434be8/1577082213992.jpg")</f>
        <v>https://www.commcarehq.org/a/demo-18/api/form/attachment/010e11d8-2391-4b1a-b697-0f7ebf434be8/1577082213992.jpg</v>
      </c>
      <c r="P99" t="str">
        <f>HYPERLINK("https://www.commcarehq.org/a/demo-18/api/form/attachment/010e11d8-2391-4b1a-b697-0f7ebf434be8/1577082223238.jpg")</f>
        <v>https://www.commcarehq.org/a/demo-18/api/form/attachment/010e11d8-2391-4b1a-b697-0f7ebf434be8/1577082223238.jpg</v>
      </c>
      <c r="Q99" s="2">
        <v>43822.266493055555</v>
      </c>
      <c r="R99" s="2">
        <v>43822.264074074075</v>
      </c>
      <c r="S99" t="s">
        <v>32</v>
      </c>
      <c r="T99" s="2">
        <v>43822.26667824074</v>
      </c>
      <c r="U99" t="s">
        <v>917</v>
      </c>
      <c r="V99" t="s">
        <v>918</v>
      </c>
    </row>
    <row r="100" spans="1:22" x14ac:dyDescent="0.45">
      <c r="A100" t="s">
        <v>181</v>
      </c>
      <c r="B100">
        <v>4.2</v>
      </c>
      <c r="C100" s="1">
        <v>43852</v>
      </c>
      <c r="D100" s="1">
        <v>43822</v>
      </c>
      <c r="E100" t="s">
        <v>428</v>
      </c>
      <c r="F100" t="s">
        <v>429</v>
      </c>
      <c r="G100" t="s">
        <v>429</v>
      </c>
      <c r="H100" t="s">
        <v>430</v>
      </c>
      <c r="I100" t="s">
        <v>428</v>
      </c>
      <c r="J100" t="s">
        <v>429</v>
      </c>
      <c r="K100" t="str">
        <f>HYPERLINK("https://www.commcarehq.org/a/demo-18/api/form/attachment/0c594a7b-9764-47c6-b26e-bf741944d447/1577088387862.jpg")</f>
        <v>https://www.commcarehq.org/a/demo-18/api/form/attachment/0c594a7b-9764-47c6-b26e-bf741944d447/1577088387862.jpg</v>
      </c>
      <c r="L100" t="str">
        <f>HYPERLINK("https://www.commcarehq.org/a/demo-18/api/form/attachment/0c594a7b-9764-47c6-b26e-bf741944d447/1577088400189.jpg")</f>
        <v>https://www.commcarehq.org/a/demo-18/api/form/attachment/0c594a7b-9764-47c6-b26e-bf741944d447/1577088400189.jpg</v>
      </c>
      <c r="M100" t="str">
        <f>HYPERLINK("https://www.commcarehq.org/a/demo-18/api/form/attachment/0c594a7b-9764-47c6-b26e-bf741944d447/1577088556663.jpg")</f>
        <v>https://www.commcarehq.org/a/demo-18/api/form/attachment/0c594a7b-9764-47c6-b26e-bf741944d447/1577088556663.jpg</v>
      </c>
      <c r="N100" t="str">
        <f>HYPERLINK("https://www.commcarehq.org/a/demo-18/api/form/attachment/0c594a7b-9764-47c6-b26e-bf741944d447/1577088566884.jpg")</f>
        <v>https://www.commcarehq.org/a/demo-18/api/form/attachment/0c594a7b-9764-47c6-b26e-bf741944d447/1577088566884.jpg</v>
      </c>
      <c r="O100" t="str">
        <f>HYPERLINK("https://www.commcarehq.org/a/demo-18/api/form/attachment/0c594a7b-9764-47c6-b26e-bf741944d447/1577088596621.jpg")</f>
        <v>https://www.commcarehq.org/a/demo-18/api/form/attachment/0c594a7b-9764-47c6-b26e-bf741944d447/1577088596621.jpg</v>
      </c>
      <c r="P100" t="str">
        <f>HYPERLINK("https://www.commcarehq.org/a/demo-18/api/form/attachment/0c594a7b-9764-47c6-b26e-bf741944d447/1577088613949.jpg")</f>
        <v>https://www.commcarehq.org/a/demo-18/api/form/attachment/0c594a7b-9764-47c6-b26e-bf741944d447/1577088613949.jpg</v>
      </c>
      <c r="Q100" s="2">
        <v>43822.340451388889</v>
      </c>
      <c r="R100" s="2">
        <v>43822.337048611109</v>
      </c>
      <c r="S100" t="s">
        <v>32</v>
      </c>
      <c r="T100" s="2">
        <v>43822.340682870374</v>
      </c>
      <c r="U100" t="s">
        <v>919</v>
      </c>
      <c r="V100" t="s">
        <v>920</v>
      </c>
    </row>
    <row r="101" spans="1:22" x14ac:dyDescent="0.45">
      <c r="A101" t="s">
        <v>47</v>
      </c>
      <c r="B101">
        <v>4.8</v>
      </c>
      <c r="C101" s="1">
        <v>43852</v>
      </c>
      <c r="D101" s="1">
        <v>43822</v>
      </c>
      <c r="E101" t="s">
        <v>428</v>
      </c>
      <c r="F101" t="s">
        <v>429</v>
      </c>
      <c r="G101" t="s">
        <v>429</v>
      </c>
      <c r="H101" t="s">
        <v>430</v>
      </c>
      <c r="I101" t="s">
        <v>428</v>
      </c>
      <c r="J101" t="s">
        <v>429</v>
      </c>
      <c r="K101" t="str">
        <f>HYPERLINK("https://www.commcarehq.org/a/demo-18/api/form/attachment/6ecdc47b-cf2b-4422-8cf3-ecb3466788e7/1577082803058.jpg")</f>
        <v>https://www.commcarehq.org/a/demo-18/api/form/attachment/6ecdc47b-cf2b-4422-8cf3-ecb3466788e7/1577082803058.jpg</v>
      </c>
      <c r="L101" t="str">
        <f>HYPERLINK("https://www.commcarehq.org/a/demo-18/api/form/attachment/6ecdc47b-cf2b-4422-8cf3-ecb3466788e7/1577082818934.jpg")</f>
        <v>https://www.commcarehq.org/a/demo-18/api/form/attachment/6ecdc47b-cf2b-4422-8cf3-ecb3466788e7/1577082818934.jpg</v>
      </c>
      <c r="M101" t="str">
        <f>HYPERLINK("https://www.commcarehq.org/a/demo-18/api/form/attachment/6ecdc47b-cf2b-4422-8cf3-ecb3466788e7/1577082863382.jpg")</f>
        <v>https://www.commcarehq.org/a/demo-18/api/form/attachment/6ecdc47b-cf2b-4422-8cf3-ecb3466788e7/1577082863382.jpg</v>
      </c>
      <c r="N101" t="str">
        <f>HYPERLINK("https://www.commcarehq.org/a/demo-18/api/form/attachment/6ecdc47b-cf2b-4422-8cf3-ecb3466788e7/1577082873467.jpg")</f>
        <v>https://www.commcarehq.org/a/demo-18/api/form/attachment/6ecdc47b-cf2b-4422-8cf3-ecb3466788e7/1577082873467.jpg</v>
      </c>
      <c r="O101" t="str">
        <f>HYPERLINK("https://www.commcarehq.org/a/demo-18/api/form/attachment/6ecdc47b-cf2b-4422-8cf3-ecb3466788e7/1577082890385.jpg")</f>
        <v>https://www.commcarehq.org/a/demo-18/api/form/attachment/6ecdc47b-cf2b-4422-8cf3-ecb3466788e7/1577082890385.jpg</v>
      </c>
      <c r="P101" t="str">
        <f>HYPERLINK("https://www.commcarehq.org/a/demo-18/api/form/attachment/6ecdc47b-cf2b-4422-8cf3-ecb3466788e7/1577082900653.jpg")</f>
        <v>https://www.commcarehq.org/a/demo-18/api/form/attachment/6ecdc47b-cf2b-4422-8cf3-ecb3466788e7/1577082900653.jpg</v>
      </c>
      <c r="Q101" s="2">
        <v>43822.274328703701</v>
      </c>
      <c r="R101" s="2">
        <v>43822.272835648146</v>
      </c>
      <c r="S101" t="s">
        <v>32</v>
      </c>
      <c r="T101" s="2">
        <v>43822.274525462963</v>
      </c>
      <c r="U101" t="s">
        <v>915</v>
      </c>
      <c r="V101" t="s">
        <v>916</v>
      </c>
    </row>
    <row r="102" spans="1:22" x14ac:dyDescent="0.45">
      <c r="A102" t="s">
        <v>226</v>
      </c>
      <c r="B102">
        <v>5.9</v>
      </c>
      <c r="C102" s="1">
        <v>43855</v>
      </c>
      <c r="D102" s="1">
        <v>43825</v>
      </c>
      <c r="E102" t="s">
        <v>428</v>
      </c>
      <c r="F102" t="s">
        <v>429</v>
      </c>
      <c r="G102" t="s">
        <v>429</v>
      </c>
      <c r="H102" t="s">
        <v>430</v>
      </c>
      <c r="I102" t="s">
        <v>428</v>
      </c>
      <c r="J102" t="s">
        <v>429</v>
      </c>
      <c r="K102" t="str">
        <f>HYPERLINK("https://www.commcarehq.org/a/demo-18/api/form/attachment/d2e0ee70-1eee-47d2-95bc-2cada84fb63c/1577342487726.jpg")</f>
        <v>https://www.commcarehq.org/a/demo-18/api/form/attachment/d2e0ee70-1eee-47d2-95bc-2cada84fb63c/1577342487726.jpg</v>
      </c>
      <c r="L102" t="str">
        <f>HYPERLINK("https://www.commcarehq.org/a/demo-18/api/form/attachment/d2e0ee70-1eee-47d2-95bc-2cada84fb63c/1577342510336.jpg")</f>
        <v>https://www.commcarehq.org/a/demo-18/api/form/attachment/d2e0ee70-1eee-47d2-95bc-2cada84fb63c/1577342510336.jpg</v>
      </c>
      <c r="M102" t="str">
        <f>HYPERLINK("https://www.commcarehq.org/a/demo-18/api/form/attachment/d2e0ee70-1eee-47d2-95bc-2cada84fb63c/1577342551712.jpg")</f>
        <v>https://www.commcarehq.org/a/demo-18/api/form/attachment/d2e0ee70-1eee-47d2-95bc-2cada84fb63c/1577342551712.jpg</v>
      </c>
      <c r="N102" t="str">
        <f>HYPERLINK("https://www.commcarehq.org/a/demo-18/api/form/attachment/d2e0ee70-1eee-47d2-95bc-2cada84fb63c/1577342563105.jpg")</f>
        <v>https://www.commcarehq.org/a/demo-18/api/form/attachment/d2e0ee70-1eee-47d2-95bc-2cada84fb63c/1577342563105.jpg</v>
      </c>
      <c r="O102" t="str">
        <f>HYPERLINK("https://www.commcarehq.org/a/demo-18/api/form/attachment/d2e0ee70-1eee-47d2-95bc-2cada84fb63c/1577342579231.jpg")</f>
        <v>https://www.commcarehq.org/a/demo-18/api/form/attachment/d2e0ee70-1eee-47d2-95bc-2cada84fb63c/1577342579231.jpg</v>
      </c>
      <c r="P102" t="str">
        <f>HYPERLINK("https://www.commcarehq.org/a/demo-18/api/form/attachment/d2e0ee70-1eee-47d2-95bc-2cada84fb63c/1577342590229.jpg")</f>
        <v>https://www.commcarehq.org/a/demo-18/api/form/attachment/d2e0ee70-1eee-47d2-95bc-2cada84fb63c/1577342590229.jpg</v>
      </c>
      <c r="Q102" s="2">
        <v>43825.279999999999</v>
      </c>
      <c r="R102" s="2">
        <v>43825.27820601852</v>
      </c>
      <c r="S102" t="s">
        <v>32</v>
      </c>
      <c r="T102" s="2">
        <v>43825.285879629628</v>
      </c>
      <c r="U102" t="s">
        <v>921</v>
      </c>
      <c r="V102" t="s">
        <v>922</v>
      </c>
    </row>
    <row r="103" spans="1:22" x14ac:dyDescent="0.45">
      <c r="A103" t="s">
        <v>382</v>
      </c>
      <c r="B103">
        <v>4.9000000000000004</v>
      </c>
      <c r="C103" s="1">
        <v>43873</v>
      </c>
      <c r="D103" s="1">
        <v>43843</v>
      </c>
      <c r="E103" t="s">
        <v>428</v>
      </c>
      <c r="F103" t="s">
        <v>429</v>
      </c>
      <c r="G103" t="s">
        <v>429</v>
      </c>
      <c r="H103" t="s">
        <v>498</v>
      </c>
      <c r="I103" t="s">
        <v>428</v>
      </c>
      <c r="J103" t="s">
        <v>429</v>
      </c>
      <c r="K103" t="str">
        <f>HYPERLINK("https://www.commcarehq.org/a/demo-18/api/form/attachment/ada157aa-77e3-4e80-93fb-2bbdd33076f8/1578906370081.jpg")</f>
        <v>https://www.commcarehq.org/a/demo-18/api/form/attachment/ada157aa-77e3-4e80-93fb-2bbdd33076f8/1578906370081.jpg</v>
      </c>
      <c r="L103" t="str">
        <f>HYPERLINK("https://www.commcarehq.org/a/demo-18/api/form/attachment/ada157aa-77e3-4e80-93fb-2bbdd33076f8/1578906392532.jpg")</f>
        <v>https://www.commcarehq.org/a/demo-18/api/form/attachment/ada157aa-77e3-4e80-93fb-2bbdd33076f8/1578906392532.jpg</v>
      </c>
      <c r="M103" t="str">
        <f>HYPERLINK("https://www.commcarehq.org/a/demo-18/api/form/attachment/ada157aa-77e3-4e80-93fb-2bbdd33076f8/1578906433138.jpg")</f>
        <v>https://www.commcarehq.org/a/demo-18/api/form/attachment/ada157aa-77e3-4e80-93fb-2bbdd33076f8/1578906433138.jpg</v>
      </c>
      <c r="N103" t="str">
        <f>HYPERLINK("https://www.commcarehq.org/a/demo-18/api/form/attachment/ada157aa-77e3-4e80-93fb-2bbdd33076f8/1578906443410.jpg")</f>
        <v>https://www.commcarehq.org/a/demo-18/api/form/attachment/ada157aa-77e3-4e80-93fb-2bbdd33076f8/1578906443410.jpg</v>
      </c>
      <c r="O103" t="str">
        <f>HYPERLINK("https://www.commcarehq.org/a/demo-18/api/form/attachment/ada157aa-77e3-4e80-93fb-2bbdd33076f8/1578906465813.jpg")</f>
        <v>https://www.commcarehq.org/a/demo-18/api/form/attachment/ada157aa-77e3-4e80-93fb-2bbdd33076f8/1578906465813.jpg</v>
      </c>
      <c r="P103" t="str">
        <f>HYPERLINK("https://www.commcarehq.org/a/demo-18/api/form/attachment/ada157aa-77e3-4e80-93fb-2bbdd33076f8/1578906477091.jpg")</f>
        <v>https://www.commcarehq.org/a/demo-18/api/form/attachment/ada157aa-77e3-4e80-93fb-2bbdd33076f8/1578906477091.jpg</v>
      </c>
      <c r="Q103" s="2">
        <v>43843.380543981482</v>
      </c>
      <c r="R103" s="2">
        <v>43843.378518518519</v>
      </c>
      <c r="S103" t="s">
        <v>32</v>
      </c>
      <c r="T103" s="2">
        <v>43843.380787037036</v>
      </c>
      <c r="U103" t="s">
        <v>1029</v>
      </c>
      <c r="V103" t="s">
        <v>1030</v>
      </c>
    </row>
    <row r="104" spans="1:22" x14ac:dyDescent="0.45">
      <c r="A104" t="s">
        <v>283</v>
      </c>
      <c r="B104">
        <v>4.5</v>
      </c>
      <c r="C104" s="1">
        <v>43877</v>
      </c>
      <c r="D104" s="1">
        <v>43847</v>
      </c>
      <c r="E104" t="s">
        <v>428</v>
      </c>
      <c r="F104" t="s">
        <v>429</v>
      </c>
      <c r="G104" t="s">
        <v>429</v>
      </c>
      <c r="H104" t="s">
        <v>447</v>
      </c>
      <c r="I104" t="s">
        <v>428</v>
      </c>
      <c r="J104" t="s">
        <v>429</v>
      </c>
      <c r="K104" t="str">
        <f>HYPERLINK("https://www.commcarehq.org/a/demo-18/api/form/attachment/652c6970-6998-4283-9174-03629d9fbed3/1579248875238.jpg")</f>
        <v>https://www.commcarehq.org/a/demo-18/api/form/attachment/652c6970-6998-4283-9174-03629d9fbed3/1579248875238.jpg</v>
      </c>
      <c r="L104" t="str">
        <f>HYPERLINK("https://www.commcarehq.org/a/demo-18/api/form/attachment/652c6970-6998-4283-9174-03629d9fbed3/1579248914027.jpg")</f>
        <v>https://www.commcarehq.org/a/demo-18/api/form/attachment/652c6970-6998-4283-9174-03629d9fbed3/1579248914027.jpg</v>
      </c>
      <c r="M104" t="str">
        <f>HYPERLINK("https://www.commcarehq.org/a/demo-18/api/form/attachment/652c6970-6998-4283-9174-03629d9fbed3/1579249022285.jpg")</f>
        <v>https://www.commcarehq.org/a/demo-18/api/form/attachment/652c6970-6998-4283-9174-03629d9fbed3/1579249022285.jpg</v>
      </c>
      <c r="N104" t="str">
        <f>HYPERLINK("https://www.commcarehq.org/a/demo-18/api/form/attachment/652c6970-6998-4283-9174-03629d9fbed3/1579249031985.jpg")</f>
        <v>https://www.commcarehq.org/a/demo-18/api/form/attachment/652c6970-6998-4283-9174-03629d9fbed3/1579249031985.jpg</v>
      </c>
      <c r="O104" t="str">
        <f>HYPERLINK("https://www.commcarehq.org/a/demo-18/api/form/attachment/652c6970-6998-4283-9174-03629d9fbed3/1579249049399.jpg")</f>
        <v>https://www.commcarehq.org/a/demo-18/api/form/attachment/652c6970-6998-4283-9174-03629d9fbed3/1579249049399.jpg</v>
      </c>
      <c r="P104" t="str">
        <f>HYPERLINK("https://www.commcarehq.org/a/demo-18/api/form/attachment/652c6970-6998-4283-9174-03629d9fbed3/1579249059709.jpg")</f>
        <v>https://www.commcarehq.org/a/demo-18/api/form/attachment/652c6970-6998-4283-9174-03629d9fbed3/1579249059709.jpg</v>
      </c>
      <c r="Q104" s="2">
        <v>43847.345613425925</v>
      </c>
      <c r="R104" s="2">
        <v>43847.342418981483</v>
      </c>
      <c r="S104" t="s">
        <v>32</v>
      </c>
      <c r="T104" s="2">
        <v>43847.345833333333</v>
      </c>
      <c r="U104" t="s">
        <v>1098</v>
      </c>
      <c r="V104" t="s">
        <v>1099</v>
      </c>
    </row>
    <row r="105" spans="1:22" x14ac:dyDescent="0.45">
      <c r="A105" t="s">
        <v>391</v>
      </c>
      <c r="B105">
        <v>5.5</v>
      </c>
      <c r="C105" s="1">
        <v>43868</v>
      </c>
      <c r="D105" s="1">
        <v>43838</v>
      </c>
      <c r="E105" t="s">
        <v>428</v>
      </c>
      <c r="F105" t="s">
        <v>429</v>
      </c>
      <c r="G105" t="s">
        <v>429</v>
      </c>
      <c r="H105" t="s">
        <v>430</v>
      </c>
      <c r="I105" t="s">
        <v>428</v>
      </c>
      <c r="J105" t="s">
        <v>429</v>
      </c>
      <c r="K105" t="str">
        <f>HYPERLINK("https://www.commcarehq.org/a/demo-18/api/form/attachment/d12bff4c-15ed-433e-a5c7-e7fc9a2fd174/1578472150951.jpg")</f>
        <v>https://www.commcarehq.org/a/demo-18/api/form/attachment/d12bff4c-15ed-433e-a5c7-e7fc9a2fd174/1578472150951.jpg</v>
      </c>
      <c r="L105" t="str">
        <f>HYPERLINK("https://www.commcarehq.org/a/demo-18/api/form/attachment/d12bff4c-15ed-433e-a5c7-e7fc9a2fd174/1578472164834.jpg")</f>
        <v>https://www.commcarehq.org/a/demo-18/api/form/attachment/d12bff4c-15ed-433e-a5c7-e7fc9a2fd174/1578472164834.jpg</v>
      </c>
      <c r="M105" t="str">
        <f>HYPERLINK("https://www.commcarehq.org/a/demo-18/api/form/attachment/d12bff4c-15ed-433e-a5c7-e7fc9a2fd174/1578472199700.jpg")</f>
        <v>https://www.commcarehq.org/a/demo-18/api/form/attachment/d12bff4c-15ed-433e-a5c7-e7fc9a2fd174/1578472199700.jpg</v>
      </c>
      <c r="N105" t="str">
        <f>HYPERLINK("https://www.commcarehq.org/a/demo-18/api/form/attachment/d12bff4c-15ed-433e-a5c7-e7fc9a2fd174/1578472211359.jpg")</f>
        <v>https://www.commcarehq.org/a/demo-18/api/form/attachment/d12bff4c-15ed-433e-a5c7-e7fc9a2fd174/1578472211359.jpg</v>
      </c>
      <c r="O105" t="str">
        <f>HYPERLINK("https://www.commcarehq.org/a/demo-18/api/form/attachment/d12bff4c-15ed-433e-a5c7-e7fc9a2fd174/1578472235483.jpg")</f>
        <v>https://www.commcarehq.org/a/demo-18/api/form/attachment/d12bff4c-15ed-433e-a5c7-e7fc9a2fd174/1578472235483.jpg</v>
      </c>
      <c r="P105" t="str">
        <f>HYPERLINK("https://www.commcarehq.org/a/demo-18/api/form/attachment/d12bff4c-15ed-433e-a5c7-e7fc9a2fd174/1578472246003.jpg")</f>
        <v>https://www.commcarehq.org/a/demo-18/api/form/attachment/d12bff4c-15ed-433e-a5c7-e7fc9a2fd174/1578472246003.jpg</v>
      </c>
      <c r="Q105" s="2">
        <v>43838.354710648149</v>
      </c>
      <c r="R105" s="2">
        <v>43838.353009259263</v>
      </c>
      <c r="S105" t="s">
        <v>32</v>
      </c>
      <c r="T105" s="2">
        <v>43838.354953703703</v>
      </c>
      <c r="U105" s="3" t="s">
        <v>981</v>
      </c>
      <c r="V105" t="s">
        <v>982</v>
      </c>
    </row>
    <row r="106" spans="1:22" x14ac:dyDescent="0.45">
      <c r="A106" t="s">
        <v>238</v>
      </c>
      <c r="B106">
        <v>5.0999999999999996</v>
      </c>
      <c r="C106" s="1">
        <v>43870</v>
      </c>
      <c r="D106" s="1">
        <v>43840</v>
      </c>
      <c r="E106" t="s">
        <v>428</v>
      </c>
      <c r="F106" t="s">
        <v>429</v>
      </c>
      <c r="G106" t="s">
        <v>429</v>
      </c>
      <c r="H106" t="s">
        <v>447</v>
      </c>
      <c r="I106" t="s">
        <v>428</v>
      </c>
      <c r="J106" t="s">
        <v>429</v>
      </c>
      <c r="K106" t="str">
        <f>HYPERLINK("https://www.commcarehq.org/a/demo-18/api/form/attachment/99251c9e-8bee-48c5-8f15-5032459643e8/1578637826278.jpg")</f>
        <v>https://www.commcarehq.org/a/demo-18/api/form/attachment/99251c9e-8bee-48c5-8f15-5032459643e8/1578637826278.jpg</v>
      </c>
      <c r="L106" t="str">
        <f>HYPERLINK("https://www.commcarehq.org/a/demo-18/api/form/attachment/99251c9e-8bee-48c5-8f15-5032459643e8/1578637844174.jpg")</f>
        <v>https://www.commcarehq.org/a/demo-18/api/form/attachment/99251c9e-8bee-48c5-8f15-5032459643e8/1578637844174.jpg</v>
      </c>
      <c r="M106" t="str">
        <f>HYPERLINK("https://www.commcarehq.org/a/demo-18/api/form/attachment/99251c9e-8bee-48c5-8f15-5032459643e8/1578637879867.jpg")</f>
        <v>https://www.commcarehq.org/a/demo-18/api/form/attachment/99251c9e-8bee-48c5-8f15-5032459643e8/1578637879867.jpg</v>
      </c>
      <c r="N106" t="str">
        <f>HYPERLINK("https://www.commcarehq.org/a/demo-18/api/form/attachment/99251c9e-8bee-48c5-8f15-5032459643e8/1578637889670.jpg")</f>
        <v>https://www.commcarehq.org/a/demo-18/api/form/attachment/99251c9e-8bee-48c5-8f15-5032459643e8/1578637889670.jpg</v>
      </c>
      <c r="O106" t="str">
        <f>HYPERLINK("https://www.commcarehq.org/a/demo-18/api/form/attachment/99251c9e-8bee-48c5-8f15-5032459643e8/1578637906793.jpg")</f>
        <v>https://www.commcarehq.org/a/demo-18/api/form/attachment/99251c9e-8bee-48c5-8f15-5032459643e8/1578637906793.jpg</v>
      </c>
      <c r="P106" t="str">
        <f>HYPERLINK("https://www.commcarehq.org/a/demo-18/api/form/attachment/99251c9e-8bee-48c5-8f15-5032459643e8/1578637916936.jpg")</f>
        <v>https://www.commcarehq.org/a/demo-18/api/form/attachment/99251c9e-8bee-48c5-8f15-5032459643e8/1578637916936.jpg</v>
      </c>
      <c r="Q106" s="2">
        <v>43840.272199074076</v>
      </c>
      <c r="R106" s="2">
        <v>43840.269583333335</v>
      </c>
      <c r="S106" t="s">
        <v>32</v>
      </c>
      <c r="T106" s="2">
        <v>43840.272546296299</v>
      </c>
      <c r="U106" t="s">
        <v>1017</v>
      </c>
      <c r="V106" t="s">
        <v>1018</v>
      </c>
    </row>
    <row r="107" spans="1:22" x14ac:dyDescent="0.45">
      <c r="A107" t="s">
        <v>98</v>
      </c>
      <c r="B107">
        <v>5.0999999999999996</v>
      </c>
      <c r="C107" s="1">
        <v>43868</v>
      </c>
      <c r="D107" s="1">
        <v>43838</v>
      </c>
      <c r="E107" t="s">
        <v>428</v>
      </c>
      <c r="F107" t="s">
        <v>429</v>
      </c>
      <c r="G107" t="s">
        <v>429</v>
      </c>
      <c r="H107" t="s">
        <v>430</v>
      </c>
      <c r="I107" t="s">
        <v>428</v>
      </c>
      <c r="J107" t="s">
        <v>429</v>
      </c>
      <c r="K107" t="str">
        <f>HYPERLINK("https://www.commcarehq.org/a/demo-18/api/form/attachment/21859684-74cb-488d-a9b4-06bb2e1ece26/1578466541010.jpg")</f>
        <v>https://www.commcarehq.org/a/demo-18/api/form/attachment/21859684-74cb-488d-a9b4-06bb2e1ece26/1578466541010.jpg</v>
      </c>
      <c r="L107" t="str">
        <f>HYPERLINK("https://www.commcarehq.org/a/demo-18/api/form/attachment/21859684-74cb-488d-a9b4-06bb2e1ece26/1578466566052.jpg")</f>
        <v>https://www.commcarehq.org/a/demo-18/api/form/attachment/21859684-74cb-488d-a9b4-06bb2e1ece26/1578466566052.jpg</v>
      </c>
      <c r="M107" t="str">
        <f>HYPERLINK("https://www.commcarehq.org/a/demo-18/api/form/attachment/21859684-74cb-488d-a9b4-06bb2e1ece26/1578466666610.jpg")</f>
        <v>https://www.commcarehq.org/a/demo-18/api/form/attachment/21859684-74cb-488d-a9b4-06bb2e1ece26/1578466666610.jpg</v>
      </c>
      <c r="N107" t="str">
        <f>HYPERLINK("https://www.commcarehq.org/a/demo-18/api/form/attachment/21859684-74cb-488d-a9b4-06bb2e1ece26/1578466675835.jpg")</f>
        <v>https://www.commcarehq.org/a/demo-18/api/form/attachment/21859684-74cb-488d-a9b4-06bb2e1ece26/1578466675835.jpg</v>
      </c>
      <c r="O107" t="str">
        <f>HYPERLINK("https://www.commcarehq.org/a/demo-18/api/form/attachment/21859684-74cb-488d-a9b4-06bb2e1ece26/1578466708219.jpg")</f>
        <v>https://www.commcarehq.org/a/demo-18/api/form/attachment/21859684-74cb-488d-a9b4-06bb2e1ece26/1578466708219.jpg</v>
      </c>
      <c r="P107" t="str">
        <f>HYPERLINK("https://www.commcarehq.org/a/demo-18/api/form/attachment/21859684-74cb-488d-a9b4-06bb2e1ece26/1578466717811.jpg")</f>
        <v>https://www.commcarehq.org/a/demo-18/api/form/attachment/21859684-74cb-488d-a9b4-06bb2e1ece26/1578466717811.jpg</v>
      </c>
      <c r="Q107" s="2">
        <v>43838.29074074074</v>
      </c>
      <c r="R107" s="2">
        <v>43838.287800925929</v>
      </c>
      <c r="S107" t="s">
        <v>32</v>
      </c>
      <c r="T107" s="2">
        <v>43838.291168981479</v>
      </c>
      <c r="U107" t="s">
        <v>979</v>
      </c>
      <c r="V107" t="s">
        <v>980</v>
      </c>
    </row>
    <row r="108" spans="1:22" x14ac:dyDescent="0.45">
      <c r="A108" t="s">
        <v>101</v>
      </c>
      <c r="B108">
        <v>4.9000000000000004</v>
      </c>
      <c r="C108" s="1">
        <v>43883</v>
      </c>
      <c r="D108" s="1">
        <v>43853</v>
      </c>
      <c r="E108" t="s">
        <v>428</v>
      </c>
      <c r="F108" t="s">
        <v>429</v>
      </c>
      <c r="G108" t="s">
        <v>429</v>
      </c>
      <c r="H108" t="s">
        <v>447</v>
      </c>
      <c r="I108" t="s">
        <v>428</v>
      </c>
      <c r="J108" t="s">
        <v>429</v>
      </c>
      <c r="K108" t="str">
        <f>HYPERLINK("https://www.commcarehq.org/a/demo-18/api/form/attachment/abe5b2ce-9bdb-4b11-a099-d88b5c244251/1579768134275.jpg")</f>
        <v>https://www.commcarehq.org/a/demo-18/api/form/attachment/abe5b2ce-9bdb-4b11-a099-d88b5c244251/1579768134275.jpg</v>
      </c>
      <c r="L108" t="str">
        <f>HYPERLINK("https://www.commcarehq.org/a/demo-18/api/form/attachment/abe5b2ce-9bdb-4b11-a099-d88b5c244251/1579768153570.jpg")</f>
        <v>https://www.commcarehq.org/a/demo-18/api/form/attachment/abe5b2ce-9bdb-4b11-a099-d88b5c244251/1579768153570.jpg</v>
      </c>
      <c r="M108" t="str">
        <f>HYPERLINK("https://www.commcarehq.org/a/demo-18/api/form/attachment/abe5b2ce-9bdb-4b11-a099-d88b5c244251/1579768297070.jpg")</f>
        <v>https://www.commcarehq.org/a/demo-18/api/form/attachment/abe5b2ce-9bdb-4b11-a099-d88b5c244251/1579768297070.jpg</v>
      </c>
      <c r="N108" t="str">
        <f>HYPERLINK("https://www.commcarehq.org/a/demo-18/api/form/attachment/abe5b2ce-9bdb-4b11-a099-d88b5c244251/1579768306289.jpg")</f>
        <v>https://www.commcarehq.org/a/demo-18/api/form/attachment/abe5b2ce-9bdb-4b11-a099-d88b5c244251/1579768306289.jpg</v>
      </c>
      <c r="O108" t="str">
        <f>HYPERLINK("https://www.commcarehq.org/a/demo-18/api/form/attachment/abe5b2ce-9bdb-4b11-a099-d88b5c244251/1579768330801.jpg")</f>
        <v>https://www.commcarehq.org/a/demo-18/api/form/attachment/abe5b2ce-9bdb-4b11-a099-d88b5c244251/1579768330801.jpg</v>
      </c>
      <c r="P108" t="str">
        <f>HYPERLINK("https://www.commcarehq.org/a/demo-18/api/form/attachment/abe5b2ce-9bdb-4b11-a099-d88b5c244251/1579768341544.jpg")</f>
        <v>https://www.commcarehq.org/a/demo-18/api/form/attachment/abe5b2ce-9bdb-4b11-a099-d88b5c244251/1579768341544.jpg</v>
      </c>
      <c r="Q108" s="2">
        <v>43853.355833333335</v>
      </c>
      <c r="R108" s="2">
        <v>43853.353009259263</v>
      </c>
      <c r="S108" t="s">
        <v>32</v>
      </c>
      <c r="T108" s="2">
        <v>43853.361041666663</v>
      </c>
      <c r="U108" s="3" t="s">
        <v>1153</v>
      </c>
      <c r="V108" t="s">
        <v>1154</v>
      </c>
    </row>
    <row r="109" spans="1:22" x14ac:dyDescent="0.45">
      <c r="A109" t="s">
        <v>415</v>
      </c>
      <c r="B109">
        <v>5.9</v>
      </c>
      <c r="C109" s="1">
        <v>43884</v>
      </c>
      <c r="D109" s="1">
        <v>43854</v>
      </c>
      <c r="E109" t="s">
        <v>428</v>
      </c>
      <c r="F109" t="s">
        <v>429</v>
      </c>
      <c r="G109" t="s">
        <v>429</v>
      </c>
      <c r="H109" t="s">
        <v>430</v>
      </c>
      <c r="I109" t="s">
        <v>428</v>
      </c>
      <c r="J109" t="s">
        <v>429</v>
      </c>
      <c r="K109" t="str">
        <f>HYPERLINK("https://www.commcarehq.org/a/demo-18/api/form/attachment/47f369df-689e-4586-b4a9-c8fa50c8883b/1579850697709.jpg")</f>
        <v>https://www.commcarehq.org/a/demo-18/api/form/attachment/47f369df-689e-4586-b4a9-c8fa50c8883b/1579850697709.jpg</v>
      </c>
      <c r="L109" t="str">
        <f>HYPERLINK("https://www.commcarehq.org/a/demo-18/api/form/attachment/47f369df-689e-4586-b4a9-c8fa50c8883b/1579850717564.jpg")</f>
        <v>https://www.commcarehq.org/a/demo-18/api/form/attachment/47f369df-689e-4586-b4a9-c8fa50c8883b/1579850717564.jpg</v>
      </c>
      <c r="M109" t="str">
        <f>HYPERLINK("https://www.commcarehq.org/a/demo-18/api/form/attachment/47f369df-689e-4586-b4a9-c8fa50c8883b/1579850771533.jpg")</f>
        <v>https://www.commcarehq.org/a/demo-18/api/form/attachment/47f369df-689e-4586-b4a9-c8fa50c8883b/1579850771533.jpg</v>
      </c>
      <c r="N109" t="str">
        <f>HYPERLINK("https://www.commcarehq.org/a/demo-18/api/form/attachment/47f369df-689e-4586-b4a9-c8fa50c8883b/1579850785046.jpg")</f>
        <v>https://www.commcarehq.org/a/demo-18/api/form/attachment/47f369df-689e-4586-b4a9-c8fa50c8883b/1579850785046.jpg</v>
      </c>
      <c r="O109" t="str">
        <f>HYPERLINK("https://www.commcarehq.org/a/demo-18/api/form/attachment/47f369df-689e-4586-b4a9-c8fa50c8883b/1579850802810.jpg")</f>
        <v>https://www.commcarehq.org/a/demo-18/api/form/attachment/47f369df-689e-4586-b4a9-c8fa50c8883b/1579850802810.jpg</v>
      </c>
      <c r="P109" t="str">
        <f>HYPERLINK("https://www.commcarehq.org/a/demo-18/api/form/attachment/47f369df-689e-4586-b4a9-c8fa50c8883b/1579850812314.jpg")</f>
        <v>https://www.commcarehq.org/a/demo-18/api/form/attachment/47f369df-689e-4586-b4a9-c8fa50c8883b/1579850812314.jpg</v>
      </c>
      <c r="Q109" s="2">
        <v>43854.310347222221</v>
      </c>
      <c r="R109" s="2">
        <v>43854.308611111112</v>
      </c>
      <c r="S109" t="s">
        <v>32</v>
      </c>
      <c r="T109" s="2">
        <v>43854.310543981483</v>
      </c>
      <c r="U109" t="s">
        <v>1155</v>
      </c>
      <c r="V109" t="s">
        <v>1156</v>
      </c>
    </row>
    <row r="110" spans="1:22" x14ac:dyDescent="0.45">
      <c r="A110" t="s">
        <v>412</v>
      </c>
      <c r="B110">
        <v>4.9000000000000004</v>
      </c>
      <c r="C110" s="1">
        <v>43880</v>
      </c>
      <c r="D110" s="1">
        <v>43850</v>
      </c>
      <c r="E110" t="s">
        <v>428</v>
      </c>
      <c r="F110" t="s">
        <v>429</v>
      </c>
      <c r="G110" t="s">
        <v>429</v>
      </c>
      <c r="H110" t="s">
        <v>430</v>
      </c>
      <c r="I110" t="s">
        <v>428</v>
      </c>
      <c r="J110" t="s">
        <v>429</v>
      </c>
      <c r="K110" t="str">
        <f>HYPERLINK("https://www.commcarehq.org/a/demo-18/api/form/attachment/6bc19aff-c269-4429-87ba-32455c46ad0f/1579503050959.jpg")</f>
        <v>https://www.commcarehq.org/a/demo-18/api/form/attachment/6bc19aff-c269-4429-87ba-32455c46ad0f/1579503050959.jpg</v>
      </c>
      <c r="L110" t="str">
        <f>HYPERLINK("https://www.commcarehq.org/a/demo-18/api/form/attachment/6bc19aff-c269-4429-87ba-32455c46ad0f/1579503065676.jpg")</f>
        <v>https://www.commcarehq.org/a/demo-18/api/form/attachment/6bc19aff-c269-4429-87ba-32455c46ad0f/1579503065676.jpg</v>
      </c>
      <c r="M110" t="str">
        <f>HYPERLINK("https://www.commcarehq.org/a/demo-18/api/form/attachment/6bc19aff-c269-4429-87ba-32455c46ad0f/1579503149895.jpg")</f>
        <v>https://www.commcarehq.org/a/demo-18/api/form/attachment/6bc19aff-c269-4429-87ba-32455c46ad0f/1579503149895.jpg</v>
      </c>
      <c r="N110" t="str">
        <f>HYPERLINK("https://www.commcarehq.org/a/demo-18/api/form/attachment/6bc19aff-c269-4429-87ba-32455c46ad0f/1579503159760.jpg")</f>
        <v>https://www.commcarehq.org/a/demo-18/api/form/attachment/6bc19aff-c269-4429-87ba-32455c46ad0f/1579503159760.jpg</v>
      </c>
      <c r="O110" t="str">
        <f>HYPERLINK("https://www.commcarehq.org/a/demo-18/api/form/attachment/6bc19aff-c269-4429-87ba-32455c46ad0f/1579503199708.jpg")</f>
        <v>https://www.commcarehq.org/a/demo-18/api/form/attachment/6bc19aff-c269-4429-87ba-32455c46ad0f/1579503199708.jpg</v>
      </c>
      <c r="P110" t="str">
        <f>HYPERLINK("https://www.commcarehq.org/a/demo-18/api/form/attachment/6bc19aff-c269-4429-87ba-32455c46ad0f/1579503208680.jpg")</f>
        <v>https://www.commcarehq.org/a/demo-18/api/form/attachment/6bc19aff-c269-4429-87ba-32455c46ad0f/1579503208680.jpg</v>
      </c>
      <c r="Q110" s="2">
        <v>43850.287152777775</v>
      </c>
      <c r="R110" s="2">
        <v>43850.284791666665</v>
      </c>
      <c r="S110" t="s">
        <v>32</v>
      </c>
      <c r="T110" s="2">
        <v>43850.287418981483</v>
      </c>
      <c r="U110" t="s">
        <v>1100</v>
      </c>
      <c r="V110" t="s">
        <v>1101</v>
      </c>
    </row>
  </sheetData>
  <autoFilter ref="A1:V110" xr:uid="{00000000-0009-0000-0000-000002000000}">
    <sortState xmlns:xlrd2="http://schemas.microsoft.com/office/spreadsheetml/2017/richdata2" ref="A2:V110">
      <sortCondition ref="A1:A110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08"/>
  <sheetViews>
    <sheetView topLeftCell="A102" workbookViewId="0">
      <selection activeCell="B8" sqref="B8"/>
    </sheetView>
  </sheetViews>
  <sheetFormatPr defaultColWidth="8.796875" defaultRowHeight="14.25" x14ac:dyDescent="0.45"/>
  <cols>
    <col min="1" max="1" width="10" bestFit="1" customWidth="1"/>
    <col min="2" max="2" width="12.1328125" bestFit="1" customWidth="1"/>
    <col min="3" max="3" width="8.46484375" bestFit="1" customWidth="1"/>
    <col min="4" max="4" width="15.46484375" bestFit="1" customWidth="1"/>
    <col min="5" max="5" width="15.33203125" bestFit="1" customWidth="1"/>
    <col min="6" max="6" width="8" bestFit="1" customWidth="1"/>
    <col min="7" max="7" width="13.1328125" bestFit="1" customWidth="1"/>
    <col min="8" max="8" width="9" bestFit="1" customWidth="1"/>
    <col min="9" max="9" width="40.796875" bestFit="1" customWidth="1"/>
    <col min="10" max="10" width="14.33203125" bestFit="1" customWidth="1"/>
    <col min="11" max="11" width="28.6640625" bestFit="1" customWidth="1"/>
    <col min="12" max="12" width="11.1328125" bestFit="1" customWidth="1"/>
    <col min="13" max="13" width="10.46484375" bestFit="1" customWidth="1"/>
    <col min="14" max="14" width="6.46484375" bestFit="1" customWidth="1"/>
    <col min="15" max="15" width="9.33203125" bestFit="1" customWidth="1"/>
    <col min="16" max="16" width="7.6640625" bestFit="1" customWidth="1"/>
    <col min="17" max="17" width="10.46484375" bestFit="1" customWidth="1"/>
    <col min="18" max="18" width="16" bestFit="1" customWidth="1"/>
    <col min="19" max="19" width="13.1328125" bestFit="1" customWidth="1"/>
    <col min="20" max="20" width="14.46484375" bestFit="1" customWidth="1"/>
    <col min="21" max="21" width="14.1328125" bestFit="1" customWidth="1"/>
    <col min="22" max="22" width="35.1328125" bestFit="1" customWidth="1"/>
    <col min="23" max="23" width="80.6640625" bestFit="1" customWidth="1"/>
  </cols>
  <sheetData>
    <row r="1" spans="1:23" x14ac:dyDescent="0.45">
      <c r="A1" t="s">
        <v>1</v>
      </c>
      <c r="B1" t="s">
        <v>6</v>
      </c>
      <c r="C1" t="s">
        <v>4</v>
      </c>
      <c r="D1" t="s">
        <v>3</v>
      </c>
      <c r="E1" t="s">
        <v>509</v>
      </c>
      <c r="F1" t="s">
        <v>423</v>
      </c>
      <c r="G1" t="s">
        <v>424</v>
      </c>
      <c r="H1" t="s">
        <v>427</v>
      </c>
      <c r="I1" t="s">
        <v>425</v>
      </c>
      <c r="J1" t="s">
        <v>426</v>
      </c>
      <c r="K1" t="s">
        <v>510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18</v>
      </c>
      <c r="W1" t="s">
        <v>17</v>
      </c>
    </row>
    <row r="2" spans="1:23" x14ac:dyDescent="0.45">
      <c r="A2" t="s">
        <v>349</v>
      </c>
      <c r="B2">
        <v>5.2</v>
      </c>
      <c r="C2" s="1">
        <v>43876</v>
      </c>
      <c r="D2" s="1">
        <v>43846</v>
      </c>
      <c r="E2" t="s">
        <v>428</v>
      </c>
      <c r="F2" t="s">
        <v>429</v>
      </c>
      <c r="G2" t="s">
        <v>429</v>
      </c>
      <c r="H2" t="s">
        <v>429</v>
      </c>
      <c r="I2" t="s">
        <v>498</v>
      </c>
      <c r="J2" t="s">
        <v>428</v>
      </c>
      <c r="K2" t="s">
        <v>429</v>
      </c>
      <c r="L2" t="str">
        <f>HYPERLINK("https://www.commcarehq.org/a/demo-18/api/form/attachment/a2bea798-55ea-4892-b525-2634a9e29125/1579156174243.jpg")</f>
        <v>https://www.commcarehq.org/a/demo-18/api/form/attachment/a2bea798-55ea-4892-b525-2634a9e29125/1579156174243.jpg</v>
      </c>
      <c r="M2" t="str">
        <f>HYPERLINK("https://www.commcarehq.org/a/demo-18/api/form/attachment/a2bea798-55ea-4892-b525-2634a9e29125/1579156193505.jpg")</f>
        <v>https://www.commcarehq.org/a/demo-18/api/form/attachment/a2bea798-55ea-4892-b525-2634a9e29125/1579156193505.jpg</v>
      </c>
      <c r="N2" t="str">
        <f>HYPERLINK("https://www.commcarehq.org/a/demo-18/api/form/attachment/a2bea798-55ea-4892-b525-2634a9e29125/1579156257398.jpg")</f>
        <v>https://www.commcarehq.org/a/demo-18/api/form/attachment/a2bea798-55ea-4892-b525-2634a9e29125/1579156257398.jpg</v>
      </c>
      <c r="O2" t="str">
        <f>HYPERLINK("https://www.commcarehq.org/a/demo-18/api/form/attachment/a2bea798-55ea-4892-b525-2634a9e29125/1579156271368.jpg")</f>
        <v>https://www.commcarehq.org/a/demo-18/api/form/attachment/a2bea798-55ea-4892-b525-2634a9e29125/1579156271368.jpg</v>
      </c>
      <c r="P2" t="str">
        <f>HYPERLINK("https://www.commcarehq.org/a/demo-18/api/form/attachment/a2bea798-55ea-4892-b525-2634a9e29125/1579156288618.jpg")</f>
        <v>https://www.commcarehq.org/a/demo-18/api/form/attachment/a2bea798-55ea-4892-b525-2634a9e29125/1579156288618.jpg</v>
      </c>
      <c r="Q2" t="str">
        <f>HYPERLINK("https://www.commcarehq.org/a/demo-18/api/form/attachment/a2bea798-55ea-4892-b525-2634a9e29125/1579156299896.jpg")</f>
        <v>https://www.commcarehq.org/a/demo-18/api/form/attachment/a2bea798-55ea-4892-b525-2634a9e29125/1579156299896.jpg</v>
      </c>
      <c r="R2" s="2">
        <v>43846.272002314814</v>
      </c>
      <c r="S2" s="2">
        <v>43846.270104166666</v>
      </c>
      <c r="T2" t="s">
        <v>32</v>
      </c>
      <c r="U2" s="2">
        <v>43846.272222222222</v>
      </c>
      <c r="V2" t="s">
        <v>1043</v>
      </c>
      <c r="W2" t="s">
        <v>1044</v>
      </c>
    </row>
    <row r="3" spans="1:23" x14ac:dyDescent="0.45">
      <c r="A3" t="s">
        <v>352</v>
      </c>
      <c r="B3">
        <v>5.8</v>
      </c>
      <c r="C3" s="1">
        <v>43876</v>
      </c>
      <c r="D3" s="1">
        <v>43846</v>
      </c>
      <c r="E3" t="s">
        <v>428</v>
      </c>
      <c r="F3" t="s">
        <v>429</v>
      </c>
      <c r="G3" t="s">
        <v>429</v>
      </c>
      <c r="H3" t="s">
        <v>429</v>
      </c>
      <c r="I3" t="s">
        <v>498</v>
      </c>
      <c r="J3" t="s">
        <v>428</v>
      </c>
      <c r="K3" t="s">
        <v>429</v>
      </c>
      <c r="L3" t="str">
        <f>HYPERLINK("https://www.commcarehq.org/a/demo-18/api/form/attachment/a00477f1-5978-4c04-b5f8-3bd0c32ca877/1579159869860.jpg")</f>
        <v>https://www.commcarehq.org/a/demo-18/api/form/attachment/a00477f1-5978-4c04-b5f8-3bd0c32ca877/1579159869860.jpg</v>
      </c>
      <c r="M3" t="str">
        <f>HYPERLINK("https://www.commcarehq.org/a/demo-18/api/form/attachment/a00477f1-5978-4c04-b5f8-3bd0c32ca877/1579159886038.jpg")</f>
        <v>https://www.commcarehq.org/a/demo-18/api/form/attachment/a00477f1-5978-4c04-b5f8-3bd0c32ca877/1579159886038.jpg</v>
      </c>
      <c r="N3" t="str">
        <f>HYPERLINK("https://www.commcarehq.org/a/demo-18/api/form/attachment/a00477f1-5978-4c04-b5f8-3bd0c32ca877/1579159923575.jpg")</f>
        <v>https://www.commcarehq.org/a/demo-18/api/form/attachment/a00477f1-5978-4c04-b5f8-3bd0c32ca877/1579159923575.jpg</v>
      </c>
      <c r="O3" t="str">
        <f>HYPERLINK("https://www.commcarehq.org/a/demo-18/api/form/attachment/a00477f1-5978-4c04-b5f8-3bd0c32ca877/1579159936205.jpg")</f>
        <v>https://www.commcarehq.org/a/demo-18/api/form/attachment/a00477f1-5978-4c04-b5f8-3bd0c32ca877/1579159936205.jpg</v>
      </c>
      <c r="P3" t="str">
        <f>HYPERLINK("https://www.commcarehq.org/a/demo-18/api/form/attachment/a00477f1-5978-4c04-b5f8-3bd0c32ca877/1579159954209.jpg")</f>
        <v>https://www.commcarehq.org/a/demo-18/api/form/attachment/a00477f1-5978-4c04-b5f8-3bd0c32ca877/1579159954209.jpg</v>
      </c>
      <c r="Q3" t="str">
        <f>HYPERLINK("https://www.commcarehq.org/a/demo-18/api/form/attachment/a00477f1-5978-4c04-b5f8-3bd0c32ca877/1579159963571.jpg")</f>
        <v>https://www.commcarehq.org/a/demo-18/api/form/attachment/a00477f1-5978-4c04-b5f8-3bd0c32ca877/1579159963571.jpg</v>
      </c>
      <c r="R3" s="2">
        <v>43846.314409722225</v>
      </c>
      <c r="S3" s="2">
        <v>43846.3128125</v>
      </c>
      <c r="T3" t="s">
        <v>32</v>
      </c>
      <c r="U3" s="2">
        <v>43846.314618055556</v>
      </c>
      <c r="V3" t="s">
        <v>1045</v>
      </c>
      <c r="W3" t="s">
        <v>1046</v>
      </c>
    </row>
    <row r="4" spans="1:23" x14ac:dyDescent="0.45">
      <c r="A4" t="s">
        <v>343</v>
      </c>
      <c r="B4">
        <v>5.2</v>
      </c>
      <c r="C4" s="1">
        <v>43876</v>
      </c>
      <c r="D4" s="1">
        <v>43846</v>
      </c>
      <c r="E4" t="s">
        <v>428</v>
      </c>
      <c r="F4" t="s">
        <v>429</v>
      </c>
      <c r="G4" t="s">
        <v>429</v>
      </c>
      <c r="H4" t="s">
        <v>429</v>
      </c>
      <c r="I4" t="s">
        <v>498</v>
      </c>
      <c r="J4" t="s">
        <v>428</v>
      </c>
      <c r="K4" t="s">
        <v>429</v>
      </c>
      <c r="L4" t="str">
        <f>HYPERLINK("https://www.commcarehq.org/a/demo-18/api/form/attachment/e9a4f8f7-6556-4185-b330-bfd763115162/1579157689433.jpg")</f>
        <v>https://www.commcarehq.org/a/demo-18/api/form/attachment/e9a4f8f7-6556-4185-b330-bfd763115162/1579157689433.jpg</v>
      </c>
      <c r="M4" t="str">
        <f>HYPERLINK("https://www.commcarehq.org/a/demo-18/api/form/attachment/e9a4f8f7-6556-4185-b330-bfd763115162/1579157703817.jpg")</f>
        <v>https://www.commcarehq.org/a/demo-18/api/form/attachment/e9a4f8f7-6556-4185-b330-bfd763115162/1579157703817.jpg</v>
      </c>
      <c r="N4" t="str">
        <f>HYPERLINK("https://www.commcarehq.org/a/demo-18/api/form/attachment/e9a4f8f7-6556-4185-b330-bfd763115162/1579157767849.jpg")</f>
        <v>https://www.commcarehq.org/a/demo-18/api/form/attachment/e9a4f8f7-6556-4185-b330-bfd763115162/1579157767849.jpg</v>
      </c>
      <c r="O4" t="str">
        <f>HYPERLINK("https://www.commcarehq.org/a/demo-18/api/form/attachment/e9a4f8f7-6556-4185-b330-bfd763115162/1579157778980.jpg")</f>
        <v>https://www.commcarehq.org/a/demo-18/api/form/attachment/e9a4f8f7-6556-4185-b330-bfd763115162/1579157778980.jpg</v>
      </c>
      <c r="P4" t="str">
        <f>HYPERLINK("https://www.commcarehq.org/a/demo-18/api/form/attachment/e9a4f8f7-6556-4185-b330-bfd763115162/1579157799159.jpg")</f>
        <v>https://www.commcarehq.org/a/demo-18/api/form/attachment/e9a4f8f7-6556-4185-b330-bfd763115162/1579157799159.jpg</v>
      </c>
      <c r="Q4" t="str">
        <f>HYPERLINK("https://www.commcarehq.org/a/demo-18/api/form/attachment/e9a4f8f7-6556-4185-b330-bfd763115162/1579157810055.jpg")</f>
        <v>https://www.commcarehq.org/a/demo-18/api/form/attachment/e9a4f8f7-6556-4185-b330-bfd763115162/1579157810055.jpg</v>
      </c>
      <c r="R4" s="2">
        <v>43846.289490740739</v>
      </c>
      <c r="S4" s="2">
        <v>43846.287766203706</v>
      </c>
      <c r="T4" t="s">
        <v>32</v>
      </c>
      <c r="U4" s="2">
        <v>43846.289803240739</v>
      </c>
      <c r="V4" t="s">
        <v>1047</v>
      </c>
      <c r="W4" t="s">
        <v>1048</v>
      </c>
    </row>
    <row r="5" spans="1:23" x14ac:dyDescent="0.45">
      <c r="A5" t="s">
        <v>146</v>
      </c>
      <c r="B5">
        <v>7.2</v>
      </c>
      <c r="C5" s="1">
        <v>43894</v>
      </c>
      <c r="D5" s="1">
        <v>43864</v>
      </c>
      <c r="E5" t="s">
        <v>428</v>
      </c>
      <c r="F5" t="s">
        <v>429</v>
      </c>
      <c r="G5" t="s">
        <v>429</v>
      </c>
      <c r="H5" t="s">
        <v>429</v>
      </c>
      <c r="I5" t="s">
        <v>498</v>
      </c>
      <c r="J5" t="s">
        <v>428</v>
      </c>
      <c r="K5" t="s">
        <v>429</v>
      </c>
      <c r="L5" t="str">
        <f>HYPERLINK("https://www.commcarehq.org/a/demo-18/api/form/attachment/ee226d38-e52f-4d9d-814a-b18803a3233d/1580712820818.jpg")</f>
        <v>https://www.commcarehq.org/a/demo-18/api/form/attachment/ee226d38-e52f-4d9d-814a-b18803a3233d/1580712820818.jpg</v>
      </c>
      <c r="M5" t="str">
        <f>HYPERLINK("https://www.commcarehq.org/a/demo-18/api/form/attachment/ee226d38-e52f-4d9d-814a-b18803a3233d/1580712837954.jpg")</f>
        <v>https://www.commcarehq.org/a/demo-18/api/form/attachment/ee226d38-e52f-4d9d-814a-b18803a3233d/1580712837954.jpg</v>
      </c>
      <c r="N5" t="str">
        <f>HYPERLINK("https://www.commcarehq.org/a/demo-18/api/form/attachment/ee226d38-e52f-4d9d-814a-b18803a3233d/1580712877659.jpg")</f>
        <v>https://www.commcarehq.org/a/demo-18/api/form/attachment/ee226d38-e52f-4d9d-814a-b18803a3233d/1580712877659.jpg</v>
      </c>
      <c r="O5" t="str">
        <f>HYPERLINK("https://www.commcarehq.org/a/demo-18/api/form/attachment/ee226d38-e52f-4d9d-814a-b18803a3233d/1580712888099.jpg")</f>
        <v>https://www.commcarehq.org/a/demo-18/api/form/attachment/ee226d38-e52f-4d9d-814a-b18803a3233d/1580712888099.jpg</v>
      </c>
      <c r="P5" t="str">
        <f>HYPERLINK("https://www.commcarehq.org/a/demo-18/api/form/attachment/ee226d38-e52f-4d9d-814a-b18803a3233d/1580712901787.jpg")</f>
        <v>https://www.commcarehq.org/a/demo-18/api/form/attachment/ee226d38-e52f-4d9d-814a-b18803a3233d/1580712901787.jpg</v>
      </c>
      <c r="Q5" t="str">
        <f>HYPERLINK("https://www.commcarehq.org/a/demo-18/api/form/attachment/ee226d38-e52f-4d9d-814a-b18803a3233d/1580712912544.jpg")</f>
        <v>https://www.commcarehq.org/a/demo-18/api/form/attachment/ee226d38-e52f-4d9d-814a-b18803a3233d/1580712912544.jpg</v>
      </c>
      <c r="R5" s="2">
        <v>43864.28837962963</v>
      </c>
      <c r="S5" s="2">
        <v>43864.286354166667</v>
      </c>
      <c r="T5" t="s">
        <v>32</v>
      </c>
      <c r="U5" s="2">
        <v>43864.288599537038</v>
      </c>
      <c r="V5" t="s">
        <v>1169</v>
      </c>
      <c r="W5" t="s">
        <v>1170</v>
      </c>
    </row>
    <row r="6" spans="1:23" x14ac:dyDescent="0.45">
      <c r="A6" t="s">
        <v>253</v>
      </c>
      <c r="B6">
        <v>5</v>
      </c>
      <c r="C6" s="1">
        <v>43894</v>
      </c>
      <c r="D6" s="1">
        <v>43864</v>
      </c>
      <c r="E6" t="s">
        <v>428</v>
      </c>
      <c r="F6" t="s">
        <v>429</v>
      </c>
      <c r="G6" t="s">
        <v>429</v>
      </c>
      <c r="H6" t="s">
        <v>429</v>
      </c>
      <c r="I6" t="s">
        <v>447</v>
      </c>
      <c r="J6" t="s">
        <v>428</v>
      </c>
      <c r="K6" t="s">
        <v>429</v>
      </c>
      <c r="L6" t="str">
        <f>HYPERLINK("https://www.commcarehq.org/a/demo-18/api/form/attachment/09b785a1-c97f-4563-9068-d3cb729e8cf1/1580713180520.jpg")</f>
        <v>https://www.commcarehq.org/a/demo-18/api/form/attachment/09b785a1-c97f-4563-9068-d3cb729e8cf1/1580713180520.jpg</v>
      </c>
      <c r="M6" t="str">
        <f>HYPERLINK("https://www.commcarehq.org/a/demo-18/api/form/attachment/09b785a1-c97f-4563-9068-d3cb729e8cf1/1580713201261.jpg")</f>
        <v>https://www.commcarehq.org/a/demo-18/api/form/attachment/09b785a1-c97f-4563-9068-d3cb729e8cf1/1580713201261.jpg</v>
      </c>
      <c r="N6" t="str">
        <f>HYPERLINK("https://www.commcarehq.org/a/demo-18/api/form/attachment/09b785a1-c97f-4563-9068-d3cb729e8cf1/1580713249880.jpg")</f>
        <v>https://www.commcarehq.org/a/demo-18/api/form/attachment/09b785a1-c97f-4563-9068-d3cb729e8cf1/1580713249880.jpg</v>
      </c>
      <c r="O6" t="str">
        <f>HYPERLINK("https://www.commcarehq.org/a/demo-18/api/form/attachment/09b785a1-c97f-4563-9068-d3cb729e8cf1/1580713259723.jpg")</f>
        <v>https://www.commcarehq.org/a/demo-18/api/form/attachment/09b785a1-c97f-4563-9068-d3cb729e8cf1/1580713259723.jpg</v>
      </c>
      <c r="P6" t="str">
        <f>HYPERLINK("https://www.commcarehq.org/a/demo-18/api/form/attachment/09b785a1-c97f-4563-9068-d3cb729e8cf1/1580713273101.jpg")</f>
        <v>https://www.commcarehq.org/a/demo-18/api/form/attachment/09b785a1-c97f-4563-9068-d3cb729e8cf1/1580713273101.jpg</v>
      </c>
      <c r="Q6" t="str">
        <f>HYPERLINK("https://www.commcarehq.org/a/demo-18/api/form/attachment/09b785a1-c97f-4563-9068-d3cb729e8cf1/1580713282634.jpg")</f>
        <v>https://www.commcarehq.org/a/demo-18/api/form/attachment/09b785a1-c97f-4563-9068-d3cb729e8cf1/1580713282634.jpg</v>
      </c>
      <c r="R6" s="2">
        <v>43864.292638888888</v>
      </c>
      <c r="S6" s="2">
        <v>43864.290960648148</v>
      </c>
      <c r="T6" t="s">
        <v>32</v>
      </c>
      <c r="U6" s="2">
        <v>43864.292881944442</v>
      </c>
      <c r="V6" t="s">
        <v>1171</v>
      </c>
      <c r="W6" t="s">
        <v>1172</v>
      </c>
    </row>
    <row r="7" spans="1:23" x14ac:dyDescent="0.45">
      <c r="A7" t="s">
        <v>59</v>
      </c>
      <c r="B7">
        <v>5.4</v>
      </c>
      <c r="C7" s="1">
        <v>43884</v>
      </c>
      <c r="D7" s="1">
        <v>43854</v>
      </c>
      <c r="E7" t="s">
        <v>428</v>
      </c>
      <c r="F7" t="s">
        <v>429</v>
      </c>
      <c r="G7" t="s">
        <v>429</v>
      </c>
      <c r="H7" t="s">
        <v>429</v>
      </c>
      <c r="I7" t="s">
        <v>498</v>
      </c>
      <c r="J7" t="s">
        <v>428</v>
      </c>
      <c r="K7" t="s">
        <v>429</v>
      </c>
      <c r="L7" t="str">
        <f>HYPERLINK("https://www.commcarehq.org/a/demo-18/api/form/attachment/617830de-52a8-45da-a1ed-de9e02c34168/1579847775343.jpg")</f>
        <v>https://www.commcarehq.org/a/demo-18/api/form/attachment/617830de-52a8-45da-a1ed-de9e02c34168/1579847775343.jpg</v>
      </c>
      <c r="M7" t="str">
        <f>HYPERLINK("https://www.commcarehq.org/a/demo-18/api/form/attachment/617830de-52a8-45da-a1ed-de9e02c34168/1579847795427.jpg")</f>
        <v>https://www.commcarehq.org/a/demo-18/api/form/attachment/617830de-52a8-45da-a1ed-de9e02c34168/1579847795427.jpg</v>
      </c>
      <c r="N7" t="str">
        <f>HYPERLINK("https://www.commcarehq.org/a/demo-18/api/form/attachment/617830de-52a8-45da-a1ed-de9e02c34168/1579847846534.jpg")</f>
        <v>https://www.commcarehq.org/a/demo-18/api/form/attachment/617830de-52a8-45da-a1ed-de9e02c34168/1579847846534.jpg</v>
      </c>
      <c r="O7" t="str">
        <f>HYPERLINK("https://www.commcarehq.org/a/demo-18/api/form/attachment/617830de-52a8-45da-a1ed-de9e02c34168/1579847858353.jpg")</f>
        <v>https://www.commcarehq.org/a/demo-18/api/form/attachment/617830de-52a8-45da-a1ed-de9e02c34168/1579847858353.jpg</v>
      </c>
      <c r="P7" t="str">
        <f>HYPERLINK("https://www.commcarehq.org/a/demo-18/api/form/attachment/617830de-52a8-45da-a1ed-de9e02c34168/1579847876947.jpg")</f>
        <v>https://www.commcarehq.org/a/demo-18/api/form/attachment/617830de-52a8-45da-a1ed-de9e02c34168/1579847876947.jpg</v>
      </c>
      <c r="Q7" t="str">
        <f>HYPERLINK("https://www.commcarehq.org/a/demo-18/api/form/attachment/617830de-52a8-45da-a1ed-de9e02c34168/1579847888471.jpg")</f>
        <v>https://www.commcarehq.org/a/demo-18/api/form/attachment/617830de-52a8-45da-a1ed-de9e02c34168/1579847888471.jpg</v>
      </c>
      <c r="R7" s="2">
        <v>43854.276516203703</v>
      </c>
      <c r="S7" s="2">
        <v>43854.274583333332</v>
      </c>
      <c r="T7" t="s">
        <v>32</v>
      </c>
      <c r="U7" s="2">
        <v>43854.276712962965</v>
      </c>
      <c r="V7" t="s">
        <v>1157</v>
      </c>
      <c r="W7" t="s">
        <v>1158</v>
      </c>
    </row>
    <row r="8" spans="1:23" x14ac:dyDescent="0.45">
      <c r="A8" t="s">
        <v>340</v>
      </c>
      <c r="B8">
        <v>5.4</v>
      </c>
      <c r="C8" s="1">
        <v>43883</v>
      </c>
      <c r="D8" s="1">
        <v>43853</v>
      </c>
      <c r="E8" t="s">
        <v>428</v>
      </c>
      <c r="F8" t="s">
        <v>429</v>
      </c>
      <c r="G8" t="s">
        <v>429</v>
      </c>
      <c r="H8" t="s">
        <v>429</v>
      </c>
      <c r="I8" t="s">
        <v>447</v>
      </c>
      <c r="J8" t="s">
        <v>428</v>
      </c>
      <c r="K8" t="s">
        <v>429</v>
      </c>
      <c r="L8" t="str">
        <f>HYPERLINK("https://www.commcarehq.org/a/demo-18/api/form/attachment/65869ff5-9346-4689-94a4-288bd80ede80/1579761848925.jpg")</f>
        <v>https://www.commcarehq.org/a/demo-18/api/form/attachment/65869ff5-9346-4689-94a4-288bd80ede80/1579761848925.jpg</v>
      </c>
      <c r="M8" t="str">
        <f>HYPERLINK("https://www.commcarehq.org/a/demo-18/api/form/attachment/65869ff5-9346-4689-94a4-288bd80ede80/1579761872366.jpg")</f>
        <v>https://www.commcarehq.org/a/demo-18/api/form/attachment/65869ff5-9346-4689-94a4-288bd80ede80/1579761872366.jpg</v>
      </c>
      <c r="N8" t="str">
        <f>HYPERLINK("https://www.commcarehq.org/a/demo-18/api/form/attachment/65869ff5-9346-4689-94a4-288bd80ede80/1579761936057.jpg")</f>
        <v>https://www.commcarehq.org/a/demo-18/api/form/attachment/65869ff5-9346-4689-94a4-288bd80ede80/1579761936057.jpg</v>
      </c>
      <c r="O8" t="str">
        <f>HYPERLINK("https://www.commcarehq.org/a/demo-18/api/form/attachment/65869ff5-9346-4689-94a4-288bd80ede80/1579761945003.jpg")</f>
        <v>https://www.commcarehq.org/a/demo-18/api/form/attachment/65869ff5-9346-4689-94a4-288bd80ede80/1579761945003.jpg</v>
      </c>
      <c r="P8" t="str">
        <f>HYPERLINK("https://www.commcarehq.org/a/demo-18/api/form/attachment/65869ff5-9346-4689-94a4-288bd80ede80/1579761961408.jpg")</f>
        <v>https://www.commcarehq.org/a/demo-18/api/form/attachment/65869ff5-9346-4689-94a4-288bd80ede80/1579761961408.jpg</v>
      </c>
      <c r="Q8" t="str">
        <f>HYPERLINK("https://www.commcarehq.org/a/demo-18/api/form/attachment/65869ff5-9346-4689-94a4-288bd80ede80/1579761972116.jpg")</f>
        <v>https://www.commcarehq.org/a/demo-18/api/form/attachment/65869ff5-9346-4689-94a4-288bd80ede80/1579761972116.jpg</v>
      </c>
      <c r="R8" s="2">
        <v>43853.282129629632</v>
      </c>
      <c r="S8" s="2">
        <v>43853.279641203706</v>
      </c>
      <c r="T8" t="s">
        <v>32</v>
      </c>
      <c r="U8" s="2">
        <v>43853.357233796298</v>
      </c>
      <c r="V8" t="s">
        <v>1159</v>
      </c>
      <c r="W8" t="s">
        <v>1160</v>
      </c>
    </row>
    <row r="9" spans="1:23" x14ac:dyDescent="0.45">
      <c r="A9" t="s">
        <v>47</v>
      </c>
      <c r="B9">
        <v>5.5</v>
      </c>
      <c r="C9" s="1">
        <v>43883</v>
      </c>
      <c r="D9" s="1">
        <v>43853</v>
      </c>
      <c r="E9" t="s">
        <v>428</v>
      </c>
      <c r="F9" t="s">
        <v>429</v>
      </c>
      <c r="G9" t="s">
        <v>429</v>
      </c>
      <c r="H9" t="s">
        <v>429</v>
      </c>
      <c r="I9" t="s">
        <v>447</v>
      </c>
      <c r="J9" t="s">
        <v>428</v>
      </c>
      <c r="K9" t="s">
        <v>429</v>
      </c>
      <c r="L9" t="str">
        <f>HYPERLINK("https://www.commcarehq.org/a/demo-18/api/form/attachment/141d899c-2a58-4075-8c84-2869f02a570d/1579765291697.jpg")</f>
        <v>https://www.commcarehq.org/a/demo-18/api/form/attachment/141d899c-2a58-4075-8c84-2869f02a570d/1579765291697.jpg</v>
      </c>
      <c r="M9" t="str">
        <f>HYPERLINK("https://www.commcarehq.org/a/demo-18/api/form/attachment/141d899c-2a58-4075-8c84-2869f02a570d/1579765305257.jpg")</f>
        <v>https://www.commcarehq.org/a/demo-18/api/form/attachment/141d899c-2a58-4075-8c84-2869f02a570d/1579765305257.jpg</v>
      </c>
      <c r="N9" t="str">
        <f>HYPERLINK("https://www.commcarehq.org/a/demo-18/api/form/attachment/141d899c-2a58-4075-8c84-2869f02a570d/1579765362434.jpg")</f>
        <v>https://www.commcarehq.org/a/demo-18/api/form/attachment/141d899c-2a58-4075-8c84-2869f02a570d/1579765362434.jpg</v>
      </c>
      <c r="O9" t="str">
        <f>HYPERLINK("https://www.commcarehq.org/a/demo-18/api/form/attachment/141d899c-2a58-4075-8c84-2869f02a570d/1579765373642.jpg")</f>
        <v>https://www.commcarehq.org/a/demo-18/api/form/attachment/141d899c-2a58-4075-8c84-2869f02a570d/1579765373642.jpg</v>
      </c>
      <c r="P9" t="str">
        <f>HYPERLINK("https://www.commcarehq.org/a/demo-18/api/form/attachment/141d899c-2a58-4075-8c84-2869f02a570d/1579765386580.jpg")</f>
        <v>https://www.commcarehq.org/a/demo-18/api/form/attachment/141d899c-2a58-4075-8c84-2869f02a570d/1579765386580.jpg</v>
      </c>
      <c r="Q9" t="str">
        <f>HYPERLINK("https://www.commcarehq.org/a/demo-18/api/form/attachment/141d899c-2a58-4075-8c84-2869f02a570d/1579765395535.jpg")</f>
        <v>https://www.commcarehq.org/a/demo-18/api/form/attachment/141d899c-2a58-4075-8c84-2869f02a570d/1579765395535.jpg</v>
      </c>
      <c r="R9" s="2">
        <v>43853.321759259263</v>
      </c>
      <c r="S9" s="2">
        <v>43853.320185185185</v>
      </c>
      <c r="T9" t="s">
        <v>32</v>
      </c>
      <c r="U9" s="2">
        <v>43853.359560185185</v>
      </c>
      <c r="V9" t="s">
        <v>1161</v>
      </c>
      <c r="W9" t="s">
        <v>1162</v>
      </c>
    </row>
    <row r="10" spans="1:23" x14ac:dyDescent="0.45">
      <c r="A10" t="s">
        <v>56</v>
      </c>
      <c r="B10">
        <v>4.9000000000000004</v>
      </c>
      <c r="C10" s="1">
        <v>43883</v>
      </c>
      <c r="D10" s="1">
        <v>43853</v>
      </c>
      <c r="E10" t="s">
        <v>428</v>
      </c>
      <c r="F10" t="s">
        <v>429</v>
      </c>
      <c r="G10" t="s">
        <v>429</v>
      </c>
      <c r="H10" t="s">
        <v>429</v>
      </c>
      <c r="I10" t="s">
        <v>447</v>
      </c>
      <c r="J10" t="s">
        <v>428</v>
      </c>
      <c r="K10" t="s">
        <v>429</v>
      </c>
      <c r="L10" t="str">
        <f>HYPERLINK("https://www.commcarehq.org/a/demo-18/api/form/attachment/759610cb-49dd-4f81-8862-cff100c7e145/1579764880676.jpg")</f>
        <v>https://www.commcarehq.org/a/demo-18/api/form/attachment/759610cb-49dd-4f81-8862-cff100c7e145/1579764880676.jpg</v>
      </c>
      <c r="M10" t="str">
        <f>HYPERLINK("https://www.commcarehq.org/a/demo-18/api/form/attachment/759610cb-49dd-4f81-8862-cff100c7e145/1579764896089.jpg")</f>
        <v>https://www.commcarehq.org/a/demo-18/api/form/attachment/759610cb-49dd-4f81-8862-cff100c7e145/1579764896089.jpg</v>
      </c>
      <c r="N10" t="str">
        <f>HYPERLINK("https://www.commcarehq.org/a/demo-18/api/form/attachment/759610cb-49dd-4f81-8862-cff100c7e145/1579764966360.jpg")</f>
        <v>https://www.commcarehq.org/a/demo-18/api/form/attachment/759610cb-49dd-4f81-8862-cff100c7e145/1579764966360.jpg</v>
      </c>
      <c r="O10" t="str">
        <f>HYPERLINK("https://www.commcarehq.org/a/demo-18/api/form/attachment/759610cb-49dd-4f81-8862-cff100c7e145/1579764975222.jpg")</f>
        <v>https://www.commcarehq.org/a/demo-18/api/form/attachment/759610cb-49dd-4f81-8862-cff100c7e145/1579764975222.jpg</v>
      </c>
      <c r="P10" t="str">
        <f>HYPERLINK("https://www.commcarehq.org/a/demo-18/api/form/attachment/759610cb-49dd-4f81-8862-cff100c7e145/1579765005401.jpg")</f>
        <v>https://www.commcarehq.org/a/demo-18/api/form/attachment/759610cb-49dd-4f81-8862-cff100c7e145/1579765005401.jpg</v>
      </c>
      <c r="Q10" t="str">
        <f>HYPERLINK("https://www.commcarehq.org/a/demo-18/api/form/attachment/759610cb-49dd-4f81-8862-cff100c7e145/1579765016009.jpg")</f>
        <v>https://www.commcarehq.org/a/demo-18/api/form/attachment/759610cb-49dd-4f81-8862-cff100c7e145/1579765016009.jpg</v>
      </c>
      <c r="R10" s="2">
        <v>43853.317326388889</v>
      </c>
      <c r="S10" s="2">
        <v>43853.315474537034</v>
      </c>
      <c r="T10" t="s">
        <v>32</v>
      </c>
      <c r="U10" s="2">
        <v>43853.359340277777</v>
      </c>
      <c r="V10" t="s">
        <v>1163</v>
      </c>
      <c r="W10" t="s">
        <v>1164</v>
      </c>
    </row>
    <row r="11" spans="1:23" x14ac:dyDescent="0.45">
      <c r="A11" t="s">
        <v>53</v>
      </c>
      <c r="B11">
        <v>5.6</v>
      </c>
      <c r="C11" s="1">
        <v>43883</v>
      </c>
      <c r="D11" s="1">
        <v>43853</v>
      </c>
      <c r="E11" t="s">
        <v>428</v>
      </c>
      <c r="F11" t="s">
        <v>429</v>
      </c>
      <c r="G11" t="s">
        <v>429</v>
      </c>
      <c r="H11" t="s">
        <v>429</v>
      </c>
      <c r="I11" t="s">
        <v>447</v>
      </c>
      <c r="J11" t="s">
        <v>428</v>
      </c>
      <c r="K11" t="s">
        <v>429</v>
      </c>
      <c r="L11" t="str">
        <f>HYPERLINK("https://www.commcarehq.org/a/demo-18/api/form/attachment/0872be31-aed2-437c-916f-dd41d3a05135/1579764496382.jpg")</f>
        <v>https://www.commcarehq.org/a/demo-18/api/form/attachment/0872be31-aed2-437c-916f-dd41d3a05135/1579764496382.jpg</v>
      </c>
      <c r="M11" t="str">
        <f>HYPERLINK("https://www.commcarehq.org/a/demo-18/api/form/attachment/0872be31-aed2-437c-916f-dd41d3a05135/1579764516526.jpg")</f>
        <v>https://www.commcarehq.org/a/demo-18/api/form/attachment/0872be31-aed2-437c-916f-dd41d3a05135/1579764516526.jpg</v>
      </c>
      <c r="N11" t="str">
        <f>HYPERLINK("https://www.commcarehq.org/a/demo-18/api/form/attachment/0872be31-aed2-437c-916f-dd41d3a05135/1579764601550.jpg")</f>
        <v>https://www.commcarehq.org/a/demo-18/api/form/attachment/0872be31-aed2-437c-916f-dd41d3a05135/1579764601550.jpg</v>
      </c>
      <c r="O11" t="str">
        <f>HYPERLINK("https://www.commcarehq.org/a/demo-18/api/form/attachment/0872be31-aed2-437c-916f-dd41d3a05135/1579764609794.jpg")</f>
        <v>https://www.commcarehq.org/a/demo-18/api/form/attachment/0872be31-aed2-437c-916f-dd41d3a05135/1579764609794.jpg</v>
      </c>
      <c r="P11" t="str">
        <f>HYPERLINK("https://www.commcarehq.org/a/demo-18/api/form/attachment/0872be31-aed2-437c-916f-dd41d3a05135/1579764631055.jpg")</f>
        <v>https://www.commcarehq.org/a/demo-18/api/form/attachment/0872be31-aed2-437c-916f-dd41d3a05135/1579764631055.jpg</v>
      </c>
      <c r="Q11" t="str">
        <f>HYPERLINK("https://www.commcarehq.org/a/demo-18/api/form/attachment/0872be31-aed2-437c-916f-dd41d3a05135/1579764640440.jpg")</f>
        <v>https://www.commcarehq.org/a/demo-18/api/form/attachment/0872be31-aed2-437c-916f-dd41d3a05135/1579764640440.jpg</v>
      </c>
      <c r="R11" s="2">
        <v>43853.312986111108</v>
      </c>
      <c r="S11" s="2">
        <v>43853.310844907406</v>
      </c>
      <c r="T11" t="s">
        <v>32</v>
      </c>
      <c r="U11" s="2">
        <v>43853.3591087963</v>
      </c>
      <c r="V11" t="s">
        <v>1165</v>
      </c>
      <c r="W11" t="s">
        <v>1166</v>
      </c>
    </row>
    <row r="12" spans="1:23" x14ac:dyDescent="0.45">
      <c r="A12" t="s">
        <v>140</v>
      </c>
      <c r="B12">
        <v>6.3</v>
      </c>
      <c r="C12" s="1">
        <v>43887</v>
      </c>
      <c r="D12" s="1">
        <v>43857</v>
      </c>
      <c r="E12" t="s">
        <v>428</v>
      </c>
      <c r="F12" t="s">
        <v>429</v>
      </c>
      <c r="G12" t="s">
        <v>429</v>
      </c>
      <c r="H12" t="s">
        <v>429</v>
      </c>
      <c r="I12" t="s">
        <v>498</v>
      </c>
      <c r="J12" t="s">
        <v>428</v>
      </c>
      <c r="K12" t="s">
        <v>429</v>
      </c>
      <c r="L12" t="str">
        <f>HYPERLINK("https://www.commcarehq.org/a/demo-18/api/form/attachment/49fc8f44-48b2-408f-83d7-c4f671c8e27c/1580106634156.jpg")</f>
        <v>https://www.commcarehq.org/a/demo-18/api/form/attachment/49fc8f44-48b2-408f-83d7-c4f671c8e27c/1580106634156.jpg</v>
      </c>
      <c r="M12" t="str">
        <f>HYPERLINK("https://www.commcarehq.org/a/demo-18/api/form/attachment/49fc8f44-48b2-408f-83d7-c4f671c8e27c/1580106647122.jpg")</f>
        <v>https://www.commcarehq.org/a/demo-18/api/form/attachment/49fc8f44-48b2-408f-83d7-c4f671c8e27c/1580106647122.jpg</v>
      </c>
      <c r="N12" t="str">
        <f>HYPERLINK("https://www.commcarehq.org/a/demo-18/api/form/attachment/49fc8f44-48b2-408f-83d7-c4f671c8e27c/1580106680977.jpg")</f>
        <v>https://www.commcarehq.org/a/demo-18/api/form/attachment/49fc8f44-48b2-408f-83d7-c4f671c8e27c/1580106680977.jpg</v>
      </c>
      <c r="O12" t="str">
        <f>HYPERLINK("https://www.commcarehq.org/a/demo-18/api/form/attachment/49fc8f44-48b2-408f-83d7-c4f671c8e27c/1580106691040.jpg")</f>
        <v>https://www.commcarehq.org/a/demo-18/api/form/attachment/49fc8f44-48b2-408f-83d7-c4f671c8e27c/1580106691040.jpg</v>
      </c>
      <c r="P12" t="str">
        <f>HYPERLINK("https://www.commcarehq.org/a/demo-18/api/form/attachment/49fc8f44-48b2-408f-83d7-c4f671c8e27c/1580106709672.jpg")</f>
        <v>https://www.commcarehq.org/a/demo-18/api/form/attachment/49fc8f44-48b2-408f-83d7-c4f671c8e27c/1580106709672.jpg</v>
      </c>
      <c r="Q12" t="str">
        <f>HYPERLINK("https://www.commcarehq.org/a/demo-18/api/form/attachment/49fc8f44-48b2-408f-83d7-c4f671c8e27c/1580106731996.jpg")</f>
        <v>https://www.commcarehq.org/a/demo-18/api/form/attachment/49fc8f44-48b2-408f-83d7-c4f671c8e27c/1580106731996.jpg</v>
      </c>
      <c r="R12" s="2">
        <v>43857.27238425926</v>
      </c>
      <c r="S12" s="2">
        <v>43857.270833333336</v>
      </c>
      <c r="T12" t="s">
        <v>32</v>
      </c>
      <c r="U12" s="2">
        <v>43857.272604166668</v>
      </c>
      <c r="V12" t="s">
        <v>1167</v>
      </c>
      <c r="W12" t="s">
        <v>1168</v>
      </c>
    </row>
    <row r="13" spans="1:23" x14ac:dyDescent="0.45">
      <c r="A13" t="s">
        <v>152</v>
      </c>
      <c r="B13">
        <v>6.9</v>
      </c>
      <c r="C13" s="1">
        <v>43901</v>
      </c>
      <c r="D13" s="1">
        <v>43871</v>
      </c>
      <c r="E13" t="s">
        <v>428</v>
      </c>
      <c r="F13" t="s">
        <v>429</v>
      </c>
      <c r="G13" t="s">
        <v>429</v>
      </c>
      <c r="H13" t="s">
        <v>429</v>
      </c>
      <c r="I13" t="s">
        <v>447</v>
      </c>
      <c r="J13" t="s">
        <v>428</v>
      </c>
      <c r="K13" t="s">
        <v>429</v>
      </c>
      <c r="L13" t="str">
        <f>HYPERLINK("https://www.commcarehq.org/a/demo-18/api/form/attachment/5ff78580-e8c9-424f-bc64-912230d44e28/1581321214409.jpg")</f>
        <v>https://www.commcarehq.org/a/demo-18/api/form/attachment/5ff78580-e8c9-424f-bc64-912230d44e28/1581321214409.jpg</v>
      </c>
      <c r="M13" t="str">
        <f>HYPERLINK("https://www.commcarehq.org/a/demo-18/api/form/attachment/5ff78580-e8c9-424f-bc64-912230d44e28/1581321231774.jpg")</f>
        <v>https://www.commcarehq.org/a/demo-18/api/form/attachment/5ff78580-e8c9-424f-bc64-912230d44e28/1581321231774.jpg</v>
      </c>
      <c r="N13" t="str">
        <f>HYPERLINK("https://www.commcarehq.org/a/demo-18/api/form/attachment/5ff78580-e8c9-424f-bc64-912230d44e28/1581321268573.jpg")</f>
        <v>https://www.commcarehq.org/a/demo-18/api/form/attachment/5ff78580-e8c9-424f-bc64-912230d44e28/1581321268573.jpg</v>
      </c>
      <c r="O13" t="str">
        <f>HYPERLINK("https://www.commcarehq.org/a/demo-18/api/form/attachment/5ff78580-e8c9-424f-bc64-912230d44e28/1581321277137.jpg")</f>
        <v>https://www.commcarehq.org/a/demo-18/api/form/attachment/5ff78580-e8c9-424f-bc64-912230d44e28/1581321277137.jpg</v>
      </c>
      <c r="P13" t="str">
        <f>HYPERLINK("https://www.commcarehq.org/a/demo-18/api/form/attachment/5ff78580-e8c9-424f-bc64-912230d44e28/1581321300365.jpg")</f>
        <v>https://www.commcarehq.org/a/demo-18/api/form/attachment/5ff78580-e8c9-424f-bc64-912230d44e28/1581321300365.jpg</v>
      </c>
      <c r="Q13" t="str">
        <f>HYPERLINK("https://www.commcarehq.org/a/demo-18/api/form/attachment/5ff78580-e8c9-424f-bc64-912230d44e28/1581321311270.jpg")</f>
        <v>https://www.commcarehq.org/a/demo-18/api/form/attachment/5ff78580-e8c9-424f-bc64-912230d44e28/1581321311270.jpg</v>
      </c>
      <c r="R13" s="2">
        <v>43871.330057870371</v>
      </c>
      <c r="S13" s="2">
        <v>43871.32744212963</v>
      </c>
      <c r="T13" t="s">
        <v>32</v>
      </c>
      <c r="U13" s="2">
        <v>43871.331284722219</v>
      </c>
      <c r="V13" t="s">
        <v>1455</v>
      </c>
      <c r="W13" t="s">
        <v>1456</v>
      </c>
    </row>
    <row r="14" spans="1:23" x14ac:dyDescent="0.45">
      <c r="A14" t="s">
        <v>86</v>
      </c>
      <c r="B14">
        <v>6.7</v>
      </c>
      <c r="C14" s="1">
        <v>43904</v>
      </c>
      <c r="D14" s="1">
        <v>43874</v>
      </c>
      <c r="E14" t="s">
        <v>428</v>
      </c>
      <c r="F14" t="s">
        <v>429</v>
      </c>
      <c r="G14" t="s">
        <v>429</v>
      </c>
      <c r="H14" t="s">
        <v>429</v>
      </c>
      <c r="I14" t="s">
        <v>498</v>
      </c>
      <c r="J14" t="s">
        <v>428</v>
      </c>
      <c r="K14" t="s">
        <v>429</v>
      </c>
      <c r="L14" t="str">
        <f>HYPERLINK("https://www.commcarehq.org/a/demo-18/api/form/attachment/e3e0933f-1c68-4773-b6ee-1ab1072204b1/1581578362285.jpg")</f>
        <v>https://www.commcarehq.org/a/demo-18/api/form/attachment/e3e0933f-1c68-4773-b6ee-1ab1072204b1/1581578362285.jpg</v>
      </c>
      <c r="M14" t="str">
        <f>HYPERLINK("https://www.commcarehq.org/a/demo-18/api/form/attachment/e3e0933f-1c68-4773-b6ee-1ab1072204b1/1581578377128.jpg")</f>
        <v>https://www.commcarehq.org/a/demo-18/api/form/attachment/e3e0933f-1c68-4773-b6ee-1ab1072204b1/1581578377128.jpg</v>
      </c>
      <c r="N14" t="str">
        <f>HYPERLINK("https://www.commcarehq.org/a/demo-18/api/form/attachment/e3e0933f-1c68-4773-b6ee-1ab1072204b1/1581578460839.jpg")</f>
        <v>https://www.commcarehq.org/a/demo-18/api/form/attachment/e3e0933f-1c68-4773-b6ee-1ab1072204b1/1581578460839.jpg</v>
      </c>
      <c r="O14" t="str">
        <f>HYPERLINK("https://www.commcarehq.org/a/demo-18/api/form/attachment/e3e0933f-1c68-4773-b6ee-1ab1072204b1/1581578470591.jpg")</f>
        <v>https://www.commcarehq.org/a/demo-18/api/form/attachment/e3e0933f-1c68-4773-b6ee-1ab1072204b1/1581578470591.jpg</v>
      </c>
      <c r="P14" t="str">
        <f>HYPERLINK("https://www.commcarehq.org/a/demo-18/api/form/attachment/e3e0933f-1c68-4773-b6ee-1ab1072204b1/1581578539626.jpg")</f>
        <v>https://www.commcarehq.org/a/demo-18/api/form/attachment/e3e0933f-1c68-4773-b6ee-1ab1072204b1/1581578539626.jpg</v>
      </c>
      <c r="Q14" t="str">
        <f>HYPERLINK("https://www.commcarehq.org/a/demo-18/api/form/attachment/e3e0933f-1c68-4773-b6ee-1ab1072204b1/1581578548753.jpg")</f>
        <v>https://www.commcarehq.org/a/demo-18/api/form/attachment/e3e0933f-1c68-4773-b6ee-1ab1072204b1/1581578548753.jpg</v>
      </c>
      <c r="R14" s="2">
        <v>43874.307291666664</v>
      </c>
      <c r="S14" s="2">
        <v>43874.303240740737</v>
      </c>
      <c r="T14" t="s">
        <v>32</v>
      </c>
      <c r="U14" s="2">
        <v>43874.307546296295</v>
      </c>
      <c r="V14" t="s">
        <v>1457</v>
      </c>
      <c r="W14" t="s">
        <v>1458</v>
      </c>
    </row>
    <row r="15" spans="1:23" x14ac:dyDescent="0.45">
      <c r="A15" t="s">
        <v>406</v>
      </c>
      <c r="B15">
        <v>6.8</v>
      </c>
      <c r="C15" s="1">
        <v>43908</v>
      </c>
      <c r="D15" s="1">
        <v>43878</v>
      </c>
      <c r="E15" t="s">
        <v>428</v>
      </c>
      <c r="F15" t="s">
        <v>429</v>
      </c>
      <c r="G15" t="s">
        <v>429</v>
      </c>
      <c r="H15" t="s">
        <v>429</v>
      </c>
      <c r="I15" t="s">
        <v>498</v>
      </c>
      <c r="J15" t="s">
        <v>428</v>
      </c>
      <c r="K15" t="s">
        <v>429</v>
      </c>
      <c r="L15" t="str">
        <f>HYPERLINK("https://www.commcarehq.org/a/demo-18/api/form/attachment/5681fc41-2390-43a3-be4d-5eecea4555ca/1581922696985.jpg")</f>
        <v>https://www.commcarehq.org/a/demo-18/api/form/attachment/5681fc41-2390-43a3-be4d-5eecea4555ca/1581922696985.jpg</v>
      </c>
      <c r="M15" t="str">
        <f>HYPERLINK("https://www.commcarehq.org/a/demo-18/api/form/attachment/5681fc41-2390-43a3-be4d-5eecea4555ca/1581922711137.jpg")</f>
        <v>https://www.commcarehq.org/a/demo-18/api/form/attachment/5681fc41-2390-43a3-be4d-5eecea4555ca/1581922711137.jpg</v>
      </c>
      <c r="N15" t="str">
        <f>HYPERLINK("https://www.commcarehq.org/a/demo-18/api/form/attachment/5681fc41-2390-43a3-be4d-5eecea4555ca/1581922777200.jpg")</f>
        <v>https://www.commcarehq.org/a/demo-18/api/form/attachment/5681fc41-2390-43a3-be4d-5eecea4555ca/1581922777200.jpg</v>
      </c>
      <c r="O15" t="str">
        <f>HYPERLINK("https://www.commcarehq.org/a/demo-18/api/form/attachment/5681fc41-2390-43a3-be4d-5eecea4555ca/1581922785729.jpg")</f>
        <v>https://www.commcarehq.org/a/demo-18/api/form/attachment/5681fc41-2390-43a3-be4d-5eecea4555ca/1581922785729.jpg</v>
      </c>
      <c r="P15" t="str">
        <f>HYPERLINK("https://www.commcarehq.org/a/demo-18/api/form/attachment/5681fc41-2390-43a3-be4d-5eecea4555ca/1581922812720.jpg")</f>
        <v>https://www.commcarehq.org/a/demo-18/api/form/attachment/5681fc41-2390-43a3-be4d-5eecea4555ca/1581922812720.jpg</v>
      </c>
      <c r="Q15" t="str">
        <f>HYPERLINK("https://www.commcarehq.org/a/demo-18/api/form/attachment/5681fc41-2390-43a3-be4d-5eecea4555ca/1581922820999.jpg")</f>
        <v>https://www.commcarehq.org/a/demo-18/api/form/attachment/5681fc41-2390-43a3-be4d-5eecea4555ca/1581922820999.jpg</v>
      </c>
      <c r="R15" s="2">
        <v>43878.291921296295</v>
      </c>
      <c r="S15" s="2">
        <v>43878.289861111109</v>
      </c>
      <c r="T15" t="s">
        <v>32</v>
      </c>
      <c r="U15" s="2">
        <v>43878.29215277778</v>
      </c>
      <c r="V15" t="s">
        <v>1459</v>
      </c>
      <c r="W15" t="s">
        <v>1460</v>
      </c>
    </row>
    <row r="16" spans="1:23" x14ac:dyDescent="0.45">
      <c r="A16" t="s">
        <v>412</v>
      </c>
      <c r="B16">
        <v>5.8</v>
      </c>
      <c r="C16" s="1">
        <v>43911</v>
      </c>
      <c r="D16" s="1">
        <v>43881</v>
      </c>
      <c r="E16" t="s">
        <v>428</v>
      </c>
      <c r="F16" t="s">
        <v>429</v>
      </c>
      <c r="G16" t="s">
        <v>429</v>
      </c>
      <c r="H16" t="s">
        <v>429</v>
      </c>
      <c r="I16" t="s">
        <v>498</v>
      </c>
      <c r="J16" t="s">
        <v>428</v>
      </c>
      <c r="K16" t="s">
        <v>429</v>
      </c>
      <c r="L16" t="str">
        <f>HYPERLINK("https://www.commcarehq.org/a/demo-18/api/form/attachment/10561c9d-d95e-42e3-8d47-b0cfa65f96ba/1582183456185.jpg")</f>
        <v>https://www.commcarehq.org/a/demo-18/api/form/attachment/10561c9d-d95e-42e3-8d47-b0cfa65f96ba/1582183456185.jpg</v>
      </c>
      <c r="M16" t="str">
        <f>HYPERLINK("https://www.commcarehq.org/a/demo-18/api/form/attachment/10561c9d-d95e-42e3-8d47-b0cfa65f96ba/1582183471651.jpg")</f>
        <v>https://www.commcarehq.org/a/demo-18/api/form/attachment/10561c9d-d95e-42e3-8d47-b0cfa65f96ba/1582183471651.jpg</v>
      </c>
      <c r="N16" t="str">
        <f>HYPERLINK("https://www.commcarehq.org/a/demo-18/api/form/attachment/10561c9d-d95e-42e3-8d47-b0cfa65f96ba/1582183545417.jpg")</f>
        <v>https://www.commcarehq.org/a/demo-18/api/form/attachment/10561c9d-d95e-42e3-8d47-b0cfa65f96ba/1582183545417.jpg</v>
      </c>
      <c r="O16" t="str">
        <f>HYPERLINK("https://www.commcarehq.org/a/demo-18/api/form/attachment/10561c9d-d95e-42e3-8d47-b0cfa65f96ba/1582183560766.jpg")</f>
        <v>https://www.commcarehq.org/a/demo-18/api/form/attachment/10561c9d-d95e-42e3-8d47-b0cfa65f96ba/1582183560766.jpg</v>
      </c>
      <c r="P16" t="str">
        <f>HYPERLINK("https://www.commcarehq.org/a/demo-18/api/form/attachment/10561c9d-d95e-42e3-8d47-b0cfa65f96ba/1582183581414.jpg")</f>
        <v>https://www.commcarehq.org/a/demo-18/api/form/attachment/10561c9d-d95e-42e3-8d47-b0cfa65f96ba/1582183581414.jpg</v>
      </c>
      <c r="Q16" t="str">
        <f>HYPERLINK("https://www.commcarehq.org/a/demo-18/api/form/attachment/10561c9d-d95e-42e3-8d47-b0cfa65f96ba/1582183590467.jpg")</f>
        <v>https://www.commcarehq.org/a/demo-18/api/form/attachment/10561c9d-d95e-42e3-8d47-b0cfa65f96ba/1582183590467.jpg</v>
      </c>
      <c r="R16" s="2">
        <v>43881.31009259259</v>
      </c>
      <c r="S16" s="2">
        <v>43881.308067129627</v>
      </c>
      <c r="T16" t="s">
        <v>32</v>
      </c>
      <c r="U16" s="2">
        <v>43881.310335648152</v>
      </c>
      <c r="V16" t="s">
        <v>1461</v>
      </c>
      <c r="W16" t="s">
        <v>1462</v>
      </c>
    </row>
    <row r="17" spans="1:23" x14ac:dyDescent="0.45">
      <c r="A17" t="s">
        <v>166</v>
      </c>
      <c r="B17">
        <v>5.9</v>
      </c>
      <c r="C17" s="1">
        <v>43911</v>
      </c>
      <c r="D17" s="1">
        <v>43881</v>
      </c>
      <c r="E17" t="s">
        <v>428</v>
      </c>
      <c r="F17" t="s">
        <v>429</v>
      </c>
      <c r="G17" t="s">
        <v>429</v>
      </c>
      <c r="H17" t="s">
        <v>429</v>
      </c>
      <c r="I17" t="s">
        <v>447</v>
      </c>
      <c r="J17" t="s">
        <v>428</v>
      </c>
      <c r="K17" t="s">
        <v>429</v>
      </c>
      <c r="L17" t="str">
        <f>HYPERLINK("https://www.commcarehq.org/a/demo-18/api/form/attachment/091ac47c-fd29-483c-83c5-d020e2040582/1582191421697.jpg")</f>
        <v>https://www.commcarehq.org/a/demo-18/api/form/attachment/091ac47c-fd29-483c-83c5-d020e2040582/1582191421697.jpg</v>
      </c>
      <c r="M17" t="str">
        <f>HYPERLINK("https://www.commcarehq.org/a/demo-18/api/form/attachment/091ac47c-fd29-483c-83c5-d020e2040582/1582191438140.jpg")</f>
        <v>https://www.commcarehq.org/a/demo-18/api/form/attachment/091ac47c-fd29-483c-83c5-d020e2040582/1582191438140.jpg</v>
      </c>
      <c r="N17" t="str">
        <f>HYPERLINK("https://www.commcarehq.org/a/demo-18/api/form/attachment/091ac47c-fd29-483c-83c5-d020e2040582/1582191471957.jpg")</f>
        <v>https://www.commcarehq.org/a/demo-18/api/form/attachment/091ac47c-fd29-483c-83c5-d020e2040582/1582191471957.jpg</v>
      </c>
      <c r="O17" t="str">
        <f>HYPERLINK("https://www.commcarehq.org/a/demo-18/api/form/attachment/091ac47c-fd29-483c-83c5-d020e2040582/1582191480864.jpg")</f>
        <v>https://www.commcarehq.org/a/demo-18/api/form/attachment/091ac47c-fd29-483c-83c5-d020e2040582/1582191480864.jpg</v>
      </c>
      <c r="P17" t="str">
        <f>HYPERLINK("https://www.commcarehq.org/a/demo-18/api/form/attachment/091ac47c-fd29-483c-83c5-d020e2040582/1582191499210.jpg")</f>
        <v>https://www.commcarehq.org/a/demo-18/api/form/attachment/091ac47c-fd29-483c-83c5-d020e2040582/1582191499210.jpg</v>
      </c>
      <c r="Q17" t="str">
        <f>HYPERLINK("https://www.commcarehq.org/a/demo-18/api/form/attachment/091ac47c-fd29-483c-83c5-d020e2040582/1582191508858.jpg")</f>
        <v>https://www.commcarehq.org/a/demo-18/api/form/attachment/091ac47c-fd29-483c-83c5-d020e2040582/1582191508858.jpg</v>
      </c>
      <c r="R17" s="2">
        <v>43881.401770833334</v>
      </c>
      <c r="S17" s="2">
        <v>43881.400196759256</v>
      </c>
      <c r="T17" t="s">
        <v>32</v>
      </c>
      <c r="U17" s="2">
        <v>43881.402071759258</v>
      </c>
      <c r="V17" t="s">
        <v>1463</v>
      </c>
      <c r="W17" t="s">
        <v>1464</v>
      </c>
    </row>
    <row r="18" spans="1:23" x14ac:dyDescent="0.45">
      <c r="A18" t="s">
        <v>247</v>
      </c>
      <c r="B18">
        <v>7</v>
      </c>
      <c r="C18" s="1">
        <v>43911</v>
      </c>
      <c r="D18" s="1">
        <v>43881</v>
      </c>
      <c r="E18" t="s">
        <v>428</v>
      </c>
      <c r="F18" t="s">
        <v>429</v>
      </c>
      <c r="G18" t="s">
        <v>429</v>
      </c>
      <c r="H18" t="s">
        <v>429</v>
      </c>
      <c r="I18" t="s">
        <v>447</v>
      </c>
      <c r="J18" t="s">
        <v>428</v>
      </c>
      <c r="K18" t="s">
        <v>429</v>
      </c>
      <c r="L18" t="str">
        <f>HYPERLINK("https://www.commcarehq.org/a/demo-18/api/form/attachment/630af412-478d-415b-9470-25563d6a09af/1582191711984.jpg")</f>
        <v>https://www.commcarehq.org/a/demo-18/api/form/attachment/630af412-478d-415b-9470-25563d6a09af/1582191711984.jpg</v>
      </c>
      <c r="M18" t="str">
        <f>HYPERLINK("https://www.commcarehq.org/a/demo-18/api/form/attachment/630af412-478d-415b-9470-25563d6a09af/1582191726915.jpg")</f>
        <v>https://www.commcarehq.org/a/demo-18/api/form/attachment/630af412-478d-415b-9470-25563d6a09af/1582191726915.jpg</v>
      </c>
      <c r="N18" t="str">
        <f>HYPERLINK("https://www.commcarehq.org/a/demo-18/api/form/attachment/630af412-478d-415b-9470-25563d6a09af/1582191784693.jpg")</f>
        <v>https://www.commcarehq.org/a/demo-18/api/form/attachment/630af412-478d-415b-9470-25563d6a09af/1582191784693.jpg</v>
      </c>
      <c r="O18" t="str">
        <f>HYPERLINK("https://www.commcarehq.org/a/demo-18/api/form/attachment/630af412-478d-415b-9470-25563d6a09af/1582191795419.jpg")</f>
        <v>https://www.commcarehq.org/a/demo-18/api/form/attachment/630af412-478d-415b-9470-25563d6a09af/1582191795419.jpg</v>
      </c>
      <c r="P18" t="str">
        <f>HYPERLINK("https://www.commcarehq.org/a/demo-18/api/form/attachment/630af412-478d-415b-9470-25563d6a09af/1582191817933.jpg")</f>
        <v>https://www.commcarehq.org/a/demo-18/api/form/attachment/630af412-478d-415b-9470-25563d6a09af/1582191817933.jpg</v>
      </c>
      <c r="Q18" t="str">
        <f>HYPERLINK("https://www.commcarehq.org/a/demo-18/api/form/attachment/630af412-478d-415b-9470-25563d6a09af/1582191834205.jpg")</f>
        <v>https://www.commcarehq.org/a/demo-18/api/form/attachment/630af412-478d-415b-9470-25563d6a09af/1582191834205.jpg</v>
      </c>
      <c r="R18" s="2">
        <v>43881.405497685184</v>
      </c>
      <c r="S18" s="2">
        <v>43881.40347222222</v>
      </c>
      <c r="T18" t="s">
        <v>32</v>
      </c>
      <c r="U18" s="2">
        <v>43881.405706018515</v>
      </c>
      <c r="V18" t="s">
        <v>1465</v>
      </c>
      <c r="W18" t="s">
        <v>1466</v>
      </c>
    </row>
    <row r="19" spans="1:23" x14ac:dyDescent="0.45">
      <c r="A19" t="s">
        <v>259</v>
      </c>
      <c r="B19">
        <v>4.5</v>
      </c>
      <c r="C19" s="1">
        <v>43905</v>
      </c>
      <c r="D19" s="1">
        <v>43875</v>
      </c>
      <c r="E19" t="s">
        <v>428</v>
      </c>
      <c r="F19" t="s">
        <v>429</v>
      </c>
      <c r="G19" t="s">
        <v>429</v>
      </c>
      <c r="H19" t="s">
        <v>429</v>
      </c>
      <c r="I19" t="s">
        <v>498</v>
      </c>
      <c r="J19" t="s">
        <v>428</v>
      </c>
      <c r="K19" t="s">
        <v>429</v>
      </c>
      <c r="L19" t="str">
        <f>HYPERLINK("https://www.commcarehq.org/a/demo-18/api/form/attachment/b898e8fe-c20b-43d1-9f2b-8baae8d9f87c/1581665332951.jpg")</f>
        <v>https://www.commcarehq.org/a/demo-18/api/form/attachment/b898e8fe-c20b-43d1-9f2b-8baae8d9f87c/1581665332951.jpg</v>
      </c>
      <c r="M19" t="str">
        <f>HYPERLINK("https://www.commcarehq.org/a/demo-18/api/form/attachment/b898e8fe-c20b-43d1-9f2b-8baae8d9f87c/1581665349939.jpg")</f>
        <v>https://www.commcarehq.org/a/demo-18/api/form/attachment/b898e8fe-c20b-43d1-9f2b-8baae8d9f87c/1581665349939.jpg</v>
      </c>
      <c r="N19" t="str">
        <f>HYPERLINK("https://www.commcarehq.org/a/demo-18/api/form/attachment/b898e8fe-c20b-43d1-9f2b-8baae8d9f87c/1581665431851.jpg")</f>
        <v>https://www.commcarehq.org/a/demo-18/api/form/attachment/b898e8fe-c20b-43d1-9f2b-8baae8d9f87c/1581665431851.jpg</v>
      </c>
      <c r="O19" t="str">
        <f>HYPERLINK("https://www.commcarehq.org/a/demo-18/api/form/attachment/b898e8fe-c20b-43d1-9f2b-8baae8d9f87c/1581665445773.jpg")</f>
        <v>https://www.commcarehq.org/a/demo-18/api/form/attachment/b898e8fe-c20b-43d1-9f2b-8baae8d9f87c/1581665445773.jpg</v>
      </c>
      <c r="P19" t="str">
        <f>HYPERLINK("https://www.commcarehq.org/a/demo-18/api/form/attachment/b898e8fe-c20b-43d1-9f2b-8baae8d9f87c/1581665469463.jpg")</f>
        <v>https://www.commcarehq.org/a/demo-18/api/form/attachment/b898e8fe-c20b-43d1-9f2b-8baae8d9f87c/1581665469463.jpg</v>
      </c>
      <c r="Q19" t="str">
        <f>HYPERLINK("https://www.commcarehq.org/a/demo-18/api/form/attachment/b898e8fe-c20b-43d1-9f2b-8baae8d9f87c/1581665479550.jpg")</f>
        <v>https://www.commcarehq.org/a/demo-18/api/form/attachment/b898e8fe-c20b-43d1-9f2b-8baae8d9f87c/1581665479550.jpg</v>
      </c>
      <c r="R19" s="2">
        <v>43875.313437500001</v>
      </c>
      <c r="S19" s="2">
        <v>43875.310960648145</v>
      </c>
      <c r="T19" t="s">
        <v>32</v>
      </c>
      <c r="U19" s="2">
        <v>43875.313680555555</v>
      </c>
      <c r="V19" t="s">
        <v>1449</v>
      </c>
      <c r="W19" t="s">
        <v>1450</v>
      </c>
    </row>
    <row r="20" spans="1:23" x14ac:dyDescent="0.45">
      <c r="A20" t="s">
        <v>238</v>
      </c>
      <c r="B20">
        <v>5.8</v>
      </c>
      <c r="C20" s="1">
        <v>43901</v>
      </c>
      <c r="D20" s="1">
        <v>43871</v>
      </c>
      <c r="E20" t="s">
        <v>428</v>
      </c>
      <c r="F20" t="s">
        <v>429</v>
      </c>
      <c r="G20" t="s">
        <v>429</v>
      </c>
      <c r="H20" t="s">
        <v>429</v>
      </c>
      <c r="I20" t="s">
        <v>498</v>
      </c>
      <c r="J20" t="s">
        <v>428</v>
      </c>
      <c r="K20" t="s">
        <v>429</v>
      </c>
      <c r="L20" t="str">
        <f>HYPERLINK("https://www.commcarehq.org/a/demo-18/api/form/attachment/28493741-5b35-4585-9362-640a0f6702f0/1581316055207.jpg")</f>
        <v>https://www.commcarehq.org/a/demo-18/api/form/attachment/28493741-5b35-4585-9362-640a0f6702f0/1581316055207.jpg</v>
      </c>
      <c r="M20" t="str">
        <f>HYPERLINK("https://www.commcarehq.org/a/demo-18/api/form/attachment/28493741-5b35-4585-9362-640a0f6702f0/1581316073883.jpg")</f>
        <v>https://www.commcarehq.org/a/demo-18/api/form/attachment/28493741-5b35-4585-9362-640a0f6702f0/1581316073883.jpg</v>
      </c>
      <c r="N20" t="str">
        <f>HYPERLINK("https://www.commcarehq.org/a/demo-18/api/form/attachment/28493741-5b35-4585-9362-640a0f6702f0/1581316108193.jpg")</f>
        <v>https://www.commcarehq.org/a/demo-18/api/form/attachment/28493741-5b35-4585-9362-640a0f6702f0/1581316108193.jpg</v>
      </c>
      <c r="O20" t="str">
        <f>HYPERLINK("https://www.commcarehq.org/a/demo-18/api/form/attachment/28493741-5b35-4585-9362-640a0f6702f0/1581316117473.jpg")</f>
        <v>https://www.commcarehq.org/a/demo-18/api/form/attachment/28493741-5b35-4585-9362-640a0f6702f0/1581316117473.jpg</v>
      </c>
      <c r="P20" t="str">
        <f>HYPERLINK("https://www.commcarehq.org/a/demo-18/api/form/attachment/28493741-5b35-4585-9362-640a0f6702f0/1581316130336.jpg")</f>
        <v>https://www.commcarehq.org/a/demo-18/api/form/attachment/28493741-5b35-4585-9362-640a0f6702f0/1581316130336.jpg</v>
      </c>
      <c r="Q20" t="str">
        <f>HYPERLINK("https://www.commcarehq.org/a/demo-18/api/form/attachment/28493741-5b35-4585-9362-640a0f6702f0/1581316139725.jpg")</f>
        <v>https://www.commcarehq.org/a/demo-18/api/form/attachment/28493741-5b35-4585-9362-640a0f6702f0/1581316139725.jpg</v>
      </c>
      <c r="R20" s="2">
        <v>43871.270150462966</v>
      </c>
      <c r="S20" s="2">
        <v>43871.268622685187</v>
      </c>
      <c r="T20" t="s">
        <v>32</v>
      </c>
      <c r="U20" s="2">
        <v>43871.270451388889</v>
      </c>
      <c r="V20" t="s">
        <v>1451</v>
      </c>
      <c r="W20" t="s">
        <v>1452</v>
      </c>
    </row>
    <row r="21" spans="1:23" x14ac:dyDescent="0.45">
      <c r="A21" t="s">
        <v>385</v>
      </c>
      <c r="B21">
        <v>5.5</v>
      </c>
      <c r="C21" s="1">
        <v>43897</v>
      </c>
      <c r="D21" s="1">
        <v>43867</v>
      </c>
      <c r="E21" t="s">
        <v>428</v>
      </c>
      <c r="F21" t="s">
        <v>429</v>
      </c>
      <c r="G21" t="s">
        <v>429</v>
      </c>
      <c r="H21" t="s">
        <v>429</v>
      </c>
      <c r="I21" t="s">
        <v>447</v>
      </c>
      <c r="J21" t="s">
        <v>428</v>
      </c>
      <c r="K21" t="s">
        <v>429</v>
      </c>
      <c r="L21" t="str">
        <f>HYPERLINK("https://www.commcarehq.org/a/demo-18/api/form/attachment/0ac56b1b-92bd-4275-8878-b73976d5da1f/1580968888077.jpg")</f>
        <v>https://www.commcarehq.org/a/demo-18/api/form/attachment/0ac56b1b-92bd-4275-8878-b73976d5da1f/1580968888077.jpg</v>
      </c>
      <c r="M21" t="str">
        <f>HYPERLINK("https://www.commcarehq.org/a/demo-18/api/form/attachment/0ac56b1b-92bd-4275-8878-b73976d5da1f/1580968906511.jpg")</f>
        <v>https://www.commcarehq.org/a/demo-18/api/form/attachment/0ac56b1b-92bd-4275-8878-b73976d5da1f/1580968906511.jpg</v>
      </c>
      <c r="N21" t="str">
        <f>HYPERLINK("https://www.commcarehq.org/a/demo-18/api/form/attachment/0ac56b1b-92bd-4275-8878-b73976d5da1f/1580968949323.jpg")</f>
        <v>https://www.commcarehq.org/a/demo-18/api/form/attachment/0ac56b1b-92bd-4275-8878-b73976d5da1f/1580968949323.jpg</v>
      </c>
      <c r="O21" t="str">
        <f>HYPERLINK("https://www.commcarehq.org/a/demo-18/api/form/attachment/0ac56b1b-92bd-4275-8878-b73976d5da1f/1580968958841.jpg")</f>
        <v>https://www.commcarehq.org/a/demo-18/api/form/attachment/0ac56b1b-92bd-4275-8878-b73976d5da1f/1580968958841.jpg</v>
      </c>
      <c r="P21" t="str">
        <f>HYPERLINK("https://www.commcarehq.org/a/demo-18/api/form/attachment/0ac56b1b-92bd-4275-8878-b73976d5da1f/1580968971526.jpg")</f>
        <v>https://www.commcarehq.org/a/demo-18/api/form/attachment/0ac56b1b-92bd-4275-8878-b73976d5da1f/1580968971526.jpg</v>
      </c>
      <c r="Q21" t="str">
        <f>HYPERLINK("https://www.commcarehq.org/a/demo-18/api/form/attachment/0ac56b1b-92bd-4275-8878-b73976d5da1f/1580968980828.jpg")</f>
        <v>https://www.commcarehq.org/a/demo-18/api/form/attachment/0ac56b1b-92bd-4275-8878-b73976d5da1f/1580968980828.jpg</v>
      </c>
      <c r="R21" s="2">
        <v>43867.252106481479</v>
      </c>
      <c r="S21" s="2">
        <v>43867.250636574077</v>
      </c>
      <c r="T21" t="s">
        <v>32</v>
      </c>
      <c r="U21" s="2">
        <v>43867.252314814818</v>
      </c>
      <c r="V21" t="s">
        <v>1453</v>
      </c>
      <c r="W21" t="s">
        <v>1454</v>
      </c>
    </row>
    <row r="22" spans="1:23" x14ac:dyDescent="0.45">
      <c r="A22" t="s">
        <v>125</v>
      </c>
      <c r="B22">
        <v>6.4</v>
      </c>
      <c r="C22" s="1">
        <v>43880</v>
      </c>
      <c r="D22" s="1">
        <v>43850</v>
      </c>
      <c r="E22" t="s">
        <v>428</v>
      </c>
      <c r="F22" t="s">
        <v>429</v>
      </c>
      <c r="G22" t="s">
        <v>429</v>
      </c>
      <c r="H22" t="s">
        <v>429</v>
      </c>
      <c r="I22" t="s">
        <v>447</v>
      </c>
      <c r="J22" t="s">
        <v>428</v>
      </c>
      <c r="K22" t="s">
        <v>429</v>
      </c>
      <c r="M22" t="str">
        <f>HYPERLINK("https://www.commcarehq.org/a/demo-18/api/form/attachment/bc747d5e-3e45-4699-94d2-44051fdc0266/1579505803586.jpg")</f>
        <v>https://www.commcarehq.org/a/demo-18/api/form/attachment/bc747d5e-3e45-4699-94d2-44051fdc0266/1579505803586.jpg</v>
      </c>
      <c r="N22" t="str">
        <f>HYPERLINK("https://www.commcarehq.org/a/demo-18/api/form/attachment/bc747d5e-3e45-4699-94d2-44051fdc0266/1579505991004.jpg")</f>
        <v>https://www.commcarehq.org/a/demo-18/api/form/attachment/bc747d5e-3e45-4699-94d2-44051fdc0266/1579505991004.jpg</v>
      </c>
      <c r="O22" t="str">
        <f>HYPERLINK("https://www.commcarehq.org/a/demo-18/api/form/attachment/bc747d5e-3e45-4699-94d2-44051fdc0266/1579506001285.jpg")</f>
        <v>https://www.commcarehq.org/a/demo-18/api/form/attachment/bc747d5e-3e45-4699-94d2-44051fdc0266/1579506001285.jpg</v>
      </c>
      <c r="P22" t="str">
        <f>HYPERLINK("https://www.commcarehq.org/a/demo-18/api/form/attachment/bc747d5e-3e45-4699-94d2-44051fdc0266/1579506014666.jpg")</f>
        <v>https://www.commcarehq.org/a/demo-18/api/form/attachment/bc747d5e-3e45-4699-94d2-44051fdc0266/1579506014666.jpg</v>
      </c>
      <c r="Q22" t="str">
        <f>HYPERLINK("https://www.commcarehq.org/a/demo-18/api/form/attachment/bc747d5e-3e45-4699-94d2-44051fdc0266/1579506025922.jpg")</f>
        <v>https://www.commcarehq.org/a/demo-18/api/form/attachment/bc747d5e-3e45-4699-94d2-44051fdc0266/1579506025922.jpg</v>
      </c>
      <c r="R22" s="2">
        <v>43850.319756944446</v>
      </c>
      <c r="S22" s="2">
        <v>43850.316504629627</v>
      </c>
      <c r="T22" t="s">
        <v>32</v>
      </c>
      <c r="U22" s="2">
        <v>43850.3200462963</v>
      </c>
      <c r="V22" t="s">
        <v>1102</v>
      </c>
      <c r="W22" t="s">
        <v>1103</v>
      </c>
    </row>
    <row r="23" spans="1:23" x14ac:dyDescent="0.45">
      <c r="A23" t="s">
        <v>334</v>
      </c>
      <c r="B23">
        <v>6.2</v>
      </c>
      <c r="C23" s="1">
        <v>43880</v>
      </c>
      <c r="D23" s="1">
        <v>43850</v>
      </c>
      <c r="E23" t="s">
        <v>428</v>
      </c>
      <c r="F23" t="s">
        <v>429</v>
      </c>
      <c r="G23" t="s">
        <v>429</v>
      </c>
      <c r="H23" t="s">
        <v>429</v>
      </c>
      <c r="I23" t="s">
        <v>447</v>
      </c>
      <c r="J23" t="s">
        <v>428</v>
      </c>
      <c r="K23" t="s">
        <v>429</v>
      </c>
      <c r="L23" t="str">
        <f>HYPERLINK("https://www.commcarehq.org/a/demo-18/api/form/attachment/6666d85e-9f74-4e07-8ab2-4f5116139c47/1579503385252.jpg")</f>
        <v>https://www.commcarehq.org/a/demo-18/api/form/attachment/6666d85e-9f74-4e07-8ab2-4f5116139c47/1579503385252.jpg</v>
      </c>
      <c r="M23" t="str">
        <f>HYPERLINK("https://www.commcarehq.org/a/demo-18/api/form/attachment/6666d85e-9f74-4e07-8ab2-4f5116139c47/1579503398887.jpg")</f>
        <v>https://www.commcarehq.org/a/demo-18/api/form/attachment/6666d85e-9f74-4e07-8ab2-4f5116139c47/1579503398887.jpg</v>
      </c>
      <c r="N23" t="str">
        <f>HYPERLINK("https://www.commcarehq.org/a/demo-18/api/form/attachment/6666d85e-9f74-4e07-8ab2-4f5116139c47/1579503443390.jpg")</f>
        <v>https://www.commcarehq.org/a/demo-18/api/form/attachment/6666d85e-9f74-4e07-8ab2-4f5116139c47/1579503443390.jpg</v>
      </c>
      <c r="O23" t="str">
        <f>HYPERLINK("https://www.commcarehq.org/a/demo-18/api/form/attachment/6666d85e-9f74-4e07-8ab2-4f5116139c47/1579503453942.jpg")</f>
        <v>https://www.commcarehq.org/a/demo-18/api/form/attachment/6666d85e-9f74-4e07-8ab2-4f5116139c47/1579503453942.jpg</v>
      </c>
      <c r="P23" t="str">
        <f>HYPERLINK("https://www.commcarehq.org/a/demo-18/api/form/attachment/6666d85e-9f74-4e07-8ab2-4f5116139c47/1579503468315.jpg")</f>
        <v>https://www.commcarehq.org/a/demo-18/api/form/attachment/6666d85e-9f74-4e07-8ab2-4f5116139c47/1579503468315.jpg</v>
      </c>
      <c r="Q23" t="str">
        <f>HYPERLINK("https://www.commcarehq.org/a/demo-18/api/form/attachment/6666d85e-9f74-4e07-8ab2-4f5116139c47/1579503479153.jpg")</f>
        <v>https://www.commcarehq.org/a/demo-18/api/form/attachment/6666d85e-9f74-4e07-8ab2-4f5116139c47/1579503479153.jpg</v>
      </c>
      <c r="R23" s="2">
        <v>43850.290289351855</v>
      </c>
      <c r="S23" s="2">
        <v>43850.288530092592</v>
      </c>
      <c r="T23" t="s">
        <v>32</v>
      </c>
      <c r="U23" s="2">
        <v>43850.29047453704</v>
      </c>
      <c r="V23" t="s">
        <v>1104</v>
      </c>
      <c r="W23" t="s">
        <v>1105</v>
      </c>
    </row>
    <row r="24" spans="1:23" x14ac:dyDescent="0.45">
      <c r="A24" t="s">
        <v>331</v>
      </c>
      <c r="B24">
        <v>5.6</v>
      </c>
      <c r="C24" s="1">
        <v>43880</v>
      </c>
      <c r="D24" s="1">
        <v>43850</v>
      </c>
      <c r="E24" t="s">
        <v>428</v>
      </c>
      <c r="F24" t="s">
        <v>429</v>
      </c>
      <c r="G24" t="s">
        <v>429</v>
      </c>
      <c r="H24" t="s">
        <v>429</v>
      </c>
      <c r="I24" t="s">
        <v>498</v>
      </c>
      <c r="J24" t="s">
        <v>428</v>
      </c>
      <c r="K24" t="s">
        <v>429</v>
      </c>
      <c r="L24" t="str">
        <f>HYPERLINK("https://www.commcarehq.org/a/demo-18/api/form/attachment/49bc24f0-d2ca-45be-8f1f-73a9e3a7ca76/1579504858702.jpg")</f>
        <v>https://www.commcarehq.org/a/demo-18/api/form/attachment/49bc24f0-d2ca-45be-8f1f-73a9e3a7ca76/1579504858702.jpg</v>
      </c>
      <c r="M24" t="str">
        <f>HYPERLINK("https://www.commcarehq.org/a/demo-18/api/form/attachment/49bc24f0-d2ca-45be-8f1f-73a9e3a7ca76/1579504871905.jpg")</f>
        <v>https://www.commcarehq.org/a/demo-18/api/form/attachment/49bc24f0-d2ca-45be-8f1f-73a9e3a7ca76/1579504871905.jpg</v>
      </c>
      <c r="N24" t="str">
        <f>HYPERLINK("https://www.commcarehq.org/a/demo-18/api/form/attachment/49bc24f0-d2ca-45be-8f1f-73a9e3a7ca76/1579504933314.jpg")</f>
        <v>https://www.commcarehq.org/a/demo-18/api/form/attachment/49bc24f0-d2ca-45be-8f1f-73a9e3a7ca76/1579504933314.jpg</v>
      </c>
      <c r="O24" t="str">
        <f>HYPERLINK("https://www.commcarehq.org/a/demo-18/api/form/attachment/49bc24f0-d2ca-45be-8f1f-73a9e3a7ca76/1579504943493.jpg")</f>
        <v>https://www.commcarehq.org/a/demo-18/api/form/attachment/49bc24f0-d2ca-45be-8f1f-73a9e3a7ca76/1579504943493.jpg</v>
      </c>
      <c r="P24" t="str">
        <f>HYPERLINK("https://www.commcarehq.org/a/demo-18/api/form/attachment/49bc24f0-d2ca-45be-8f1f-73a9e3a7ca76/1579504959632.jpg")</f>
        <v>https://www.commcarehq.org/a/demo-18/api/form/attachment/49bc24f0-d2ca-45be-8f1f-73a9e3a7ca76/1579504959632.jpg</v>
      </c>
      <c r="Q24" t="str">
        <f>HYPERLINK("https://www.commcarehq.org/a/demo-18/api/form/attachment/49bc24f0-d2ca-45be-8f1f-73a9e3a7ca76/1579504970021.jpg")</f>
        <v>https://www.commcarehq.org/a/demo-18/api/form/attachment/49bc24f0-d2ca-45be-8f1f-73a9e3a7ca76/1579504970021.jpg</v>
      </c>
      <c r="R24" s="2">
        <v>43850.307592592595</v>
      </c>
      <c r="S24" s="2">
        <v>43850.305844907409</v>
      </c>
      <c r="T24" t="s">
        <v>32</v>
      </c>
      <c r="U24" s="2">
        <v>43850.307824074072</v>
      </c>
      <c r="V24" t="s">
        <v>1106</v>
      </c>
      <c r="W24" t="s">
        <v>1107</v>
      </c>
    </row>
    <row r="25" spans="1:23" x14ac:dyDescent="0.45">
      <c r="A25" t="s">
        <v>211</v>
      </c>
      <c r="B25">
        <v>5.7</v>
      </c>
      <c r="C25" s="1">
        <v>43875</v>
      </c>
      <c r="D25" s="1">
        <v>43845</v>
      </c>
      <c r="E25" t="s">
        <v>428</v>
      </c>
      <c r="F25" t="s">
        <v>429</v>
      </c>
      <c r="G25" t="s">
        <v>429</v>
      </c>
      <c r="H25" t="s">
        <v>429</v>
      </c>
      <c r="I25" t="s">
        <v>498</v>
      </c>
      <c r="J25" t="s">
        <v>428</v>
      </c>
      <c r="K25" t="s">
        <v>429</v>
      </c>
      <c r="L25" t="str">
        <f>HYPERLINK("https://www.commcarehq.org/a/demo-18/api/form/attachment/4be5ea43-d376-46fb-9f1d-01425d8b7bef/1579075273997.jpg")</f>
        <v>https://www.commcarehq.org/a/demo-18/api/form/attachment/4be5ea43-d376-46fb-9f1d-01425d8b7bef/1579075273997.jpg</v>
      </c>
      <c r="M25" t="str">
        <f>HYPERLINK("https://www.commcarehq.org/a/demo-18/api/form/attachment/4be5ea43-d376-46fb-9f1d-01425d8b7bef/1579075289261.jpg")</f>
        <v>https://www.commcarehq.org/a/demo-18/api/form/attachment/4be5ea43-d376-46fb-9f1d-01425d8b7bef/1579075289261.jpg</v>
      </c>
      <c r="N25" t="str">
        <f>HYPERLINK("https://www.commcarehq.org/a/demo-18/api/form/attachment/4be5ea43-d376-46fb-9f1d-01425d8b7bef/1579075350111.jpg")</f>
        <v>https://www.commcarehq.org/a/demo-18/api/form/attachment/4be5ea43-d376-46fb-9f1d-01425d8b7bef/1579075350111.jpg</v>
      </c>
      <c r="O25" t="str">
        <f>HYPERLINK("https://www.commcarehq.org/a/demo-18/api/form/attachment/4be5ea43-d376-46fb-9f1d-01425d8b7bef/1579075359288.jpg")</f>
        <v>https://www.commcarehq.org/a/demo-18/api/form/attachment/4be5ea43-d376-46fb-9f1d-01425d8b7bef/1579075359288.jpg</v>
      </c>
      <c r="P25" t="str">
        <f>HYPERLINK("https://www.commcarehq.org/a/demo-18/api/form/attachment/4be5ea43-d376-46fb-9f1d-01425d8b7bef/1579075378859.jpg")</f>
        <v>https://www.commcarehq.org/a/demo-18/api/form/attachment/4be5ea43-d376-46fb-9f1d-01425d8b7bef/1579075378859.jpg</v>
      </c>
      <c r="Q25" t="str">
        <f>HYPERLINK("https://www.commcarehq.org/a/demo-18/api/form/attachment/4be5ea43-d376-46fb-9f1d-01425d8b7bef/1579075392222.jpg")</f>
        <v>https://www.commcarehq.org/a/demo-18/api/form/attachment/4be5ea43-d376-46fb-9f1d-01425d8b7bef/1579075392222.jpg</v>
      </c>
      <c r="R25" s="2">
        <v>43845.33556712963</v>
      </c>
      <c r="S25" s="2">
        <v>43845.333668981482</v>
      </c>
      <c r="T25" t="s">
        <v>32</v>
      </c>
      <c r="U25" s="2">
        <v>43845.335810185185</v>
      </c>
      <c r="V25" t="s">
        <v>1049</v>
      </c>
      <c r="W25" t="s">
        <v>1050</v>
      </c>
    </row>
    <row r="26" spans="1:23" x14ac:dyDescent="0.45">
      <c r="A26" t="s">
        <v>262</v>
      </c>
      <c r="B26">
        <v>6</v>
      </c>
      <c r="C26" s="1">
        <v>43901</v>
      </c>
      <c r="D26" s="1">
        <v>43871</v>
      </c>
      <c r="E26" t="s">
        <v>428</v>
      </c>
      <c r="F26" t="s">
        <v>429</v>
      </c>
      <c r="G26" t="s">
        <v>429</v>
      </c>
      <c r="H26" t="s">
        <v>429</v>
      </c>
      <c r="I26" t="s">
        <v>447</v>
      </c>
      <c r="J26" t="s">
        <v>428</v>
      </c>
      <c r="K26" t="s">
        <v>429</v>
      </c>
      <c r="L26" t="str">
        <f>HYPERLINK("https://www.commcarehq.org/a/demo-18/api/form/attachment/a92bcc8d-9f42-4d5f-9f9e-d270fe5cfda4/1581316517688.jpg")</f>
        <v>https://www.commcarehq.org/a/demo-18/api/form/attachment/a92bcc8d-9f42-4d5f-9f9e-d270fe5cfda4/1581316517688.jpg</v>
      </c>
      <c r="M26" t="str">
        <f>HYPERLINK("https://www.commcarehq.org/a/demo-18/api/form/attachment/a92bcc8d-9f42-4d5f-9f9e-d270fe5cfda4/1581316537442.jpg")</f>
        <v>https://www.commcarehq.org/a/demo-18/api/form/attachment/a92bcc8d-9f42-4d5f-9f9e-d270fe5cfda4/1581316537442.jpg</v>
      </c>
      <c r="N26" t="str">
        <f>HYPERLINK("https://www.commcarehq.org/a/demo-18/api/form/attachment/a92bcc8d-9f42-4d5f-9f9e-d270fe5cfda4/1581316565343.jpg")</f>
        <v>https://www.commcarehq.org/a/demo-18/api/form/attachment/a92bcc8d-9f42-4d5f-9f9e-d270fe5cfda4/1581316565343.jpg</v>
      </c>
      <c r="O26" t="str">
        <f>HYPERLINK("https://www.commcarehq.org/a/demo-18/api/form/attachment/a92bcc8d-9f42-4d5f-9f9e-d270fe5cfda4/1581316573880.jpg")</f>
        <v>https://www.commcarehq.org/a/demo-18/api/form/attachment/a92bcc8d-9f42-4d5f-9f9e-d270fe5cfda4/1581316573880.jpg</v>
      </c>
      <c r="P26" t="str">
        <f>HYPERLINK("https://www.commcarehq.org/a/demo-18/api/form/attachment/a92bcc8d-9f42-4d5f-9f9e-d270fe5cfda4/1581316585887.jpg")</f>
        <v>https://www.commcarehq.org/a/demo-18/api/form/attachment/a92bcc8d-9f42-4d5f-9f9e-d270fe5cfda4/1581316585887.jpg</v>
      </c>
      <c r="Q26" t="str">
        <f>HYPERLINK("https://www.commcarehq.org/a/demo-18/api/form/attachment/a92bcc8d-9f42-4d5f-9f9e-d270fe5cfda4/1581316594983.jpg")</f>
        <v>https://www.commcarehq.org/a/demo-18/api/form/attachment/a92bcc8d-9f42-4d5f-9f9e-d270fe5cfda4/1581316594983.jpg</v>
      </c>
      <c r="R26" s="2">
        <v>43871.275416666664</v>
      </c>
      <c r="S26" s="2">
        <v>43871.274004629631</v>
      </c>
      <c r="T26" t="s">
        <v>32</v>
      </c>
      <c r="U26" s="2">
        <v>43871.275706018518</v>
      </c>
      <c r="V26" t="s">
        <v>1467</v>
      </c>
      <c r="W26" t="s">
        <v>1468</v>
      </c>
    </row>
    <row r="27" spans="1:23" x14ac:dyDescent="0.45">
      <c r="A27" t="s">
        <v>95</v>
      </c>
      <c r="B27">
        <v>6.2</v>
      </c>
      <c r="C27" s="1">
        <v>43901</v>
      </c>
      <c r="D27" s="1">
        <v>43871</v>
      </c>
      <c r="E27" t="s">
        <v>428</v>
      </c>
      <c r="F27" t="s">
        <v>429</v>
      </c>
      <c r="G27" t="s">
        <v>429</v>
      </c>
      <c r="H27" t="s">
        <v>429</v>
      </c>
      <c r="I27" t="s">
        <v>498</v>
      </c>
      <c r="J27" t="s">
        <v>428</v>
      </c>
      <c r="K27" t="s">
        <v>429</v>
      </c>
      <c r="L27" t="str">
        <f>HYPERLINK("https://www.commcarehq.org/a/demo-18/api/form/attachment/38f488ce-a198-4ef1-9aad-a6f214590801/1581319898048.jpg")</f>
        <v>https://www.commcarehq.org/a/demo-18/api/form/attachment/38f488ce-a198-4ef1-9aad-a6f214590801/1581319898048.jpg</v>
      </c>
      <c r="M27" t="str">
        <f>HYPERLINK("https://www.commcarehq.org/a/demo-18/api/form/attachment/38f488ce-a198-4ef1-9aad-a6f214590801/1581319913682.jpg")</f>
        <v>https://www.commcarehq.org/a/demo-18/api/form/attachment/38f488ce-a198-4ef1-9aad-a6f214590801/1581319913682.jpg</v>
      </c>
      <c r="N27" t="str">
        <f>HYPERLINK("https://www.commcarehq.org/a/demo-18/api/form/attachment/38f488ce-a198-4ef1-9aad-a6f214590801/1581320038596.jpg")</f>
        <v>https://www.commcarehq.org/a/demo-18/api/form/attachment/38f488ce-a198-4ef1-9aad-a6f214590801/1581320038596.jpg</v>
      </c>
      <c r="O27" t="str">
        <f>HYPERLINK("https://www.commcarehq.org/a/demo-18/api/form/attachment/38f488ce-a198-4ef1-9aad-a6f214590801/1581320048508.jpg")</f>
        <v>https://www.commcarehq.org/a/demo-18/api/form/attachment/38f488ce-a198-4ef1-9aad-a6f214590801/1581320048508.jpg</v>
      </c>
      <c r="P27" t="str">
        <f>HYPERLINK("https://www.commcarehq.org/a/demo-18/api/form/attachment/38f488ce-a198-4ef1-9aad-a6f214590801/1581320061738.jpg")</f>
        <v>https://www.commcarehq.org/a/demo-18/api/form/attachment/38f488ce-a198-4ef1-9aad-a6f214590801/1581320061738.jpg</v>
      </c>
      <c r="Q27" t="str">
        <f>HYPERLINK("https://www.commcarehq.org/a/demo-18/api/form/attachment/38f488ce-a198-4ef1-9aad-a6f214590801/1581320071337.jpg")</f>
        <v>https://www.commcarehq.org/a/demo-18/api/form/attachment/38f488ce-a198-4ef1-9aad-a6f214590801/1581320071337.jpg</v>
      </c>
      <c r="R27" s="2">
        <v>43871.315671296295</v>
      </c>
      <c r="S27" s="2">
        <v>43871.313171296293</v>
      </c>
      <c r="T27" t="s">
        <v>32</v>
      </c>
      <c r="U27" s="2">
        <v>43871.33085648148</v>
      </c>
      <c r="V27" t="s">
        <v>1469</v>
      </c>
      <c r="W27" t="s">
        <v>1470</v>
      </c>
    </row>
    <row r="28" spans="1:23" x14ac:dyDescent="0.45">
      <c r="A28" t="s">
        <v>98</v>
      </c>
      <c r="B28">
        <v>5.7</v>
      </c>
      <c r="C28" s="1">
        <v>43897</v>
      </c>
      <c r="D28" s="1">
        <v>43867</v>
      </c>
      <c r="E28" t="s">
        <v>428</v>
      </c>
      <c r="F28" t="s">
        <v>429</v>
      </c>
      <c r="G28" t="s">
        <v>429</v>
      </c>
      <c r="H28" t="s">
        <v>429</v>
      </c>
      <c r="I28" t="s">
        <v>498</v>
      </c>
      <c r="J28" t="s">
        <v>428</v>
      </c>
      <c r="K28" t="s">
        <v>429</v>
      </c>
      <c r="L28" t="str">
        <f>HYPERLINK("https://www.commcarehq.org/a/demo-18/api/form/attachment/191d42da-f59a-4023-97bb-4416fdc07ac1/1580973223318.jpg")</f>
        <v>https://www.commcarehq.org/a/demo-18/api/form/attachment/191d42da-f59a-4023-97bb-4416fdc07ac1/1580973223318.jpg</v>
      </c>
      <c r="M28" t="str">
        <f>HYPERLINK("https://www.commcarehq.org/a/demo-18/api/form/attachment/191d42da-f59a-4023-97bb-4416fdc07ac1/1580973241333.jpg")</f>
        <v>https://www.commcarehq.org/a/demo-18/api/form/attachment/191d42da-f59a-4023-97bb-4416fdc07ac1/1580973241333.jpg</v>
      </c>
      <c r="N28" t="str">
        <f>HYPERLINK("https://www.commcarehq.org/a/demo-18/api/form/attachment/191d42da-f59a-4023-97bb-4416fdc07ac1/1580973294353.jpg")</f>
        <v>https://www.commcarehq.org/a/demo-18/api/form/attachment/191d42da-f59a-4023-97bb-4416fdc07ac1/1580973294353.jpg</v>
      </c>
      <c r="O28" t="str">
        <f>HYPERLINK("https://www.commcarehq.org/a/demo-18/api/form/attachment/191d42da-f59a-4023-97bb-4416fdc07ac1/1580973303506.jpg")</f>
        <v>https://www.commcarehq.org/a/demo-18/api/form/attachment/191d42da-f59a-4023-97bb-4416fdc07ac1/1580973303506.jpg</v>
      </c>
      <c r="P28" t="str">
        <f>HYPERLINK("https://www.commcarehq.org/a/demo-18/api/form/attachment/191d42da-f59a-4023-97bb-4416fdc07ac1/1580973337466.jpg")</f>
        <v>https://www.commcarehq.org/a/demo-18/api/form/attachment/191d42da-f59a-4023-97bb-4416fdc07ac1/1580973337466.jpg</v>
      </c>
      <c r="Q28" t="str">
        <f>HYPERLINK("https://www.commcarehq.org/a/demo-18/api/form/attachment/191d42da-f59a-4023-97bb-4416fdc07ac1/1580973348227.jpg")</f>
        <v>https://www.commcarehq.org/a/demo-18/api/form/attachment/191d42da-f59a-4023-97bb-4416fdc07ac1/1580973348227.jpg</v>
      </c>
      <c r="R28" s="2">
        <v>43867.302662037036</v>
      </c>
      <c r="S28" s="2">
        <v>43867.300740740742</v>
      </c>
      <c r="T28" t="s">
        <v>32</v>
      </c>
      <c r="U28" s="2">
        <v>43867.314317129632</v>
      </c>
      <c r="V28" t="s">
        <v>1471</v>
      </c>
      <c r="W28" t="s">
        <v>1472</v>
      </c>
    </row>
    <row r="29" spans="1:23" x14ac:dyDescent="0.45">
      <c r="A29" t="s">
        <v>74</v>
      </c>
      <c r="B29">
        <v>6</v>
      </c>
      <c r="C29" s="1">
        <v>43898</v>
      </c>
      <c r="D29" s="1">
        <v>43868</v>
      </c>
      <c r="E29" t="s">
        <v>428</v>
      </c>
      <c r="F29" t="s">
        <v>429</v>
      </c>
      <c r="G29" t="s">
        <v>429</v>
      </c>
      <c r="H29" t="s">
        <v>429</v>
      </c>
      <c r="I29" t="s">
        <v>1321</v>
      </c>
      <c r="J29" t="s">
        <v>428</v>
      </c>
      <c r="K29" t="s">
        <v>429</v>
      </c>
      <c r="L29" t="str">
        <f>HYPERLINK("https://www.commcarehq.org/a/demo-18/api/form/attachment/db69d85d-9286-4f2b-9fc5-b92a1784241b/1581058435345.jpg")</f>
        <v>https://www.commcarehq.org/a/demo-18/api/form/attachment/db69d85d-9286-4f2b-9fc5-b92a1784241b/1581058435345.jpg</v>
      </c>
      <c r="M29" t="str">
        <f>HYPERLINK("https://www.commcarehq.org/a/demo-18/api/form/attachment/db69d85d-9286-4f2b-9fc5-b92a1784241b/1581058450532.jpg")</f>
        <v>https://www.commcarehq.org/a/demo-18/api/form/attachment/db69d85d-9286-4f2b-9fc5-b92a1784241b/1581058450532.jpg</v>
      </c>
      <c r="N29" t="str">
        <f>HYPERLINK("https://www.commcarehq.org/a/demo-18/api/form/attachment/db69d85d-9286-4f2b-9fc5-b92a1784241b/1581058491111.jpg")</f>
        <v>https://www.commcarehq.org/a/demo-18/api/form/attachment/db69d85d-9286-4f2b-9fc5-b92a1784241b/1581058491111.jpg</v>
      </c>
      <c r="O29" t="str">
        <f>HYPERLINK("https://www.commcarehq.org/a/demo-18/api/form/attachment/db69d85d-9286-4f2b-9fc5-b92a1784241b/1581058500181.jpg")</f>
        <v>https://www.commcarehq.org/a/demo-18/api/form/attachment/db69d85d-9286-4f2b-9fc5-b92a1784241b/1581058500181.jpg</v>
      </c>
      <c r="P29" t="str">
        <f>HYPERLINK("https://www.commcarehq.org/a/demo-18/api/form/attachment/db69d85d-9286-4f2b-9fc5-b92a1784241b/1581058523186.jpg")</f>
        <v>https://www.commcarehq.org/a/demo-18/api/form/attachment/db69d85d-9286-4f2b-9fc5-b92a1784241b/1581058523186.jpg</v>
      </c>
      <c r="Q29" t="str">
        <f>HYPERLINK("https://www.commcarehq.org/a/demo-18/api/form/attachment/db69d85d-9286-4f2b-9fc5-b92a1784241b/1581058534309.jpg")</f>
        <v>https://www.commcarehq.org/a/demo-18/api/form/attachment/db69d85d-9286-4f2b-9fc5-b92a1784241b/1581058534309.jpg</v>
      </c>
      <c r="R29" s="2">
        <v>43868.288611111115</v>
      </c>
      <c r="S29" s="2">
        <v>43868.285868055558</v>
      </c>
      <c r="T29" t="s">
        <v>32</v>
      </c>
      <c r="U29" s="2">
        <v>43868.288946759261</v>
      </c>
      <c r="V29" t="s">
        <v>1473</v>
      </c>
      <c r="W29" t="s">
        <v>1474</v>
      </c>
    </row>
    <row r="30" spans="1:23" x14ac:dyDescent="0.45">
      <c r="A30" t="s">
        <v>229</v>
      </c>
      <c r="B30">
        <v>5.8</v>
      </c>
      <c r="C30" s="1">
        <v>43904</v>
      </c>
      <c r="D30" s="1">
        <v>43874</v>
      </c>
      <c r="E30" t="s">
        <v>428</v>
      </c>
      <c r="F30" t="s">
        <v>429</v>
      </c>
      <c r="G30" t="s">
        <v>429</v>
      </c>
      <c r="H30" t="s">
        <v>429</v>
      </c>
      <c r="I30" t="s">
        <v>569</v>
      </c>
      <c r="J30" t="s">
        <v>428</v>
      </c>
      <c r="K30" t="s">
        <v>429</v>
      </c>
      <c r="L30" t="str">
        <f>HYPERLINK("https://www.commcarehq.org/a/demo-18/api/form/attachment/9cfdf76c-1a88-4a74-8bbf-94d39b5e113e/1581578980034.jpg")</f>
        <v>https://www.commcarehq.org/a/demo-18/api/form/attachment/9cfdf76c-1a88-4a74-8bbf-94d39b5e113e/1581578980034.jpg</v>
      </c>
      <c r="M30" t="str">
        <f>HYPERLINK("https://www.commcarehq.org/a/demo-18/api/form/attachment/9cfdf76c-1a88-4a74-8bbf-94d39b5e113e/1581579034627.jpg")</f>
        <v>https://www.commcarehq.org/a/demo-18/api/form/attachment/9cfdf76c-1a88-4a74-8bbf-94d39b5e113e/1581579034627.jpg</v>
      </c>
      <c r="N30" t="str">
        <f>HYPERLINK("https://www.commcarehq.org/a/demo-18/api/form/attachment/9cfdf76c-1a88-4a74-8bbf-94d39b5e113e/1581579063816.jpg")</f>
        <v>https://www.commcarehq.org/a/demo-18/api/form/attachment/9cfdf76c-1a88-4a74-8bbf-94d39b5e113e/1581579063816.jpg</v>
      </c>
      <c r="O30" t="str">
        <f>HYPERLINK("https://www.commcarehq.org/a/demo-18/api/form/attachment/9cfdf76c-1a88-4a74-8bbf-94d39b5e113e/1581579071703.jpg")</f>
        <v>https://www.commcarehq.org/a/demo-18/api/form/attachment/9cfdf76c-1a88-4a74-8bbf-94d39b5e113e/1581579071703.jpg</v>
      </c>
      <c r="P30" t="str">
        <f>HYPERLINK("https://www.commcarehq.org/a/demo-18/api/form/attachment/9cfdf76c-1a88-4a74-8bbf-94d39b5e113e/1581579083614.jpg")</f>
        <v>https://www.commcarehq.org/a/demo-18/api/form/attachment/9cfdf76c-1a88-4a74-8bbf-94d39b5e113e/1581579083614.jpg</v>
      </c>
      <c r="Q30" t="str">
        <f>HYPERLINK("https://www.commcarehq.org/a/demo-18/api/form/attachment/9cfdf76c-1a88-4a74-8bbf-94d39b5e113e/1581579094344.jpg")</f>
        <v>https://www.commcarehq.org/a/demo-18/api/form/attachment/9cfdf76c-1a88-4a74-8bbf-94d39b5e113e/1581579094344.jpg</v>
      </c>
      <c r="R30" s="2">
        <v>43874.313611111109</v>
      </c>
      <c r="S30" s="2">
        <v>43874.31181712963</v>
      </c>
      <c r="T30" t="s">
        <v>32</v>
      </c>
      <c r="U30" s="2">
        <v>43874.313854166663</v>
      </c>
      <c r="V30" t="s">
        <v>1475</v>
      </c>
      <c r="W30" t="s">
        <v>1476</v>
      </c>
    </row>
    <row r="31" spans="1:23" x14ac:dyDescent="0.45">
      <c r="A31" t="s">
        <v>364</v>
      </c>
      <c r="B31">
        <v>5.0999999999999996</v>
      </c>
      <c r="C31" s="1">
        <v>43883</v>
      </c>
      <c r="D31" s="1">
        <v>43853</v>
      </c>
      <c r="E31" t="s">
        <v>428</v>
      </c>
      <c r="F31" t="s">
        <v>429</v>
      </c>
      <c r="G31" t="s">
        <v>429</v>
      </c>
      <c r="H31" t="s">
        <v>429</v>
      </c>
      <c r="I31" t="s">
        <v>447</v>
      </c>
      <c r="J31" t="s">
        <v>428</v>
      </c>
      <c r="K31" t="s">
        <v>429</v>
      </c>
      <c r="L31" t="str">
        <f>HYPERLINK("https://www.commcarehq.org/a/demo-18/api/form/attachment/ba48f439-9ae9-4a93-bcf6-e5ebfe97a48b/1579761246809.jpg")</f>
        <v>https://www.commcarehq.org/a/demo-18/api/form/attachment/ba48f439-9ae9-4a93-bcf6-e5ebfe97a48b/1579761246809.jpg</v>
      </c>
      <c r="M31" t="str">
        <f>HYPERLINK("https://www.commcarehq.org/a/demo-18/api/form/attachment/ba48f439-9ae9-4a93-bcf6-e5ebfe97a48b/1579761261527.jpg")</f>
        <v>https://www.commcarehq.org/a/demo-18/api/form/attachment/ba48f439-9ae9-4a93-bcf6-e5ebfe97a48b/1579761261527.jpg</v>
      </c>
      <c r="N31" t="str">
        <f>HYPERLINK("https://www.commcarehq.org/a/demo-18/api/form/attachment/ba48f439-9ae9-4a93-bcf6-e5ebfe97a48b/1579761286888.jpg")</f>
        <v>https://www.commcarehq.org/a/demo-18/api/form/attachment/ba48f439-9ae9-4a93-bcf6-e5ebfe97a48b/1579761286888.jpg</v>
      </c>
      <c r="O31" t="str">
        <f>HYPERLINK("https://www.commcarehq.org/a/demo-18/api/form/attachment/ba48f439-9ae9-4a93-bcf6-e5ebfe97a48b/1579761296265.jpg")</f>
        <v>https://www.commcarehq.org/a/demo-18/api/form/attachment/ba48f439-9ae9-4a93-bcf6-e5ebfe97a48b/1579761296265.jpg</v>
      </c>
      <c r="P31" t="str">
        <f>HYPERLINK("https://www.commcarehq.org/a/demo-18/api/form/attachment/ba48f439-9ae9-4a93-bcf6-e5ebfe97a48b/1579761308693.jpg")</f>
        <v>https://www.commcarehq.org/a/demo-18/api/form/attachment/ba48f439-9ae9-4a93-bcf6-e5ebfe97a48b/1579761308693.jpg</v>
      </c>
      <c r="Q31" t="str">
        <f>HYPERLINK("https://www.commcarehq.org/a/demo-18/api/form/attachment/ba48f439-9ae9-4a93-bcf6-e5ebfe97a48b/1579761317236.jpg")</f>
        <v>https://www.commcarehq.org/a/demo-18/api/form/attachment/ba48f439-9ae9-4a93-bcf6-e5ebfe97a48b/1579761317236.jpg</v>
      </c>
      <c r="R31" s="2">
        <v>43853.274525462963</v>
      </c>
      <c r="S31" s="2">
        <v>43853.273275462961</v>
      </c>
      <c r="T31" t="s">
        <v>32</v>
      </c>
      <c r="U31" s="2">
        <v>43853.356793981482</v>
      </c>
      <c r="V31" t="s">
        <v>1175</v>
      </c>
      <c r="W31" t="s">
        <v>1176</v>
      </c>
    </row>
    <row r="32" spans="1:23" x14ac:dyDescent="0.45">
      <c r="A32" t="s">
        <v>271</v>
      </c>
      <c r="B32">
        <v>6.1</v>
      </c>
      <c r="C32" s="1">
        <v>43883</v>
      </c>
      <c r="D32" s="1">
        <v>43853</v>
      </c>
      <c r="E32" t="s">
        <v>428</v>
      </c>
      <c r="F32" t="s">
        <v>429</v>
      </c>
      <c r="G32" t="s">
        <v>429</v>
      </c>
      <c r="H32" t="s">
        <v>429</v>
      </c>
      <c r="I32" t="s">
        <v>447</v>
      </c>
      <c r="J32" t="s">
        <v>428</v>
      </c>
      <c r="K32" t="s">
        <v>429</v>
      </c>
      <c r="L32" t="str">
        <f>HYPERLINK("https://www.commcarehq.org/a/demo-18/api/form/attachment/f066c7cd-28e2-4e1e-b67f-0e5071156370/1579766548307.jpg")</f>
        <v>https://www.commcarehq.org/a/demo-18/api/form/attachment/f066c7cd-28e2-4e1e-b67f-0e5071156370/1579766548307.jpg</v>
      </c>
      <c r="M32" t="str">
        <f>HYPERLINK("https://www.commcarehq.org/a/demo-18/api/form/attachment/f066c7cd-28e2-4e1e-b67f-0e5071156370/1579766564917.jpg")</f>
        <v>https://www.commcarehq.org/a/demo-18/api/form/attachment/f066c7cd-28e2-4e1e-b67f-0e5071156370/1579766564917.jpg</v>
      </c>
      <c r="N32" t="str">
        <f>HYPERLINK("https://www.commcarehq.org/a/demo-18/api/form/attachment/f066c7cd-28e2-4e1e-b67f-0e5071156370/1579766601558.jpg")</f>
        <v>https://www.commcarehq.org/a/demo-18/api/form/attachment/f066c7cd-28e2-4e1e-b67f-0e5071156370/1579766601558.jpg</v>
      </c>
      <c r="O32" t="str">
        <f>HYPERLINK("https://www.commcarehq.org/a/demo-18/api/form/attachment/f066c7cd-28e2-4e1e-b67f-0e5071156370/1579766610772.jpg")</f>
        <v>https://www.commcarehq.org/a/demo-18/api/form/attachment/f066c7cd-28e2-4e1e-b67f-0e5071156370/1579766610772.jpg</v>
      </c>
      <c r="P32" t="str">
        <f>HYPERLINK("https://www.commcarehq.org/a/demo-18/api/form/attachment/f066c7cd-28e2-4e1e-b67f-0e5071156370/1579766627743.jpg")</f>
        <v>https://www.commcarehq.org/a/demo-18/api/form/attachment/f066c7cd-28e2-4e1e-b67f-0e5071156370/1579766627743.jpg</v>
      </c>
      <c r="Q32" t="str">
        <f>HYPERLINK("https://www.commcarehq.org/a/demo-18/api/form/attachment/f066c7cd-28e2-4e1e-b67f-0e5071156370/1579766636402.jpg")</f>
        <v>https://www.commcarehq.org/a/demo-18/api/form/attachment/f066c7cd-28e2-4e1e-b67f-0e5071156370/1579766636402.jpg</v>
      </c>
      <c r="R32" s="2">
        <v>43853.336122685185</v>
      </c>
      <c r="S32" s="2">
        <v>43853.334745370368</v>
      </c>
      <c r="T32" t="s">
        <v>32</v>
      </c>
      <c r="U32" s="2">
        <v>43853.360451388886</v>
      </c>
      <c r="V32" t="s">
        <v>1177</v>
      </c>
      <c r="W32" t="s">
        <v>1178</v>
      </c>
    </row>
    <row r="33" spans="1:23" x14ac:dyDescent="0.45">
      <c r="A33" t="s">
        <v>226</v>
      </c>
      <c r="B33">
        <v>5.9</v>
      </c>
      <c r="C33" s="1">
        <v>43887</v>
      </c>
      <c r="D33" s="1">
        <v>43857</v>
      </c>
      <c r="E33" t="s">
        <v>428</v>
      </c>
      <c r="F33" t="s">
        <v>429</v>
      </c>
      <c r="G33" t="s">
        <v>429</v>
      </c>
      <c r="H33" t="s">
        <v>429</v>
      </c>
      <c r="I33" t="s">
        <v>498</v>
      </c>
      <c r="J33" t="s">
        <v>428</v>
      </c>
      <c r="K33" t="s">
        <v>429</v>
      </c>
      <c r="L33" t="str">
        <f>HYPERLINK("https://www.commcarehq.org/a/demo-18/api/form/attachment/100fc457-0f34-409d-be00-1bdde50d39af/1580106287108.jpg")</f>
        <v>https://www.commcarehq.org/a/demo-18/api/form/attachment/100fc457-0f34-409d-be00-1bdde50d39af/1580106287108.jpg</v>
      </c>
      <c r="M33" t="str">
        <f>HYPERLINK("https://www.commcarehq.org/a/demo-18/api/form/attachment/100fc457-0f34-409d-be00-1bdde50d39af/1580106304312.jpg")</f>
        <v>https://www.commcarehq.org/a/demo-18/api/form/attachment/100fc457-0f34-409d-be00-1bdde50d39af/1580106304312.jpg</v>
      </c>
      <c r="N33" t="str">
        <f>HYPERLINK("https://www.commcarehq.org/a/demo-18/api/form/attachment/100fc457-0f34-409d-be00-1bdde50d39af/1580106335255.jpg")</f>
        <v>https://www.commcarehq.org/a/demo-18/api/form/attachment/100fc457-0f34-409d-be00-1bdde50d39af/1580106335255.jpg</v>
      </c>
      <c r="O33" t="str">
        <f>HYPERLINK("https://www.commcarehq.org/a/demo-18/api/form/attachment/100fc457-0f34-409d-be00-1bdde50d39af/1580106345183.jpg")</f>
        <v>https://www.commcarehq.org/a/demo-18/api/form/attachment/100fc457-0f34-409d-be00-1bdde50d39af/1580106345183.jpg</v>
      </c>
      <c r="P33" t="str">
        <f>HYPERLINK("https://www.commcarehq.org/a/demo-18/api/form/attachment/100fc457-0f34-409d-be00-1bdde50d39af/1580106359603.jpg")</f>
        <v>https://www.commcarehq.org/a/demo-18/api/form/attachment/100fc457-0f34-409d-be00-1bdde50d39af/1580106359603.jpg</v>
      </c>
      <c r="Q33" t="str">
        <f>HYPERLINK("https://www.commcarehq.org/a/demo-18/api/form/attachment/100fc457-0f34-409d-be00-1bdde50d39af/1580106369895.jpg")</f>
        <v>https://www.commcarehq.org/a/demo-18/api/form/attachment/100fc457-0f34-409d-be00-1bdde50d39af/1580106369895.jpg</v>
      </c>
      <c r="R33" s="2">
        <v>43857.268182870372</v>
      </c>
      <c r="S33" s="2">
        <v>43857.266712962963</v>
      </c>
      <c r="T33" t="s">
        <v>32</v>
      </c>
      <c r="U33" s="2">
        <v>43857.268506944441</v>
      </c>
      <c r="V33" t="s">
        <v>1173</v>
      </c>
      <c r="W33" t="s">
        <v>1174</v>
      </c>
    </row>
    <row r="34" spans="1:23" x14ac:dyDescent="0.45">
      <c r="A34" t="s">
        <v>301</v>
      </c>
      <c r="B34">
        <v>5</v>
      </c>
      <c r="C34" s="1">
        <v>43887</v>
      </c>
      <c r="D34" s="1">
        <v>43857</v>
      </c>
      <c r="E34" t="s">
        <v>428</v>
      </c>
      <c r="F34" t="s">
        <v>429</v>
      </c>
      <c r="G34" t="s">
        <v>429</v>
      </c>
      <c r="H34" t="s">
        <v>429</v>
      </c>
      <c r="I34" t="s">
        <v>447</v>
      </c>
      <c r="J34" t="s">
        <v>428</v>
      </c>
      <c r="K34" t="s">
        <v>429</v>
      </c>
      <c r="L34" t="str">
        <f>HYPERLINK("https://www.commcarehq.org/a/demo-18/api/form/attachment/8564bf0c-26c6-4adc-be28-7cb10b8aaae8/1580110974916.jpg")</f>
        <v>https://www.commcarehq.org/a/demo-18/api/form/attachment/8564bf0c-26c6-4adc-be28-7cb10b8aaae8/1580110974916.jpg</v>
      </c>
      <c r="M34" t="str">
        <f>HYPERLINK("https://www.commcarehq.org/a/demo-18/api/form/attachment/8564bf0c-26c6-4adc-be28-7cb10b8aaae8/1580110991675.jpg")</f>
        <v>https://www.commcarehq.org/a/demo-18/api/form/attachment/8564bf0c-26c6-4adc-be28-7cb10b8aaae8/1580110991675.jpg</v>
      </c>
      <c r="N34" t="str">
        <f>HYPERLINK("https://www.commcarehq.org/a/demo-18/api/form/attachment/8564bf0c-26c6-4adc-be28-7cb10b8aaae8/1580111053244.jpg")</f>
        <v>https://www.commcarehq.org/a/demo-18/api/form/attachment/8564bf0c-26c6-4adc-be28-7cb10b8aaae8/1580111053244.jpg</v>
      </c>
      <c r="O34" t="str">
        <f>HYPERLINK("https://www.commcarehq.org/a/demo-18/api/form/attachment/8564bf0c-26c6-4adc-be28-7cb10b8aaae8/1580111063186.jpg")</f>
        <v>https://www.commcarehq.org/a/demo-18/api/form/attachment/8564bf0c-26c6-4adc-be28-7cb10b8aaae8/1580111063186.jpg</v>
      </c>
      <c r="P34" t="str">
        <f>HYPERLINK("https://www.commcarehq.org/a/demo-18/api/form/attachment/8564bf0c-26c6-4adc-be28-7cb10b8aaae8/1580111092516.jpg")</f>
        <v>https://www.commcarehq.org/a/demo-18/api/form/attachment/8564bf0c-26c6-4adc-be28-7cb10b8aaae8/1580111092516.jpg</v>
      </c>
      <c r="Q34" t="str">
        <f>HYPERLINK("https://www.commcarehq.org/a/demo-18/api/form/attachment/8564bf0c-26c6-4adc-be28-7cb10b8aaae8/1580111103874.jpg")</f>
        <v>https://www.commcarehq.org/a/demo-18/api/form/attachment/8564bf0c-26c6-4adc-be28-7cb10b8aaae8/1580111103874.jpg</v>
      </c>
      <c r="R34" s="2">
        <v>43857.322974537034</v>
      </c>
      <c r="S34" s="2">
        <v>43857.321053240739</v>
      </c>
      <c r="T34" t="s">
        <v>32</v>
      </c>
      <c r="U34" s="2">
        <v>43857.323206018518</v>
      </c>
      <c r="V34" t="s">
        <v>1179</v>
      </c>
      <c r="W34" t="s">
        <v>1180</v>
      </c>
    </row>
    <row r="35" spans="1:23" x14ac:dyDescent="0.45">
      <c r="A35" t="s">
        <v>298</v>
      </c>
      <c r="B35">
        <v>4.4000000000000004</v>
      </c>
      <c r="C35" s="1">
        <v>43880</v>
      </c>
      <c r="D35" s="1">
        <v>43850</v>
      </c>
      <c r="E35" t="s">
        <v>428</v>
      </c>
      <c r="F35" t="s">
        <v>429</v>
      </c>
      <c r="G35" t="s">
        <v>429</v>
      </c>
      <c r="H35" t="s">
        <v>429</v>
      </c>
      <c r="I35" t="s">
        <v>1110</v>
      </c>
      <c r="J35" t="s">
        <v>428</v>
      </c>
      <c r="K35" t="s">
        <v>429</v>
      </c>
      <c r="L35" t="str">
        <f>HYPERLINK("https://www.commcarehq.org/a/demo-18/api/form/attachment/db2c71c4-820b-4f99-8bfa-8c5eae8b76b8/1579509425340.jpg")</f>
        <v>https://www.commcarehq.org/a/demo-18/api/form/attachment/db2c71c4-820b-4f99-8bfa-8c5eae8b76b8/1579509425340.jpg</v>
      </c>
      <c r="M35" t="str">
        <f>HYPERLINK("https://www.commcarehq.org/a/demo-18/api/form/attachment/db2c71c4-820b-4f99-8bfa-8c5eae8b76b8/1579509439118.jpg")</f>
        <v>https://www.commcarehq.org/a/demo-18/api/form/attachment/db2c71c4-820b-4f99-8bfa-8c5eae8b76b8/1579509439118.jpg</v>
      </c>
      <c r="N35" t="str">
        <f>HYPERLINK("https://www.commcarehq.org/a/demo-18/api/form/attachment/db2c71c4-820b-4f99-8bfa-8c5eae8b76b8/1579509473003.jpg")</f>
        <v>https://www.commcarehq.org/a/demo-18/api/form/attachment/db2c71c4-820b-4f99-8bfa-8c5eae8b76b8/1579509473003.jpg</v>
      </c>
      <c r="O35" t="str">
        <f>HYPERLINK("https://www.commcarehq.org/a/demo-18/api/form/attachment/db2c71c4-820b-4f99-8bfa-8c5eae8b76b8/1579509482204.jpg")</f>
        <v>https://www.commcarehq.org/a/demo-18/api/form/attachment/db2c71c4-820b-4f99-8bfa-8c5eae8b76b8/1579509482204.jpg</v>
      </c>
      <c r="P35" t="str">
        <f>HYPERLINK("https://www.commcarehq.org/a/demo-18/api/form/attachment/db2c71c4-820b-4f99-8bfa-8c5eae8b76b8/1579509494053.jpg")</f>
        <v>https://www.commcarehq.org/a/demo-18/api/form/attachment/db2c71c4-820b-4f99-8bfa-8c5eae8b76b8/1579509494053.jpg</v>
      </c>
      <c r="Q35" t="str">
        <f>HYPERLINK("https://www.commcarehq.org/a/demo-18/api/form/attachment/db2c71c4-820b-4f99-8bfa-8c5eae8b76b8/1579509502273.jpg")</f>
        <v>https://www.commcarehq.org/a/demo-18/api/form/attachment/db2c71c4-820b-4f99-8bfa-8c5eae8b76b8/1579509502273.jpg</v>
      </c>
      <c r="R35" s="2">
        <v>43850.359988425924</v>
      </c>
      <c r="S35" s="2">
        <v>43850.357118055559</v>
      </c>
      <c r="T35" t="s">
        <v>32</v>
      </c>
      <c r="U35" s="2">
        <v>43850.360219907408</v>
      </c>
      <c r="V35" t="s">
        <v>1111</v>
      </c>
      <c r="W35" t="s">
        <v>1112</v>
      </c>
    </row>
    <row r="36" spans="1:23" x14ac:dyDescent="0.45">
      <c r="A36" t="s">
        <v>31</v>
      </c>
      <c r="B36">
        <v>6.1</v>
      </c>
      <c r="C36" s="1">
        <v>43882</v>
      </c>
      <c r="D36" s="1">
        <v>43852</v>
      </c>
      <c r="E36" t="s">
        <v>428</v>
      </c>
      <c r="F36" t="s">
        <v>429</v>
      </c>
      <c r="G36" t="s">
        <v>429</v>
      </c>
      <c r="H36" t="s">
        <v>429</v>
      </c>
      <c r="I36" t="s">
        <v>498</v>
      </c>
      <c r="J36" t="s">
        <v>428</v>
      </c>
      <c r="K36" t="s">
        <v>429</v>
      </c>
      <c r="L36" t="str">
        <f>HYPERLINK("https://www.commcarehq.org/a/demo-18/api/form/attachment/6abdcb04-be98-4ce4-8015-d8416328fed6/1579676877077.jpg")</f>
        <v>https://www.commcarehq.org/a/demo-18/api/form/attachment/6abdcb04-be98-4ce4-8015-d8416328fed6/1579676877077.jpg</v>
      </c>
      <c r="M36" t="str">
        <f>HYPERLINK("https://www.commcarehq.org/a/demo-18/api/form/attachment/6abdcb04-be98-4ce4-8015-d8416328fed6/1579676899626.jpg")</f>
        <v>https://www.commcarehq.org/a/demo-18/api/form/attachment/6abdcb04-be98-4ce4-8015-d8416328fed6/1579676899626.jpg</v>
      </c>
      <c r="N36" t="str">
        <f>HYPERLINK("https://www.commcarehq.org/a/demo-18/api/form/attachment/6abdcb04-be98-4ce4-8015-d8416328fed6/1579676943858.jpg")</f>
        <v>https://www.commcarehq.org/a/demo-18/api/form/attachment/6abdcb04-be98-4ce4-8015-d8416328fed6/1579676943858.jpg</v>
      </c>
      <c r="O36" t="str">
        <f>HYPERLINK("https://www.commcarehq.org/a/demo-18/api/form/attachment/6abdcb04-be98-4ce4-8015-d8416328fed6/1579676954194.jpg")</f>
        <v>https://www.commcarehq.org/a/demo-18/api/form/attachment/6abdcb04-be98-4ce4-8015-d8416328fed6/1579676954194.jpg</v>
      </c>
      <c r="P36" t="str">
        <f>HYPERLINK("https://www.commcarehq.org/a/demo-18/api/form/attachment/6abdcb04-be98-4ce4-8015-d8416328fed6/1579676968359.jpg")</f>
        <v>https://www.commcarehq.org/a/demo-18/api/form/attachment/6abdcb04-be98-4ce4-8015-d8416328fed6/1579676968359.jpg</v>
      </c>
      <c r="Q36" t="str">
        <f>HYPERLINK("https://www.commcarehq.org/a/demo-18/api/form/attachment/6abdcb04-be98-4ce4-8015-d8416328fed6/1579676977763.jpg")</f>
        <v>https://www.commcarehq.org/a/demo-18/api/form/attachment/6abdcb04-be98-4ce4-8015-d8416328fed6/1579676977763.jpg</v>
      </c>
      <c r="R36" s="2">
        <v>43852.298368055555</v>
      </c>
      <c r="S36" s="2">
        <v>43852.296597222223</v>
      </c>
      <c r="T36" t="s">
        <v>32</v>
      </c>
      <c r="U36" s="2">
        <v>43852.298541666663</v>
      </c>
      <c r="V36" t="s">
        <v>1186</v>
      </c>
      <c r="W36" t="s">
        <v>1187</v>
      </c>
    </row>
    <row r="37" spans="1:23" x14ac:dyDescent="0.45">
      <c r="A37" t="s">
        <v>175</v>
      </c>
      <c r="B37">
        <v>5.4</v>
      </c>
      <c r="C37" s="1">
        <v>43882</v>
      </c>
      <c r="D37" s="1">
        <v>43852</v>
      </c>
      <c r="E37" t="s">
        <v>428</v>
      </c>
      <c r="F37" t="s">
        <v>429</v>
      </c>
      <c r="G37" t="s">
        <v>429</v>
      </c>
      <c r="H37" t="s">
        <v>429</v>
      </c>
      <c r="I37" t="s">
        <v>498</v>
      </c>
      <c r="J37" t="s">
        <v>428</v>
      </c>
      <c r="K37" t="s">
        <v>429</v>
      </c>
      <c r="L37" t="str">
        <f>HYPERLINK("https://www.commcarehq.org/a/demo-18/api/form/attachment/c1a7a9d9-772e-4406-b9b8-f3feec46e19e/1579678995286.jpg")</f>
        <v>https://www.commcarehq.org/a/demo-18/api/form/attachment/c1a7a9d9-772e-4406-b9b8-f3feec46e19e/1579678995286.jpg</v>
      </c>
      <c r="M37" t="str">
        <f>HYPERLINK("https://www.commcarehq.org/a/demo-18/api/form/attachment/c1a7a9d9-772e-4406-b9b8-f3feec46e19e/1579679012254.jpg")</f>
        <v>https://www.commcarehq.org/a/demo-18/api/form/attachment/c1a7a9d9-772e-4406-b9b8-f3feec46e19e/1579679012254.jpg</v>
      </c>
      <c r="N37" t="str">
        <f>HYPERLINK("https://www.commcarehq.org/a/demo-18/api/form/attachment/c1a7a9d9-772e-4406-b9b8-f3feec46e19e/1579679043676.jpg")</f>
        <v>https://www.commcarehq.org/a/demo-18/api/form/attachment/c1a7a9d9-772e-4406-b9b8-f3feec46e19e/1579679043676.jpg</v>
      </c>
      <c r="O37" t="str">
        <f>HYPERLINK("https://www.commcarehq.org/a/demo-18/api/form/attachment/c1a7a9d9-772e-4406-b9b8-f3feec46e19e/1579679054616.jpg")</f>
        <v>https://www.commcarehq.org/a/demo-18/api/form/attachment/c1a7a9d9-772e-4406-b9b8-f3feec46e19e/1579679054616.jpg</v>
      </c>
      <c r="P37" t="str">
        <f>HYPERLINK("https://www.commcarehq.org/a/demo-18/api/form/attachment/c1a7a9d9-772e-4406-b9b8-f3feec46e19e/1579679078670.jpg")</f>
        <v>https://www.commcarehq.org/a/demo-18/api/form/attachment/c1a7a9d9-772e-4406-b9b8-f3feec46e19e/1579679078670.jpg</v>
      </c>
      <c r="Q37" t="str">
        <f>HYPERLINK("https://www.commcarehq.org/a/demo-18/api/form/attachment/c1a7a9d9-772e-4406-b9b8-f3feec46e19e/1579679087394.jpg")</f>
        <v>https://www.commcarehq.org/a/demo-18/api/form/attachment/c1a7a9d9-772e-4406-b9b8-f3feec46e19e/1579679087394.jpg</v>
      </c>
      <c r="R37" s="2">
        <v>43852.322789351849</v>
      </c>
      <c r="S37" s="2">
        <v>43852.321296296293</v>
      </c>
      <c r="T37" t="s">
        <v>32</v>
      </c>
      <c r="U37" s="2">
        <v>43852.323055555556</v>
      </c>
      <c r="V37" t="s">
        <v>1188</v>
      </c>
      <c r="W37" t="s">
        <v>1189</v>
      </c>
    </row>
    <row r="38" spans="1:23" x14ac:dyDescent="0.45">
      <c r="A38" t="s">
        <v>361</v>
      </c>
      <c r="B38">
        <v>5</v>
      </c>
      <c r="C38" s="1">
        <v>43882</v>
      </c>
      <c r="D38" s="1">
        <v>43852</v>
      </c>
      <c r="E38" t="s">
        <v>428</v>
      </c>
      <c r="F38" t="s">
        <v>429</v>
      </c>
      <c r="G38" t="s">
        <v>429</v>
      </c>
      <c r="H38" t="s">
        <v>429</v>
      </c>
      <c r="I38" t="s">
        <v>430</v>
      </c>
      <c r="J38" t="s">
        <v>428</v>
      </c>
      <c r="K38" t="s">
        <v>429</v>
      </c>
      <c r="L38" t="str">
        <f>HYPERLINK("https://www.commcarehq.org/a/demo-18/api/form/attachment/7e4a5b25-6e29-48d0-bbdb-8f4f7b26c463/1579674974395.jpg")</f>
        <v>https://www.commcarehq.org/a/demo-18/api/form/attachment/7e4a5b25-6e29-48d0-bbdb-8f4f7b26c463/1579674974395.jpg</v>
      </c>
      <c r="M38" t="str">
        <f>HYPERLINK("https://www.commcarehq.org/a/demo-18/api/form/attachment/7e4a5b25-6e29-48d0-bbdb-8f4f7b26c463/1579674990055.jpg")</f>
        <v>https://www.commcarehq.org/a/demo-18/api/form/attachment/7e4a5b25-6e29-48d0-bbdb-8f4f7b26c463/1579674990055.jpg</v>
      </c>
      <c r="N38" t="str">
        <f>HYPERLINK("https://www.commcarehq.org/a/demo-18/api/form/attachment/7e4a5b25-6e29-48d0-bbdb-8f4f7b26c463/1579675017197.jpg")</f>
        <v>https://www.commcarehq.org/a/demo-18/api/form/attachment/7e4a5b25-6e29-48d0-bbdb-8f4f7b26c463/1579675017197.jpg</v>
      </c>
      <c r="O38" t="str">
        <f>HYPERLINK("https://www.commcarehq.org/a/demo-18/api/form/attachment/7e4a5b25-6e29-48d0-bbdb-8f4f7b26c463/1579675027618.jpg")</f>
        <v>https://www.commcarehq.org/a/demo-18/api/form/attachment/7e4a5b25-6e29-48d0-bbdb-8f4f7b26c463/1579675027618.jpg</v>
      </c>
      <c r="P38" t="str">
        <f>HYPERLINK("https://www.commcarehq.org/a/demo-18/api/form/attachment/7e4a5b25-6e29-48d0-bbdb-8f4f7b26c463/1579675042912.jpg")</f>
        <v>https://www.commcarehq.org/a/demo-18/api/form/attachment/7e4a5b25-6e29-48d0-bbdb-8f4f7b26c463/1579675042912.jpg</v>
      </c>
      <c r="Q38" t="str">
        <f>HYPERLINK("https://www.commcarehq.org/a/demo-18/api/form/attachment/7e4a5b25-6e29-48d0-bbdb-8f4f7b26c463/1579675052707.jpg")</f>
        <v>https://www.commcarehq.org/a/demo-18/api/form/attachment/7e4a5b25-6e29-48d0-bbdb-8f4f7b26c463/1579675052707.jpg</v>
      </c>
      <c r="R38" s="2">
        <v>43852.276087962964</v>
      </c>
      <c r="S38" s="2">
        <v>43852.274814814817</v>
      </c>
      <c r="T38" t="s">
        <v>32</v>
      </c>
      <c r="U38" s="2">
        <v>43852.276331018518</v>
      </c>
      <c r="V38" t="s">
        <v>1181</v>
      </c>
      <c r="W38" t="s">
        <v>1182</v>
      </c>
    </row>
    <row r="39" spans="1:23" x14ac:dyDescent="0.45">
      <c r="A39" t="s">
        <v>358</v>
      </c>
      <c r="B39">
        <v>4.5999999999999996</v>
      </c>
      <c r="C39" s="1">
        <v>43882</v>
      </c>
      <c r="D39" s="1">
        <v>43852</v>
      </c>
      <c r="E39" t="s">
        <v>428</v>
      </c>
      <c r="F39" t="s">
        <v>429</v>
      </c>
      <c r="G39" t="s">
        <v>429</v>
      </c>
      <c r="H39" t="s">
        <v>429</v>
      </c>
      <c r="I39" t="s">
        <v>1183</v>
      </c>
      <c r="J39" t="s">
        <v>428</v>
      </c>
      <c r="K39" t="s">
        <v>429</v>
      </c>
      <c r="L39" t="str">
        <f>HYPERLINK("https://www.commcarehq.org/a/demo-18/api/form/attachment/a80af71f-5898-432e-ba6c-191c0a359ba9/1579679375256.jpg")</f>
        <v>https://www.commcarehq.org/a/demo-18/api/form/attachment/a80af71f-5898-432e-ba6c-191c0a359ba9/1579679375256.jpg</v>
      </c>
      <c r="M39" t="str">
        <f>HYPERLINK("https://www.commcarehq.org/a/demo-18/api/form/attachment/a80af71f-5898-432e-ba6c-191c0a359ba9/1579679389994.jpg")</f>
        <v>https://www.commcarehq.org/a/demo-18/api/form/attachment/a80af71f-5898-432e-ba6c-191c0a359ba9/1579679389994.jpg</v>
      </c>
      <c r="N39" t="str">
        <f>HYPERLINK("https://www.commcarehq.org/a/demo-18/api/form/attachment/a80af71f-5898-432e-ba6c-191c0a359ba9/1579679446722.jpg")</f>
        <v>https://www.commcarehq.org/a/demo-18/api/form/attachment/a80af71f-5898-432e-ba6c-191c0a359ba9/1579679446722.jpg</v>
      </c>
      <c r="O39" t="str">
        <f>HYPERLINK("https://www.commcarehq.org/a/demo-18/api/form/attachment/a80af71f-5898-432e-ba6c-191c0a359ba9/1579679456750.jpg")</f>
        <v>https://www.commcarehq.org/a/demo-18/api/form/attachment/a80af71f-5898-432e-ba6c-191c0a359ba9/1579679456750.jpg</v>
      </c>
      <c r="P39" t="str">
        <f>HYPERLINK("https://www.commcarehq.org/a/demo-18/api/form/attachment/a80af71f-5898-432e-ba6c-191c0a359ba9/1579679469107.jpg")</f>
        <v>https://www.commcarehq.org/a/demo-18/api/form/attachment/a80af71f-5898-432e-ba6c-191c0a359ba9/1579679469107.jpg</v>
      </c>
      <c r="Q39" t="str">
        <f>HYPERLINK("https://www.commcarehq.org/a/demo-18/api/form/attachment/a80af71f-5898-432e-ba6c-191c0a359ba9/1579679479284.jpg")</f>
        <v>https://www.commcarehq.org/a/demo-18/api/form/attachment/a80af71f-5898-432e-ba6c-191c0a359ba9/1579679479284.jpg</v>
      </c>
      <c r="R39" s="2">
        <v>43852.327326388891</v>
      </c>
      <c r="S39" s="2">
        <v>43852.325358796297</v>
      </c>
      <c r="T39" t="s">
        <v>32</v>
      </c>
      <c r="U39" s="2">
        <v>43852.327581018515</v>
      </c>
      <c r="V39" t="s">
        <v>1184</v>
      </c>
      <c r="W39" t="s">
        <v>1185</v>
      </c>
    </row>
    <row r="40" spans="1:23" x14ac:dyDescent="0.45">
      <c r="A40" t="s">
        <v>116</v>
      </c>
      <c r="B40">
        <v>5.8</v>
      </c>
      <c r="C40" s="1">
        <v>43875</v>
      </c>
      <c r="D40" s="1">
        <v>43845</v>
      </c>
      <c r="E40" t="s">
        <v>428</v>
      </c>
      <c r="F40" t="s">
        <v>429</v>
      </c>
      <c r="G40" t="s">
        <v>429</v>
      </c>
      <c r="H40" t="s">
        <v>429</v>
      </c>
      <c r="I40" t="s">
        <v>498</v>
      </c>
      <c r="J40" t="s">
        <v>428</v>
      </c>
      <c r="K40" t="s">
        <v>429</v>
      </c>
      <c r="L40" t="str">
        <f>HYPERLINK("https://www.commcarehq.org/a/demo-18/api/form/attachment/d5a4caf3-5a39-4739-95b2-26a0a051b634/1579075978694.jpg")</f>
        <v>https://www.commcarehq.org/a/demo-18/api/form/attachment/d5a4caf3-5a39-4739-95b2-26a0a051b634/1579075978694.jpg</v>
      </c>
      <c r="M40" t="str">
        <f>HYPERLINK("https://www.commcarehq.org/a/demo-18/api/form/attachment/d5a4caf3-5a39-4739-95b2-26a0a051b634/1579075995412.jpg")</f>
        <v>https://www.commcarehq.org/a/demo-18/api/form/attachment/d5a4caf3-5a39-4739-95b2-26a0a051b634/1579075995412.jpg</v>
      </c>
      <c r="N40" t="str">
        <f>HYPERLINK("https://www.commcarehq.org/a/demo-18/api/form/attachment/d5a4caf3-5a39-4739-95b2-26a0a051b634/1579076032436.jpg")</f>
        <v>https://www.commcarehq.org/a/demo-18/api/form/attachment/d5a4caf3-5a39-4739-95b2-26a0a051b634/1579076032436.jpg</v>
      </c>
      <c r="O40" t="str">
        <f>HYPERLINK("https://www.commcarehq.org/a/demo-18/api/form/attachment/d5a4caf3-5a39-4739-95b2-26a0a051b634/1579076042615.jpg")</f>
        <v>https://www.commcarehq.org/a/demo-18/api/form/attachment/d5a4caf3-5a39-4739-95b2-26a0a051b634/1579076042615.jpg</v>
      </c>
      <c r="P40" t="str">
        <f>HYPERLINK("https://www.commcarehq.org/a/demo-18/api/form/attachment/d5a4caf3-5a39-4739-95b2-26a0a051b634/1579076060925.jpg")</f>
        <v>https://www.commcarehq.org/a/demo-18/api/form/attachment/d5a4caf3-5a39-4739-95b2-26a0a051b634/1579076060925.jpg</v>
      </c>
      <c r="Q40" t="str">
        <f>HYPERLINK("https://www.commcarehq.org/a/demo-18/api/form/attachment/d5a4caf3-5a39-4739-95b2-26a0a051b634/1579076072634.jpg")</f>
        <v>https://www.commcarehq.org/a/demo-18/api/form/attachment/d5a4caf3-5a39-4739-95b2-26a0a051b634/1579076072634.jpg</v>
      </c>
      <c r="R40" s="2">
        <v>43845.343449074076</v>
      </c>
      <c r="S40" s="2">
        <v>43845.341932870368</v>
      </c>
      <c r="T40" t="s">
        <v>32</v>
      </c>
      <c r="U40" s="2">
        <v>43845.343692129631</v>
      </c>
      <c r="V40" t="s">
        <v>1051</v>
      </c>
      <c r="W40" t="s">
        <v>1052</v>
      </c>
    </row>
    <row r="41" spans="1:23" x14ac:dyDescent="0.45">
      <c r="A41" t="s">
        <v>107</v>
      </c>
      <c r="B41">
        <v>5.4</v>
      </c>
      <c r="C41" s="1">
        <v>43877</v>
      </c>
      <c r="D41" s="1">
        <v>43847</v>
      </c>
      <c r="E41" t="s">
        <v>428</v>
      </c>
      <c r="F41" t="s">
        <v>429</v>
      </c>
      <c r="G41" t="s">
        <v>429</v>
      </c>
      <c r="H41" t="s">
        <v>429</v>
      </c>
      <c r="I41" t="s">
        <v>447</v>
      </c>
      <c r="J41" t="s">
        <v>428</v>
      </c>
      <c r="K41" t="s">
        <v>429</v>
      </c>
      <c r="L41" t="str">
        <f>HYPERLINK("https://www.commcarehq.org/a/demo-18/api/form/attachment/9ff0ed09-f894-4815-a443-3c7af20964d6/1579244923308.jpg")</f>
        <v>https://www.commcarehq.org/a/demo-18/api/form/attachment/9ff0ed09-f894-4815-a443-3c7af20964d6/1579244923308.jpg</v>
      </c>
      <c r="M41" t="str">
        <f>HYPERLINK("https://www.commcarehq.org/a/demo-18/api/form/attachment/9ff0ed09-f894-4815-a443-3c7af20964d6/1579244942656.jpg")</f>
        <v>https://www.commcarehq.org/a/demo-18/api/form/attachment/9ff0ed09-f894-4815-a443-3c7af20964d6/1579244942656.jpg</v>
      </c>
      <c r="N41" t="str">
        <f>HYPERLINK("https://www.commcarehq.org/a/demo-18/api/form/attachment/9ff0ed09-f894-4815-a443-3c7af20964d6/1579245006999.jpg")</f>
        <v>https://www.commcarehq.org/a/demo-18/api/form/attachment/9ff0ed09-f894-4815-a443-3c7af20964d6/1579245006999.jpg</v>
      </c>
      <c r="O41" t="str">
        <f>HYPERLINK("https://www.commcarehq.org/a/demo-18/api/form/attachment/9ff0ed09-f894-4815-a443-3c7af20964d6/1579245016901.jpg")</f>
        <v>https://www.commcarehq.org/a/demo-18/api/form/attachment/9ff0ed09-f894-4815-a443-3c7af20964d6/1579245016901.jpg</v>
      </c>
      <c r="P41" t="str">
        <f>HYPERLINK("https://www.commcarehq.org/a/demo-18/api/form/attachment/9ff0ed09-f894-4815-a443-3c7af20964d6/1579245039710.jpg")</f>
        <v>https://www.commcarehq.org/a/demo-18/api/form/attachment/9ff0ed09-f894-4815-a443-3c7af20964d6/1579245039710.jpg</v>
      </c>
      <c r="Q41" t="str">
        <f>HYPERLINK("https://www.commcarehq.org/a/demo-18/api/form/attachment/9ff0ed09-f894-4815-a443-3c7af20964d6/1579245051182.jpg")</f>
        <v>https://www.commcarehq.org/a/demo-18/api/form/attachment/9ff0ed09-f894-4815-a443-3c7af20964d6/1579245051182.jpg</v>
      </c>
      <c r="R41" s="2">
        <v>43847.299224537041</v>
      </c>
      <c r="S41" s="2">
        <v>43847.297465277778</v>
      </c>
      <c r="T41" t="s">
        <v>32</v>
      </c>
      <c r="U41" s="2">
        <v>43847.299456018518</v>
      </c>
      <c r="V41" t="s">
        <v>1108</v>
      </c>
      <c r="W41" t="s">
        <v>1109</v>
      </c>
    </row>
    <row r="42" spans="1:23" x14ac:dyDescent="0.45">
      <c r="A42" t="s">
        <v>25</v>
      </c>
      <c r="B42">
        <v>5.7</v>
      </c>
      <c r="C42" s="1">
        <v>43876</v>
      </c>
      <c r="D42" s="1">
        <v>43846</v>
      </c>
      <c r="E42" t="s">
        <v>428</v>
      </c>
      <c r="F42" t="s">
        <v>429</v>
      </c>
      <c r="G42" t="s">
        <v>429</v>
      </c>
      <c r="H42" t="s">
        <v>429</v>
      </c>
      <c r="I42" t="s">
        <v>1055</v>
      </c>
      <c r="J42" t="s">
        <v>428</v>
      </c>
      <c r="K42" t="s">
        <v>429</v>
      </c>
      <c r="L42" t="str">
        <f>HYPERLINK("https://www.commcarehq.org/a/demo-18/api/form/attachment/2b596f19-fc5e-4578-90ad-9f1b33ded051/1579160142260.jpg")</f>
        <v>https://www.commcarehq.org/a/demo-18/api/form/attachment/2b596f19-fc5e-4578-90ad-9f1b33ded051/1579160142260.jpg</v>
      </c>
      <c r="M42" t="str">
        <f>HYPERLINK("https://www.commcarehq.org/a/demo-18/api/form/attachment/2b596f19-fc5e-4578-90ad-9f1b33ded051/1579160155911.jpg")</f>
        <v>https://www.commcarehq.org/a/demo-18/api/form/attachment/2b596f19-fc5e-4578-90ad-9f1b33ded051/1579160155911.jpg</v>
      </c>
      <c r="N42" t="str">
        <f>HYPERLINK("https://www.commcarehq.org/a/demo-18/api/form/attachment/2b596f19-fc5e-4578-90ad-9f1b33ded051/1579160202893.jpg")</f>
        <v>https://www.commcarehq.org/a/demo-18/api/form/attachment/2b596f19-fc5e-4578-90ad-9f1b33ded051/1579160202893.jpg</v>
      </c>
      <c r="O42" t="str">
        <f>HYPERLINK("https://www.commcarehq.org/a/demo-18/api/form/attachment/2b596f19-fc5e-4578-90ad-9f1b33ded051/1579160212784.jpg")</f>
        <v>https://www.commcarehq.org/a/demo-18/api/form/attachment/2b596f19-fc5e-4578-90ad-9f1b33ded051/1579160212784.jpg</v>
      </c>
      <c r="P42" t="str">
        <f>HYPERLINK("https://www.commcarehq.org/a/demo-18/api/form/attachment/2b596f19-fc5e-4578-90ad-9f1b33ded051/1579160224480.jpg")</f>
        <v>https://www.commcarehq.org/a/demo-18/api/form/attachment/2b596f19-fc5e-4578-90ad-9f1b33ded051/1579160224480.jpg</v>
      </c>
      <c r="Q42" t="str">
        <f>HYPERLINK("https://www.commcarehq.org/a/demo-18/api/form/attachment/2b596f19-fc5e-4578-90ad-9f1b33ded051/1579160236622.jpg")</f>
        <v>https://www.commcarehq.org/a/demo-18/api/form/attachment/2b596f19-fc5e-4578-90ad-9f1b33ded051/1579160236622.jpg</v>
      </c>
      <c r="R42" s="2">
        <v>43846.317569444444</v>
      </c>
      <c r="S42" s="2">
        <v>43846.315578703703</v>
      </c>
      <c r="T42" t="s">
        <v>32</v>
      </c>
      <c r="U42" s="2">
        <v>43846.317766203705</v>
      </c>
      <c r="V42" t="s">
        <v>1056</v>
      </c>
      <c r="W42" t="s">
        <v>1057</v>
      </c>
    </row>
    <row r="43" spans="1:23" x14ac:dyDescent="0.45">
      <c r="A43" t="s">
        <v>128</v>
      </c>
      <c r="B43">
        <v>7</v>
      </c>
      <c r="C43" s="1">
        <v>43876</v>
      </c>
      <c r="D43" s="1">
        <v>43846</v>
      </c>
      <c r="E43" t="s">
        <v>428</v>
      </c>
      <c r="F43" t="s">
        <v>429</v>
      </c>
      <c r="G43" t="s">
        <v>429</v>
      </c>
      <c r="H43" t="s">
        <v>429</v>
      </c>
      <c r="I43" t="s">
        <v>430</v>
      </c>
      <c r="J43" t="s">
        <v>428</v>
      </c>
      <c r="K43" t="s">
        <v>429</v>
      </c>
      <c r="L43" t="str">
        <f>HYPERLINK("https://www.commcarehq.org/a/demo-18/api/form/attachment/415eedcf-c3bb-4c87-965e-ca2dac17b1be/1579165819136.jpg")</f>
        <v>https://www.commcarehq.org/a/demo-18/api/form/attachment/415eedcf-c3bb-4c87-965e-ca2dac17b1be/1579165819136.jpg</v>
      </c>
      <c r="M43" t="str">
        <f>HYPERLINK("https://www.commcarehq.org/a/demo-18/api/form/attachment/415eedcf-c3bb-4c87-965e-ca2dac17b1be/1579165837218.jpg")</f>
        <v>https://www.commcarehq.org/a/demo-18/api/form/attachment/415eedcf-c3bb-4c87-965e-ca2dac17b1be/1579165837218.jpg</v>
      </c>
      <c r="N43" t="str">
        <f>HYPERLINK("https://www.commcarehq.org/a/demo-18/api/form/attachment/415eedcf-c3bb-4c87-965e-ca2dac17b1be/1579165890514.jpg")</f>
        <v>https://www.commcarehq.org/a/demo-18/api/form/attachment/415eedcf-c3bb-4c87-965e-ca2dac17b1be/1579165890514.jpg</v>
      </c>
      <c r="O43" t="str">
        <f>HYPERLINK("https://www.commcarehq.org/a/demo-18/api/form/attachment/415eedcf-c3bb-4c87-965e-ca2dac17b1be/1579165902486.jpg")</f>
        <v>https://www.commcarehq.org/a/demo-18/api/form/attachment/415eedcf-c3bb-4c87-965e-ca2dac17b1be/1579165902486.jpg</v>
      </c>
      <c r="P43" t="str">
        <f>HYPERLINK("https://www.commcarehq.org/a/demo-18/api/form/attachment/415eedcf-c3bb-4c87-965e-ca2dac17b1be/1579165917324.jpg")</f>
        <v>https://www.commcarehq.org/a/demo-18/api/form/attachment/415eedcf-c3bb-4c87-965e-ca2dac17b1be/1579165917324.jpg</v>
      </c>
      <c r="Q43" t="str">
        <f>HYPERLINK("https://www.commcarehq.org/a/demo-18/api/form/attachment/415eedcf-c3bb-4c87-965e-ca2dac17b1be/1579165930112.jpg")</f>
        <v>https://www.commcarehq.org/a/demo-18/api/form/attachment/415eedcf-c3bb-4c87-965e-ca2dac17b1be/1579165930112.jpg</v>
      </c>
      <c r="R43" s="2">
        <v>43846.383472222224</v>
      </c>
      <c r="S43" s="2">
        <v>43846.381574074076</v>
      </c>
      <c r="T43" t="s">
        <v>32</v>
      </c>
      <c r="U43" s="2">
        <v>43846.383726851855</v>
      </c>
      <c r="V43" t="s">
        <v>1053</v>
      </c>
      <c r="W43" t="s">
        <v>1054</v>
      </c>
    </row>
    <row r="44" spans="1:23" x14ac:dyDescent="0.45">
      <c r="A44" t="s">
        <v>391</v>
      </c>
      <c r="B44">
        <v>5.5</v>
      </c>
      <c r="C44" s="1">
        <v>43894</v>
      </c>
      <c r="D44" s="1">
        <v>43864</v>
      </c>
      <c r="E44" t="s">
        <v>428</v>
      </c>
      <c r="F44" t="s">
        <v>429</v>
      </c>
      <c r="G44" t="s">
        <v>429</v>
      </c>
      <c r="H44" t="s">
        <v>429</v>
      </c>
      <c r="I44" t="s">
        <v>702</v>
      </c>
      <c r="J44" t="s">
        <v>428</v>
      </c>
      <c r="K44" t="s">
        <v>429</v>
      </c>
      <c r="L44" t="str">
        <f>HYPERLINK("https://www.commcarehq.org/a/demo-18/api/form/attachment/04782940-9eae-4e6f-8219-b254419ed9a4/1580719388861.jpg")</f>
        <v>https://www.commcarehq.org/a/demo-18/api/form/attachment/04782940-9eae-4e6f-8219-b254419ed9a4/1580719388861.jpg</v>
      </c>
      <c r="M44" t="str">
        <f>HYPERLINK("https://www.commcarehq.org/a/demo-18/api/form/attachment/04782940-9eae-4e6f-8219-b254419ed9a4/1580719404459.jpg")</f>
        <v>https://www.commcarehq.org/a/demo-18/api/form/attachment/04782940-9eae-4e6f-8219-b254419ed9a4/1580719404459.jpg</v>
      </c>
      <c r="N44" t="str">
        <f>HYPERLINK("https://www.commcarehq.org/a/demo-18/api/form/attachment/04782940-9eae-4e6f-8219-b254419ed9a4/1580719464100.jpg")</f>
        <v>https://www.commcarehq.org/a/demo-18/api/form/attachment/04782940-9eae-4e6f-8219-b254419ed9a4/1580719464100.jpg</v>
      </c>
      <c r="O44" t="str">
        <f>HYPERLINK("https://www.commcarehq.org/a/demo-18/api/form/attachment/04782940-9eae-4e6f-8219-b254419ed9a4/1580719474401.jpg")</f>
        <v>https://www.commcarehq.org/a/demo-18/api/form/attachment/04782940-9eae-4e6f-8219-b254419ed9a4/1580719474401.jpg</v>
      </c>
      <c r="P44" t="str">
        <f>HYPERLINK("https://www.commcarehq.org/a/demo-18/api/form/attachment/04782940-9eae-4e6f-8219-b254419ed9a4/1580719488034.jpg")</f>
        <v>https://www.commcarehq.org/a/demo-18/api/form/attachment/04782940-9eae-4e6f-8219-b254419ed9a4/1580719488034.jpg</v>
      </c>
      <c r="Q44" t="str">
        <f>HYPERLINK("https://www.commcarehq.org/a/demo-18/api/form/attachment/04782940-9eae-4e6f-8219-b254419ed9a4/1580719496589.jpg")</f>
        <v>https://www.commcarehq.org/a/demo-18/api/form/attachment/04782940-9eae-4e6f-8219-b254419ed9a4/1580719496589.jpg</v>
      </c>
      <c r="R44" s="2">
        <v>43864.364560185182</v>
      </c>
      <c r="S44" s="2">
        <v>43864.362974537034</v>
      </c>
      <c r="T44" t="s">
        <v>32</v>
      </c>
      <c r="U44" s="2">
        <v>43864.364814814813</v>
      </c>
      <c r="V44" t="s">
        <v>1477</v>
      </c>
      <c r="W44" t="s">
        <v>1478</v>
      </c>
    </row>
    <row r="45" spans="1:23" x14ac:dyDescent="0.45">
      <c r="A45" t="s">
        <v>283</v>
      </c>
      <c r="B45">
        <v>5.7</v>
      </c>
      <c r="C45" s="1">
        <v>43910</v>
      </c>
      <c r="D45" s="1">
        <v>43880</v>
      </c>
      <c r="E45" t="s">
        <v>428</v>
      </c>
      <c r="F45" t="s">
        <v>429</v>
      </c>
      <c r="G45" t="s">
        <v>429</v>
      </c>
      <c r="H45" t="s">
        <v>429</v>
      </c>
      <c r="I45" t="s">
        <v>447</v>
      </c>
      <c r="J45" t="s">
        <v>428</v>
      </c>
      <c r="K45" t="s">
        <v>429</v>
      </c>
      <c r="L45" t="str">
        <f>HYPERLINK("https://www.commcarehq.org/a/demo-18/api/form/attachment/e4c3725c-2a37-434f-b45f-9bafe0003263/1582097857002.jpg")</f>
        <v>https://www.commcarehq.org/a/demo-18/api/form/attachment/e4c3725c-2a37-434f-b45f-9bafe0003263/1582097857002.jpg</v>
      </c>
      <c r="M45" t="str">
        <f>HYPERLINK("https://www.commcarehq.org/a/demo-18/api/form/attachment/e4c3725c-2a37-434f-b45f-9bafe0003263/1582097874606.jpg")</f>
        <v>https://www.commcarehq.org/a/demo-18/api/form/attachment/e4c3725c-2a37-434f-b45f-9bafe0003263/1582097874606.jpg</v>
      </c>
      <c r="N45" t="str">
        <f>HYPERLINK("https://www.commcarehq.org/a/demo-18/api/form/attachment/e4c3725c-2a37-434f-b45f-9bafe0003263/1582097898424.jpg")</f>
        <v>https://www.commcarehq.org/a/demo-18/api/form/attachment/e4c3725c-2a37-434f-b45f-9bafe0003263/1582097898424.jpg</v>
      </c>
      <c r="O45" t="str">
        <f>HYPERLINK("https://www.commcarehq.org/a/demo-18/api/form/attachment/e4c3725c-2a37-434f-b45f-9bafe0003263/1582097906035.jpg")</f>
        <v>https://www.commcarehq.org/a/demo-18/api/form/attachment/e4c3725c-2a37-434f-b45f-9bafe0003263/1582097906035.jpg</v>
      </c>
      <c r="P45" t="str">
        <f>HYPERLINK("https://www.commcarehq.org/a/demo-18/api/form/attachment/e4c3725c-2a37-434f-b45f-9bafe0003263/1582097933216.jpg")</f>
        <v>https://www.commcarehq.org/a/demo-18/api/form/attachment/e4c3725c-2a37-434f-b45f-9bafe0003263/1582097933216.jpg</v>
      </c>
      <c r="Q45" t="str">
        <f>HYPERLINK("https://www.commcarehq.org/a/demo-18/api/form/attachment/e4c3725c-2a37-434f-b45f-9bafe0003263/1582097941738.jpg")</f>
        <v>https://www.commcarehq.org/a/demo-18/api/form/attachment/e4c3725c-2a37-434f-b45f-9bafe0003263/1582097941738.jpg</v>
      </c>
      <c r="R45" s="2">
        <v>43880.318784722222</v>
      </c>
      <c r="S45" s="2">
        <v>43880.317569444444</v>
      </c>
      <c r="T45" t="s">
        <v>32</v>
      </c>
      <c r="U45" s="2">
        <v>43880.318993055553</v>
      </c>
      <c r="V45" t="s">
        <v>1479</v>
      </c>
      <c r="W45" t="s">
        <v>1480</v>
      </c>
    </row>
    <row r="46" spans="1:23" x14ac:dyDescent="0.45">
      <c r="A46" t="s">
        <v>169</v>
      </c>
      <c r="B46">
        <v>5.2</v>
      </c>
      <c r="C46" s="1">
        <v>43911</v>
      </c>
      <c r="D46" s="1">
        <v>43881</v>
      </c>
      <c r="E46" t="s">
        <v>428</v>
      </c>
      <c r="F46" t="s">
        <v>429</v>
      </c>
      <c r="G46" t="s">
        <v>429</v>
      </c>
      <c r="H46" t="s">
        <v>429</v>
      </c>
      <c r="I46" t="s">
        <v>447</v>
      </c>
      <c r="J46" t="s">
        <v>428</v>
      </c>
      <c r="K46" t="s">
        <v>429</v>
      </c>
      <c r="L46" t="str">
        <f>HYPERLINK("https://www.commcarehq.org/a/demo-18/api/form/attachment/1a31c4bc-1f2f-4d3e-b21c-6fba0ab684e6/1582187374410.jpg")</f>
        <v>https://www.commcarehq.org/a/demo-18/api/form/attachment/1a31c4bc-1f2f-4d3e-b21c-6fba0ab684e6/1582187374410.jpg</v>
      </c>
      <c r="M46" t="str">
        <f>HYPERLINK("https://www.commcarehq.org/a/demo-18/api/form/attachment/1a31c4bc-1f2f-4d3e-b21c-6fba0ab684e6/1582187390889.jpg")</f>
        <v>https://www.commcarehq.org/a/demo-18/api/form/attachment/1a31c4bc-1f2f-4d3e-b21c-6fba0ab684e6/1582187390889.jpg</v>
      </c>
      <c r="N46" t="str">
        <f>HYPERLINK("https://www.commcarehq.org/a/demo-18/api/form/attachment/1a31c4bc-1f2f-4d3e-b21c-6fba0ab684e6/1582187432507.jpg")</f>
        <v>https://www.commcarehq.org/a/demo-18/api/form/attachment/1a31c4bc-1f2f-4d3e-b21c-6fba0ab684e6/1582187432507.jpg</v>
      </c>
      <c r="O46" t="str">
        <f>HYPERLINK("https://www.commcarehq.org/a/demo-18/api/form/attachment/1a31c4bc-1f2f-4d3e-b21c-6fba0ab684e6/1582187442276.jpg")</f>
        <v>https://www.commcarehq.org/a/demo-18/api/form/attachment/1a31c4bc-1f2f-4d3e-b21c-6fba0ab684e6/1582187442276.jpg</v>
      </c>
      <c r="P46" t="str">
        <f>HYPERLINK("https://www.commcarehq.org/a/demo-18/api/form/attachment/1a31c4bc-1f2f-4d3e-b21c-6fba0ab684e6/1582187460423.jpg")</f>
        <v>https://www.commcarehq.org/a/demo-18/api/form/attachment/1a31c4bc-1f2f-4d3e-b21c-6fba0ab684e6/1582187460423.jpg</v>
      </c>
      <c r="Q46" t="str">
        <f>HYPERLINK("https://www.commcarehq.org/a/demo-18/api/form/attachment/1a31c4bc-1f2f-4d3e-b21c-6fba0ab684e6/1582187470763.jpg")</f>
        <v>https://www.commcarehq.org/a/demo-18/api/form/attachment/1a31c4bc-1f2f-4d3e-b21c-6fba0ab684e6/1582187470763.jpg</v>
      </c>
      <c r="R46" s="2">
        <v>43881.355000000003</v>
      </c>
      <c r="S46" s="2">
        <v>43881.353402777779</v>
      </c>
      <c r="T46" t="s">
        <v>32</v>
      </c>
      <c r="U46" s="2">
        <v>43881.355254629627</v>
      </c>
      <c r="V46" t="s">
        <v>1481</v>
      </c>
      <c r="W46" t="s">
        <v>1482</v>
      </c>
    </row>
    <row r="47" spans="1:23" x14ac:dyDescent="0.45">
      <c r="A47" t="s">
        <v>256</v>
      </c>
      <c r="B47">
        <v>6.2</v>
      </c>
      <c r="C47" s="1">
        <v>43912</v>
      </c>
      <c r="D47" s="1">
        <v>43882</v>
      </c>
      <c r="E47" t="s">
        <v>428</v>
      </c>
      <c r="F47" t="s">
        <v>429</v>
      </c>
      <c r="G47" t="s">
        <v>429</v>
      </c>
      <c r="H47" t="s">
        <v>429</v>
      </c>
      <c r="I47" t="s">
        <v>447</v>
      </c>
      <c r="J47" t="s">
        <v>428</v>
      </c>
      <c r="K47" t="s">
        <v>429</v>
      </c>
      <c r="L47" t="str">
        <f>HYPERLINK("https://www.commcarehq.org/a/demo-18/api/form/attachment/59e00ec6-60e3-4a8b-8566-a1b9e03734d8/1582268489844.jpg")</f>
        <v>https://www.commcarehq.org/a/demo-18/api/form/attachment/59e00ec6-60e3-4a8b-8566-a1b9e03734d8/1582268489844.jpg</v>
      </c>
      <c r="M47" t="str">
        <f>HYPERLINK("https://www.commcarehq.org/a/demo-18/api/form/attachment/59e00ec6-60e3-4a8b-8566-a1b9e03734d8/1582268508645.jpg")</f>
        <v>https://www.commcarehq.org/a/demo-18/api/form/attachment/59e00ec6-60e3-4a8b-8566-a1b9e03734d8/1582268508645.jpg</v>
      </c>
      <c r="N47" t="str">
        <f>HYPERLINK("https://www.commcarehq.org/a/demo-18/api/form/attachment/59e00ec6-60e3-4a8b-8566-a1b9e03734d8/1582268554957.jpg")</f>
        <v>https://www.commcarehq.org/a/demo-18/api/form/attachment/59e00ec6-60e3-4a8b-8566-a1b9e03734d8/1582268554957.jpg</v>
      </c>
      <c r="O47" t="str">
        <f>HYPERLINK("https://www.commcarehq.org/a/demo-18/api/form/attachment/59e00ec6-60e3-4a8b-8566-a1b9e03734d8/1582268564892.jpg")</f>
        <v>https://www.commcarehq.org/a/demo-18/api/form/attachment/59e00ec6-60e3-4a8b-8566-a1b9e03734d8/1582268564892.jpg</v>
      </c>
      <c r="P47" t="str">
        <f>HYPERLINK("https://www.commcarehq.org/a/demo-18/api/form/attachment/59e00ec6-60e3-4a8b-8566-a1b9e03734d8/1582268579370.jpg")</f>
        <v>https://www.commcarehq.org/a/demo-18/api/form/attachment/59e00ec6-60e3-4a8b-8566-a1b9e03734d8/1582268579370.jpg</v>
      </c>
      <c r="Q47" t="str">
        <f>HYPERLINK("https://www.commcarehq.org/a/demo-18/api/form/attachment/59e00ec6-60e3-4a8b-8566-a1b9e03734d8/1582268588493.jpg")</f>
        <v>https://www.commcarehq.org/a/demo-18/api/form/attachment/59e00ec6-60e3-4a8b-8566-a1b9e03734d8/1582268588493.jpg</v>
      </c>
      <c r="R47" s="2">
        <v>43882.293865740743</v>
      </c>
      <c r="S47" s="2">
        <v>43882.292361111111</v>
      </c>
      <c r="T47" t="s">
        <v>32</v>
      </c>
      <c r="U47" s="2">
        <v>43882.294131944444</v>
      </c>
      <c r="V47" t="s">
        <v>1483</v>
      </c>
      <c r="W47" t="s">
        <v>1484</v>
      </c>
    </row>
    <row r="48" spans="1:23" x14ac:dyDescent="0.45">
      <c r="A48" t="s">
        <v>418</v>
      </c>
      <c r="B48">
        <v>5.2</v>
      </c>
      <c r="C48" s="1">
        <v>43915</v>
      </c>
      <c r="D48" s="1">
        <v>43885</v>
      </c>
      <c r="E48" t="s">
        <v>428</v>
      </c>
      <c r="F48" t="s">
        <v>429</v>
      </c>
      <c r="G48" t="s">
        <v>429</v>
      </c>
      <c r="H48" t="s">
        <v>429</v>
      </c>
      <c r="I48" t="s">
        <v>498</v>
      </c>
      <c r="J48" t="s">
        <v>428</v>
      </c>
      <c r="K48" t="s">
        <v>429</v>
      </c>
      <c r="L48" t="str">
        <f>HYPERLINK("https://www.commcarehq.org/a/demo-18/api/form/attachment/761a64a2-8b99-47b3-8dcd-9b3071fcc0d0/1582528275299.jpg")</f>
        <v>https://www.commcarehq.org/a/demo-18/api/form/attachment/761a64a2-8b99-47b3-8dcd-9b3071fcc0d0/1582528275299.jpg</v>
      </c>
      <c r="M48" t="str">
        <f>HYPERLINK("https://www.commcarehq.org/a/demo-18/api/form/attachment/761a64a2-8b99-47b3-8dcd-9b3071fcc0d0/1582528289980.jpg")</f>
        <v>https://www.commcarehq.org/a/demo-18/api/form/attachment/761a64a2-8b99-47b3-8dcd-9b3071fcc0d0/1582528289980.jpg</v>
      </c>
      <c r="N48" t="str">
        <f>HYPERLINK("https://www.commcarehq.org/a/demo-18/api/form/attachment/761a64a2-8b99-47b3-8dcd-9b3071fcc0d0/1582528327008.jpg")</f>
        <v>https://www.commcarehq.org/a/demo-18/api/form/attachment/761a64a2-8b99-47b3-8dcd-9b3071fcc0d0/1582528327008.jpg</v>
      </c>
      <c r="O48" t="str">
        <f>HYPERLINK("https://www.commcarehq.org/a/demo-18/api/form/attachment/761a64a2-8b99-47b3-8dcd-9b3071fcc0d0/1582528335089.jpg")</f>
        <v>https://www.commcarehq.org/a/demo-18/api/form/attachment/761a64a2-8b99-47b3-8dcd-9b3071fcc0d0/1582528335089.jpg</v>
      </c>
      <c r="P48" t="str">
        <f>HYPERLINK("https://www.commcarehq.org/a/demo-18/api/form/attachment/761a64a2-8b99-47b3-8dcd-9b3071fcc0d0/1582528346704.jpg")</f>
        <v>https://www.commcarehq.org/a/demo-18/api/form/attachment/761a64a2-8b99-47b3-8dcd-9b3071fcc0d0/1582528346704.jpg</v>
      </c>
      <c r="Q48" t="str">
        <f>HYPERLINK("https://www.commcarehq.org/a/demo-18/api/form/attachment/761a64a2-8b99-47b3-8dcd-9b3071fcc0d0/1582528355126.jpg")</f>
        <v>https://www.commcarehq.org/a/demo-18/api/form/attachment/761a64a2-8b99-47b3-8dcd-9b3071fcc0d0/1582528355126.jpg</v>
      </c>
      <c r="R48" s="2">
        <v>43885.300416666665</v>
      </c>
      <c r="S48" s="2">
        <v>43885.299016203702</v>
      </c>
      <c r="T48" t="s">
        <v>32</v>
      </c>
      <c r="U48" s="2">
        <v>43885.300625000003</v>
      </c>
      <c r="V48" t="s">
        <v>1485</v>
      </c>
      <c r="W48" t="s">
        <v>1486</v>
      </c>
    </row>
    <row r="49" spans="1:23" x14ac:dyDescent="0.45">
      <c r="A49" t="s">
        <v>101</v>
      </c>
      <c r="B49">
        <v>4.9000000000000004</v>
      </c>
      <c r="C49" s="1">
        <v>43915</v>
      </c>
      <c r="D49" s="1">
        <v>43885</v>
      </c>
      <c r="E49" t="s">
        <v>428</v>
      </c>
      <c r="F49" t="s">
        <v>429</v>
      </c>
      <c r="G49" t="s">
        <v>429</v>
      </c>
      <c r="H49" t="s">
        <v>429</v>
      </c>
      <c r="I49" t="s">
        <v>1321</v>
      </c>
      <c r="J49" t="s">
        <v>428</v>
      </c>
      <c r="K49" t="s">
        <v>429</v>
      </c>
      <c r="L49" t="str">
        <f>HYPERLINK("https://www.commcarehq.org/a/demo-18/api/form/attachment/6a6989fa-baa6-4774-b494-df3131058d3e/1582532380803.jpg")</f>
        <v>https://www.commcarehq.org/a/demo-18/api/form/attachment/6a6989fa-baa6-4774-b494-df3131058d3e/1582532380803.jpg</v>
      </c>
      <c r="M49" t="str">
        <f>HYPERLINK("https://www.commcarehq.org/a/demo-18/api/form/attachment/6a6989fa-baa6-4774-b494-df3131058d3e/1582532400700.jpg")</f>
        <v>https://www.commcarehq.org/a/demo-18/api/form/attachment/6a6989fa-baa6-4774-b494-df3131058d3e/1582532400700.jpg</v>
      </c>
      <c r="N49" t="str">
        <f>HYPERLINK("https://www.commcarehq.org/a/demo-18/api/form/attachment/6a6989fa-baa6-4774-b494-df3131058d3e/1582532506271.jpg")</f>
        <v>https://www.commcarehq.org/a/demo-18/api/form/attachment/6a6989fa-baa6-4774-b494-df3131058d3e/1582532506271.jpg</v>
      </c>
      <c r="O49" t="str">
        <f>HYPERLINK("https://www.commcarehq.org/a/demo-18/api/form/attachment/6a6989fa-baa6-4774-b494-df3131058d3e/1582532515992.jpg")</f>
        <v>https://www.commcarehq.org/a/demo-18/api/form/attachment/6a6989fa-baa6-4774-b494-df3131058d3e/1582532515992.jpg</v>
      </c>
      <c r="P49" t="str">
        <f>HYPERLINK("https://www.commcarehq.org/a/demo-18/api/form/attachment/6a6989fa-baa6-4774-b494-df3131058d3e/1582532548894.jpg")</f>
        <v>https://www.commcarehq.org/a/demo-18/api/form/attachment/6a6989fa-baa6-4774-b494-df3131058d3e/1582532548894.jpg</v>
      </c>
      <c r="Q49" t="str">
        <f>HYPERLINK("https://www.commcarehq.org/a/demo-18/api/form/attachment/6a6989fa-baa6-4774-b494-df3131058d3e/1582532558662.jpg")</f>
        <v>https://www.commcarehq.org/a/demo-18/api/form/attachment/6a6989fa-baa6-4774-b494-df3131058d3e/1582532558662.jpg</v>
      </c>
      <c r="R49" s="2">
        <v>43885.349074074074</v>
      </c>
      <c r="S49" s="2">
        <v>43885.346365740741</v>
      </c>
      <c r="T49" t="s">
        <v>32</v>
      </c>
      <c r="U49" s="2">
        <v>43885.349282407406</v>
      </c>
      <c r="V49" t="s">
        <v>1487</v>
      </c>
      <c r="W49" t="s">
        <v>1488</v>
      </c>
    </row>
    <row r="50" spans="1:23" x14ac:dyDescent="0.45">
      <c r="A50" t="s">
        <v>481</v>
      </c>
      <c r="B50">
        <v>5.9</v>
      </c>
      <c r="C50" s="1">
        <v>43859</v>
      </c>
      <c r="D50" s="1">
        <v>43829</v>
      </c>
      <c r="E50" t="s">
        <v>428</v>
      </c>
      <c r="F50" t="s">
        <v>429</v>
      </c>
      <c r="G50" t="s">
        <v>429</v>
      </c>
      <c r="H50" t="s">
        <v>429</v>
      </c>
      <c r="I50" t="s">
        <v>430</v>
      </c>
      <c r="J50" t="s">
        <v>428</v>
      </c>
      <c r="K50" t="s">
        <v>429</v>
      </c>
      <c r="L50" t="str">
        <f>HYPERLINK("https://www.commcarehq.org/a/demo-18/api/form/attachment/5c1df0a2-e90f-4004-a5fa-cda3f01d9f23/1577688304870.jpg")</f>
        <v>https://www.commcarehq.org/a/demo-18/api/form/attachment/5c1df0a2-e90f-4004-a5fa-cda3f01d9f23/1577688304870.jpg</v>
      </c>
      <c r="M50" t="str">
        <f>HYPERLINK("https://www.commcarehq.org/a/demo-18/api/form/attachment/5c1df0a2-e90f-4004-a5fa-cda3f01d9f23/1577688328956.jpg")</f>
        <v>https://www.commcarehq.org/a/demo-18/api/form/attachment/5c1df0a2-e90f-4004-a5fa-cda3f01d9f23/1577688328956.jpg</v>
      </c>
      <c r="N50" t="str">
        <f>HYPERLINK("https://www.commcarehq.org/a/demo-18/api/form/attachment/5c1df0a2-e90f-4004-a5fa-cda3f01d9f23/1577688374716.jpg")</f>
        <v>https://www.commcarehq.org/a/demo-18/api/form/attachment/5c1df0a2-e90f-4004-a5fa-cda3f01d9f23/1577688374716.jpg</v>
      </c>
      <c r="O50" t="str">
        <f>HYPERLINK("https://www.commcarehq.org/a/demo-18/api/form/attachment/5c1df0a2-e90f-4004-a5fa-cda3f01d9f23/1577688384108.jpg")</f>
        <v>https://www.commcarehq.org/a/demo-18/api/form/attachment/5c1df0a2-e90f-4004-a5fa-cda3f01d9f23/1577688384108.jpg</v>
      </c>
      <c r="P50" t="str">
        <f>HYPERLINK("https://www.commcarehq.org/a/demo-18/api/form/attachment/5c1df0a2-e90f-4004-a5fa-cda3f01d9f23/1577688399065.jpg")</f>
        <v>https://www.commcarehq.org/a/demo-18/api/form/attachment/5c1df0a2-e90f-4004-a5fa-cda3f01d9f23/1577688399065.jpg</v>
      </c>
      <c r="Q50" t="str">
        <f>HYPERLINK("https://www.commcarehq.org/a/demo-18/api/form/attachment/5c1df0a2-e90f-4004-a5fa-cda3f01d9f23/1577688409153.jpg")</f>
        <v>https://www.commcarehq.org/a/demo-18/api/form/attachment/5c1df0a2-e90f-4004-a5fa-cda3f01d9f23/1577688409153.jpg</v>
      </c>
      <c r="R50" s="2">
        <v>43829.282523148147</v>
      </c>
      <c r="S50" s="2">
        <v>43829.280949074076</v>
      </c>
      <c r="T50" t="s">
        <v>32</v>
      </c>
      <c r="U50" s="2">
        <v>43830.188240740739</v>
      </c>
      <c r="V50" t="s">
        <v>923</v>
      </c>
      <c r="W50" t="s">
        <v>924</v>
      </c>
    </row>
    <row r="51" spans="1:23" x14ac:dyDescent="0.45">
      <c r="A51" t="s">
        <v>131</v>
      </c>
      <c r="B51">
        <v>4</v>
      </c>
      <c r="C51" s="1">
        <v>43869</v>
      </c>
      <c r="D51" s="1">
        <v>43839</v>
      </c>
      <c r="E51" t="s">
        <v>428</v>
      </c>
      <c r="F51" t="s">
        <v>429</v>
      </c>
      <c r="G51" t="s">
        <v>429</v>
      </c>
      <c r="H51" t="s">
        <v>429</v>
      </c>
      <c r="I51" t="s">
        <v>447</v>
      </c>
      <c r="J51" t="s">
        <v>428</v>
      </c>
      <c r="K51" t="s">
        <v>429</v>
      </c>
      <c r="L51" t="str">
        <f>HYPERLINK("https://www.commcarehq.org/a/demo-18/api/form/attachment/1f51730d-f613-4271-a1a3-25edc0f6550b/1578551668643.jpg")</f>
        <v>https://www.commcarehq.org/a/demo-18/api/form/attachment/1f51730d-f613-4271-a1a3-25edc0f6550b/1578551668643.jpg</v>
      </c>
      <c r="M51" t="str">
        <f>HYPERLINK("https://www.commcarehq.org/a/demo-18/api/form/attachment/1f51730d-f613-4271-a1a3-25edc0f6550b/1578551689152.jpg")</f>
        <v>https://www.commcarehq.org/a/demo-18/api/form/attachment/1f51730d-f613-4271-a1a3-25edc0f6550b/1578551689152.jpg</v>
      </c>
      <c r="N51" t="str">
        <f>HYPERLINK("https://www.commcarehq.org/a/demo-18/api/form/attachment/1f51730d-f613-4271-a1a3-25edc0f6550b/1578551845150.jpg")</f>
        <v>https://www.commcarehq.org/a/demo-18/api/form/attachment/1f51730d-f613-4271-a1a3-25edc0f6550b/1578551845150.jpg</v>
      </c>
      <c r="O51" t="str">
        <f>HYPERLINK("https://www.commcarehq.org/a/demo-18/api/form/attachment/1f51730d-f613-4271-a1a3-25edc0f6550b/1578551867745.jpg")</f>
        <v>https://www.commcarehq.org/a/demo-18/api/form/attachment/1f51730d-f613-4271-a1a3-25edc0f6550b/1578551867745.jpg</v>
      </c>
      <c r="P51" t="str">
        <f>HYPERLINK("https://www.commcarehq.org/a/demo-18/api/form/attachment/1f51730d-f613-4271-a1a3-25edc0f6550b/1578551891376.jpg")</f>
        <v>https://www.commcarehq.org/a/demo-18/api/form/attachment/1f51730d-f613-4271-a1a3-25edc0f6550b/1578551891376.jpg</v>
      </c>
      <c r="Q51" t="str">
        <f>HYPERLINK("https://www.commcarehq.org/a/demo-18/api/form/attachment/1f51730d-f613-4271-a1a3-25edc0f6550b/1578551902964.jpg")</f>
        <v>https://www.commcarehq.org/a/demo-18/api/form/attachment/1f51730d-f613-4271-a1a3-25edc0f6550b/1578551902964.jpg</v>
      </c>
      <c r="R51" s="2">
        <v>43839.276678240742</v>
      </c>
      <c r="S51" s="2">
        <v>43839.272870370369</v>
      </c>
      <c r="T51" t="s">
        <v>32</v>
      </c>
      <c r="U51" s="2">
        <v>43839.276875000003</v>
      </c>
      <c r="V51" t="s">
        <v>983</v>
      </c>
      <c r="W51" t="s">
        <v>984</v>
      </c>
    </row>
    <row r="52" spans="1:23" x14ac:dyDescent="0.45">
      <c r="A52" t="s">
        <v>1206</v>
      </c>
      <c r="B52">
        <v>6.2</v>
      </c>
      <c r="C52" s="1">
        <v>43894</v>
      </c>
      <c r="D52" s="1">
        <v>43864</v>
      </c>
      <c r="E52" t="s">
        <v>428</v>
      </c>
      <c r="F52" t="s">
        <v>429</v>
      </c>
      <c r="G52" t="s">
        <v>429</v>
      </c>
      <c r="H52" t="s">
        <v>429</v>
      </c>
      <c r="I52" t="s">
        <v>447</v>
      </c>
      <c r="J52" t="s">
        <v>428</v>
      </c>
      <c r="K52" t="s">
        <v>429</v>
      </c>
      <c r="L52" t="str">
        <f>HYPERLINK("https://www.commcarehq.org/a/demo-18/api/form/attachment/d96cf1ca-f2e2-4393-bf81-8e337ca785ce/1580713570366.jpg")</f>
        <v>https://www.commcarehq.org/a/demo-18/api/form/attachment/d96cf1ca-f2e2-4393-bf81-8e337ca785ce/1580713570366.jpg</v>
      </c>
      <c r="M52" t="str">
        <f>HYPERLINK("https://www.commcarehq.org/a/demo-18/api/form/attachment/d96cf1ca-f2e2-4393-bf81-8e337ca785ce/1580713590621.jpg")</f>
        <v>https://www.commcarehq.org/a/demo-18/api/form/attachment/d96cf1ca-f2e2-4393-bf81-8e337ca785ce/1580713590621.jpg</v>
      </c>
      <c r="N52" t="str">
        <f>HYPERLINK("https://www.commcarehq.org/a/demo-18/api/form/attachment/d96cf1ca-f2e2-4393-bf81-8e337ca785ce/1580713647121.jpg")</f>
        <v>https://www.commcarehq.org/a/demo-18/api/form/attachment/d96cf1ca-f2e2-4393-bf81-8e337ca785ce/1580713647121.jpg</v>
      </c>
      <c r="O52" t="str">
        <f>HYPERLINK("https://www.commcarehq.org/a/demo-18/api/form/attachment/d96cf1ca-f2e2-4393-bf81-8e337ca785ce/1580713656462.jpg")</f>
        <v>https://www.commcarehq.org/a/demo-18/api/form/attachment/d96cf1ca-f2e2-4393-bf81-8e337ca785ce/1580713656462.jpg</v>
      </c>
      <c r="P52" t="str">
        <f>HYPERLINK("https://www.commcarehq.org/a/demo-18/api/form/attachment/d96cf1ca-f2e2-4393-bf81-8e337ca785ce/1580713707577.jpg")</f>
        <v>https://www.commcarehq.org/a/demo-18/api/form/attachment/d96cf1ca-f2e2-4393-bf81-8e337ca785ce/1580713707577.jpg</v>
      </c>
      <c r="Q52" t="str">
        <f>HYPERLINK("https://www.commcarehq.org/a/demo-18/api/form/attachment/d96cf1ca-f2e2-4393-bf81-8e337ca785ce/1580713716542.jpg")</f>
        <v>https://www.commcarehq.org/a/demo-18/api/form/attachment/d96cf1ca-f2e2-4393-bf81-8e337ca785ce/1580713716542.jpg</v>
      </c>
      <c r="R52" s="2">
        <v>43864.297662037039</v>
      </c>
      <c r="S52" s="2">
        <v>43864.295601851853</v>
      </c>
      <c r="T52" t="s">
        <v>32</v>
      </c>
      <c r="U52" s="2">
        <v>43864.297939814816</v>
      </c>
      <c r="V52" t="s">
        <v>1207</v>
      </c>
      <c r="W52" t="s">
        <v>1208</v>
      </c>
    </row>
    <row r="53" spans="1:23" x14ac:dyDescent="0.45">
      <c r="A53" t="s">
        <v>178</v>
      </c>
      <c r="B53">
        <v>5.5</v>
      </c>
      <c r="C53" s="1">
        <v>43894</v>
      </c>
      <c r="D53" s="1">
        <v>43864</v>
      </c>
      <c r="E53" t="s">
        <v>428</v>
      </c>
      <c r="F53" t="s">
        <v>429</v>
      </c>
      <c r="G53" t="s">
        <v>429</v>
      </c>
      <c r="H53" t="s">
        <v>429</v>
      </c>
      <c r="I53" t="s">
        <v>447</v>
      </c>
      <c r="J53" t="s">
        <v>428</v>
      </c>
      <c r="K53" t="s">
        <v>429</v>
      </c>
      <c r="L53" t="str">
        <f>HYPERLINK("https://www.commcarehq.org/a/demo-18/api/form/attachment/91ccb3a6-26cd-48a9-a3e9-52d6236da71a/1580723832116.jpg")</f>
        <v>https://www.commcarehq.org/a/demo-18/api/form/attachment/91ccb3a6-26cd-48a9-a3e9-52d6236da71a/1580723832116.jpg</v>
      </c>
      <c r="M53" t="str">
        <f>HYPERLINK("https://www.commcarehq.org/a/demo-18/api/form/attachment/91ccb3a6-26cd-48a9-a3e9-52d6236da71a/1580723856440.jpg")</f>
        <v>https://www.commcarehq.org/a/demo-18/api/form/attachment/91ccb3a6-26cd-48a9-a3e9-52d6236da71a/1580723856440.jpg</v>
      </c>
      <c r="N53" t="str">
        <f>HYPERLINK("https://www.commcarehq.org/a/demo-18/api/form/attachment/91ccb3a6-26cd-48a9-a3e9-52d6236da71a/1580723956415.jpg")</f>
        <v>https://www.commcarehq.org/a/demo-18/api/form/attachment/91ccb3a6-26cd-48a9-a3e9-52d6236da71a/1580723956415.jpg</v>
      </c>
      <c r="O53" t="str">
        <f>HYPERLINK("https://www.commcarehq.org/a/demo-18/api/form/attachment/91ccb3a6-26cd-48a9-a3e9-52d6236da71a/1580723964724.jpg")</f>
        <v>https://www.commcarehq.org/a/demo-18/api/form/attachment/91ccb3a6-26cd-48a9-a3e9-52d6236da71a/1580723964724.jpg</v>
      </c>
      <c r="P53" t="str">
        <f>HYPERLINK("https://www.commcarehq.org/a/demo-18/api/form/attachment/91ccb3a6-26cd-48a9-a3e9-52d6236da71a/1580723979490.jpg")</f>
        <v>https://www.commcarehq.org/a/demo-18/api/form/attachment/91ccb3a6-26cd-48a9-a3e9-52d6236da71a/1580723979490.jpg</v>
      </c>
      <c r="Q53" t="str">
        <f>HYPERLINK("https://www.commcarehq.org/a/demo-18/api/form/attachment/91ccb3a6-26cd-48a9-a3e9-52d6236da71a/1580723990270.jpg")</f>
        <v>https://www.commcarehq.org/a/demo-18/api/form/attachment/91ccb3a6-26cd-48a9-a3e9-52d6236da71a/1580723990270.jpg</v>
      </c>
      <c r="R53" s="2">
        <v>43864.416574074072</v>
      </c>
      <c r="S53" s="2">
        <v>43864.414259259262</v>
      </c>
      <c r="T53" t="s">
        <v>32</v>
      </c>
      <c r="U53" s="2">
        <v>43864.582754629628</v>
      </c>
      <c r="V53" t="s">
        <v>1491</v>
      </c>
      <c r="W53" t="s">
        <v>1492</v>
      </c>
    </row>
    <row r="54" spans="1:23" x14ac:dyDescent="0.45">
      <c r="A54" t="s">
        <v>235</v>
      </c>
      <c r="B54">
        <v>5.3</v>
      </c>
      <c r="C54" s="1">
        <v>43897</v>
      </c>
      <c r="D54" s="1">
        <v>43867</v>
      </c>
      <c r="E54" t="s">
        <v>428</v>
      </c>
      <c r="F54" t="s">
        <v>429</v>
      </c>
      <c r="G54" t="s">
        <v>429</v>
      </c>
      <c r="H54" t="s">
        <v>429</v>
      </c>
      <c r="I54" t="s">
        <v>498</v>
      </c>
      <c r="J54" t="s">
        <v>428</v>
      </c>
      <c r="K54" t="s">
        <v>429</v>
      </c>
      <c r="L54" t="str">
        <f>HYPERLINK("https://www.commcarehq.org/a/demo-18/api/form/attachment/cc87304a-4ba1-41d4-937a-0ef70bbe52ab/1580971946672.jpg")</f>
        <v>https://www.commcarehq.org/a/demo-18/api/form/attachment/cc87304a-4ba1-41d4-937a-0ef70bbe52ab/1580971946672.jpg</v>
      </c>
      <c r="M54" t="str">
        <f>HYPERLINK("https://www.commcarehq.org/a/demo-18/api/form/attachment/cc87304a-4ba1-41d4-937a-0ef70bbe52ab/1580971964191.jpg")</f>
        <v>https://www.commcarehq.org/a/demo-18/api/form/attachment/cc87304a-4ba1-41d4-937a-0ef70bbe52ab/1580971964191.jpg</v>
      </c>
      <c r="N54" t="str">
        <f>HYPERLINK("https://www.commcarehq.org/a/demo-18/api/form/attachment/cc87304a-4ba1-41d4-937a-0ef70bbe52ab/1580972002384.jpg")</f>
        <v>https://www.commcarehq.org/a/demo-18/api/form/attachment/cc87304a-4ba1-41d4-937a-0ef70bbe52ab/1580972002384.jpg</v>
      </c>
      <c r="O54" t="str">
        <f>HYPERLINK("https://www.commcarehq.org/a/demo-18/api/form/attachment/cc87304a-4ba1-41d4-937a-0ef70bbe52ab/1580972011810.jpg")</f>
        <v>https://www.commcarehq.org/a/demo-18/api/form/attachment/cc87304a-4ba1-41d4-937a-0ef70bbe52ab/1580972011810.jpg</v>
      </c>
      <c r="P54" t="str">
        <f>HYPERLINK("https://www.commcarehq.org/a/demo-18/api/form/attachment/cc87304a-4ba1-41d4-937a-0ef70bbe52ab/1580972026029.jpg")</f>
        <v>https://www.commcarehq.org/a/demo-18/api/form/attachment/cc87304a-4ba1-41d4-937a-0ef70bbe52ab/1580972026029.jpg</v>
      </c>
      <c r="Q54" t="str">
        <f>HYPERLINK("https://www.commcarehq.org/a/demo-18/api/form/attachment/cc87304a-4ba1-41d4-937a-0ef70bbe52ab/1580972038354.jpg")</f>
        <v>https://www.commcarehq.org/a/demo-18/api/form/attachment/cc87304a-4ba1-41d4-937a-0ef70bbe52ab/1580972038354.jpg</v>
      </c>
      <c r="R54" s="2">
        <v>43867.287488425929</v>
      </c>
      <c r="S54" s="2">
        <v>43867.284791666665</v>
      </c>
      <c r="T54" t="s">
        <v>32</v>
      </c>
      <c r="U54" s="2">
        <v>43867.287754629629</v>
      </c>
      <c r="V54" t="s">
        <v>1489</v>
      </c>
      <c r="W54" t="s">
        <v>1490</v>
      </c>
    </row>
    <row r="55" spans="1:23" x14ac:dyDescent="0.45">
      <c r="A55" t="s">
        <v>161</v>
      </c>
      <c r="B55">
        <v>6.1</v>
      </c>
      <c r="C55" s="1">
        <v>43898</v>
      </c>
      <c r="D55" s="1">
        <v>43868</v>
      </c>
      <c r="E55" t="s">
        <v>428</v>
      </c>
      <c r="F55" t="s">
        <v>429</v>
      </c>
      <c r="G55" t="s">
        <v>429</v>
      </c>
      <c r="H55" t="s">
        <v>429</v>
      </c>
      <c r="I55" t="s">
        <v>498</v>
      </c>
      <c r="J55" t="s">
        <v>428</v>
      </c>
      <c r="K55" t="s">
        <v>429</v>
      </c>
      <c r="L55" t="str">
        <f>HYPERLINK("https://www.commcarehq.org/a/demo-18/api/form/attachment/94c1f564-459e-4f4b-8db4-12220c86df38/1581060701828.jpg")</f>
        <v>https://www.commcarehq.org/a/demo-18/api/form/attachment/94c1f564-459e-4f4b-8db4-12220c86df38/1581060701828.jpg</v>
      </c>
      <c r="M55" t="str">
        <f>HYPERLINK("https://www.commcarehq.org/a/demo-18/api/form/attachment/94c1f564-459e-4f4b-8db4-12220c86df38/1581060713707.jpg")</f>
        <v>https://www.commcarehq.org/a/demo-18/api/form/attachment/94c1f564-459e-4f4b-8db4-12220c86df38/1581060713707.jpg</v>
      </c>
      <c r="N55" t="str">
        <f>HYPERLINK("https://www.commcarehq.org/a/demo-18/api/form/attachment/94c1f564-459e-4f4b-8db4-12220c86df38/1581060746322.jpg")</f>
        <v>https://www.commcarehq.org/a/demo-18/api/form/attachment/94c1f564-459e-4f4b-8db4-12220c86df38/1581060746322.jpg</v>
      </c>
      <c r="O55" t="str">
        <f>HYPERLINK("https://www.commcarehq.org/a/demo-18/api/form/attachment/94c1f564-459e-4f4b-8db4-12220c86df38/1581060756219.jpg")</f>
        <v>https://www.commcarehq.org/a/demo-18/api/form/attachment/94c1f564-459e-4f4b-8db4-12220c86df38/1581060756219.jpg</v>
      </c>
      <c r="P55" t="str">
        <f>HYPERLINK("https://www.commcarehq.org/a/demo-18/api/form/attachment/94c1f564-459e-4f4b-8db4-12220c86df38/1581060796534.jpg")</f>
        <v>https://www.commcarehq.org/a/demo-18/api/form/attachment/94c1f564-459e-4f4b-8db4-12220c86df38/1581060796534.jpg</v>
      </c>
      <c r="Q55" t="str">
        <f>HYPERLINK("https://www.commcarehq.org/a/demo-18/api/form/attachment/94c1f564-459e-4f4b-8db4-12220c86df38/1581060811772.jpg")</f>
        <v>https://www.commcarehq.org/a/demo-18/api/form/attachment/94c1f564-459e-4f4b-8db4-12220c86df38/1581060811772.jpg</v>
      </c>
      <c r="R55" s="2">
        <v>43868.314976851849</v>
      </c>
      <c r="S55" s="2">
        <v>43868.311539351853</v>
      </c>
      <c r="T55" t="s">
        <v>32</v>
      </c>
      <c r="U55" s="2">
        <v>43868.315243055556</v>
      </c>
      <c r="V55" t="s">
        <v>1495</v>
      </c>
      <c r="W55" t="s">
        <v>1496</v>
      </c>
    </row>
    <row r="56" spans="1:23" x14ac:dyDescent="0.45">
      <c r="A56" t="s">
        <v>382</v>
      </c>
      <c r="B56">
        <v>6</v>
      </c>
      <c r="C56" s="1">
        <v>43904</v>
      </c>
      <c r="D56" s="1">
        <v>43874</v>
      </c>
      <c r="E56" t="s">
        <v>428</v>
      </c>
      <c r="F56" t="s">
        <v>429</v>
      </c>
      <c r="G56" t="s">
        <v>429</v>
      </c>
      <c r="H56" t="s">
        <v>429</v>
      </c>
      <c r="I56" t="s">
        <v>1321</v>
      </c>
      <c r="J56" t="s">
        <v>428</v>
      </c>
      <c r="K56" t="s">
        <v>429</v>
      </c>
      <c r="L56" t="str">
        <f>HYPERLINK("https://www.commcarehq.org/a/demo-18/api/form/attachment/fdd10f78-b922-4873-bd2a-71ad251c2063/1581584954883.jpg")</f>
        <v>https://www.commcarehq.org/a/demo-18/api/form/attachment/fdd10f78-b922-4873-bd2a-71ad251c2063/1581584954883.jpg</v>
      </c>
      <c r="M56" t="str">
        <f>HYPERLINK("https://www.commcarehq.org/a/demo-18/api/form/attachment/fdd10f78-b922-4873-bd2a-71ad251c2063/1581584972548.jpg")</f>
        <v>https://www.commcarehq.org/a/demo-18/api/form/attachment/fdd10f78-b922-4873-bd2a-71ad251c2063/1581584972548.jpg</v>
      </c>
      <c r="N56" t="str">
        <f>HYPERLINK("https://www.commcarehq.org/a/demo-18/api/form/attachment/fdd10f78-b922-4873-bd2a-71ad251c2063/1581585099612.jpg")</f>
        <v>https://www.commcarehq.org/a/demo-18/api/form/attachment/fdd10f78-b922-4873-bd2a-71ad251c2063/1581585099612.jpg</v>
      </c>
      <c r="O56" t="str">
        <f>HYPERLINK("https://www.commcarehq.org/a/demo-18/api/form/attachment/fdd10f78-b922-4873-bd2a-71ad251c2063/1581585108969.jpg")</f>
        <v>https://www.commcarehq.org/a/demo-18/api/form/attachment/fdd10f78-b922-4873-bd2a-71ad251c2063/1581585108969.jpg</v>
      </c>
      <c r="P56" t="str">
        <f>HYPERLINK("https://www.commcarehq.org/a/demo-18/api/form/attachment/fdd10f78-b922-4873-bd2a-71ad251c2063/1581585133701.jpg")</f>
        <v>https://www.commcarehq.org/a/demo-18/api/form/attachment/fdd10f78-b922-4873-bd2a-71ad251c2063/1581585133701.jpg</v>
      </c>
      <c r="Q56" t="str">
        <f>HYPERLINK("https://www.commcarehq.org/a/demo-18/api/form/attachment/fdd10f78-b922-4873-bd2a-71ad251c2063/1581585143623.jpg")</f>
        <v>https://www.commcarehq.org/a/demo-18/api/form/attachment/fdd10f78-b922-4873-bd2a-71ad251c2063/1581585143623.jpg</v>
      </c>
      <c r="R56" s="2">
        <v>43874.383622685185</v>
      </c>
      <c r="S56" s="2">
        <v>43874.380219907405</v>
      </c>
      <c r="T56" t="s">
        <v>32</v>
      </c>
      <c r="U56" s="2">
        <v>43874.38380787037</v>
      </c>
      <c r="V56" t="s">
        <v>1493</v>
      </c>
      <c r="W56" t="s">
        <v>1494</v>
      </c>
    </row>
    <row r="57" spans="1:23" x14ac:dyDescent="0.45">
      <c r="A57" t="s">
        <v>316</v>
      </c>
      <c r="B57">
        <v>5.8</v>
      </c>
      <c r="C57" s="1">
        <v>43910</v>
      </c>
      <c r="D57" s="1">
        <v>43880</v>
      </c>
      <c r="E57" t="s">
        <v>428</v>
      </c>
      <c r="F57" t="s">
        <v>429</v>
      </c>
      <c r="G57" t="s">
        <v>429</v>
      </c>
      <c r="H57" t="s">
        <v>429</v>
      </c>
      <c r="I57" t="s">
        <v>498</v>
      </c>
      <c r="J57" t="s">
        <v>428</v>
      </c>
      <c r="K57" t="s">
        <v>429</v>
      </c>
      <c r="L57" t="str">
        <f>HYPERLINK("https://www.commcarehq.org/a/demo-18/api/form/attachment/19c266af-4b93-4d0d-bd7f-de38ffe79745/1582096611538.jpg")</f>
        <v>https://www.commcarehq.org/a/demo-18/api/form/attachment/19c266af-4b93-4d0d-bd7f-de38ffe79745/1582096611538.jpg</v>
      </c>
      <c r="M57" t="str">
        <f>HYPERLINK("https://www.commcarehq.org/a/demo-18/api/form/attachment/19c266af-4b93-4d0d-bd7f-de38ffe79745/1582096626826.jpg")</f>
        <v>https://www.commcarehq.org/a/demo-18/api/form/attachment/19c266af-4b93-4d0d-bd7f-de38ffe79745/1582096626826.jpg</v>
      </c>
      <c r="N57" t="str">
        <f>HYPERLINK("https://www.commcarehq.org/a/demo-18/api/form/attachment/19c266af-4b93-4d0d-bd7f-de38ffe79745/1582096659315.jpg")</f>
        <v>https://www.commcarehq.org/a/demo-18/api/form/attachment/19c266af-4b93-4d0d-bd7f-de38ffe79745/1582096659315.jpg</v>
      </c>
      <c r="O57" t="str">
        <f>HYPERLINK("https://www.commcarehq.org/a/demo-18/api/form/attachment/19c266af-4b93-4d0d-bd7f-de38ffe79745/1582096668298.jpg")</f>
        <v>https://www.commcarehq.org/a/demo-18/api/form/attachment/19c266af-4b93-4d0d-bd7f-de38ffe79745/1582096668298.jpg</v>
      </c>
      <c r="P57" t="str">
        <f>HYPERLINK("https://www.commcarehq.org/a/demo-18/api/form/attachment/19c266af-4b93-4d0d-bd7f-de38ffe79745/1582096685910.jpg")</f>
        <v>https://www.commcarehq.org/a/demo-18/api/form/attachment/19c266af-4b93-4d0d-bd7f-de38ffe79745/1582096685910.jpg</v>
      </c>
      <c r="Q57" t="str">
        <f>HYPERLINK("https://www.commcarehq.org/a/demo-18/api/form/attachment/19c266af-4b93-4d0d-bd7f-de38ffe79745/1582096694218.jpg")</f>
        <v>https://www.commcarehq.org/a/demo-18/api/form/attachment/19c266af-4b93-4d0d-bd7f-de38ffe79745/1582096694218.jpg</v>
      </c>
      <c r="R57" s="2">
        <v>43880.304351851853</v>
      </c>
      <c r="S57" s="2">
        <v>43880.303067129629</v>
      </c>
      <c r="T57" t="s">
        <v>32</v>
      </c>
      <c r="U57" s="2">
        <v>43880.304606481484</v>
      </c>
      <c r="V57" t="s">
        <v>1497</v>
      </c>
      <c r="W57" t="s">
        <v>1498</v>
      </c>
    </row>
    <row r="58" spans="1:23" x14ac:dyDescent="0.45">
      <c r="A58" t="s">
        <v>319</v>
      </c>
      <c r="B58">
        <v>6.6</v>
      </c>
      <c r="C58" s="1">
        <v>43908</v>
      </c>
      <c r="D58" s="1">
        <v>43878</v>
      </c>
      <c r="E58" t="s">
        <v>428</v>
      </c>
      <c r="F58" t="s">
        <v>429</v>
      </c>
      <c r="G58" t="s">
        <v>429</v>
      </c>
      <c r="H58" t="s">
        <v>429</v>
      </c>
      <c r="I58" t="s">
        <v>498</v>
      </c>
      <c r="J58" t="s">
        <v>428</v>
      </c>
      <c r="K58" t="s">
        <v>429</v>
      </c>
      <c r="L58" t="str">
        <f>HYPERLINK("https://www.commcarehq.org/a/demo-18/api/form/attachment/93810e56-d3a2-4878-8771-2f96a518dbc1/1581923084720.jpg")</f>
        <v>https://www.commcarehq.org/a/demo-18/api/form/attachment/93810e56-d3a2-4878-8771-2f96a518dbc1/1581923084720.jpg</v>
      </c>
      <c r="M58" t="str">
        <f>HYPERLINK("https://www.commcarehq.org/a/demo-18/api/form/attachment/93810e56-d3a2-4878-8771-2f96a518dbc1/1581923098570.jpg")</f>
        <v>https://www.commcarehq.org/a/demo-18/api/form/attachment/93810e56-d3a2-4878-8771-2f96a518dbc1/1581923098570.jpg</v>
      </c>
      <c r="N58" t="str">
        <f>HYPERLINK("https://www.commcarehq.org/a/demo-18/api/form/attachment/93810e56-d3a2-4878-8771-2f96a518dbc1/1581923131036.jpg")</f>
        <v>https://www.commcarehq.org/a/demo-18/api/form/attachment/93810e56-d3a2-4878-8771-2f96a518dbc1/1581923131036.jpg</v>
      </c>
      <c r="O58" t="str">
        <f>HYPERLINK("https://www.commcarehq.org/a/demo-18/api/form/attachment/93810e56-d3a2-4878-8771-2f96a518dbc1/1581923140103.jpg")</f>
        <v>https://www.commcarehq.org/a/demo-18/api/form/attachment/93810e56-d3a2-4878-8771-2f96a518dbc1/1581923140103.jpg</v>
      </c>
      <c r="P58" t="str">
        <f>HYPERLINK("https://www.commcarehq.org/a/demo-18/api/form/attachment/93810e56-d3a2-4878-8771-2f96a518dbc1/1581923153252.jpg")</f>
        <v>https://www.commcarehq.org/a/demo-18/api/form/attachment/93810e56-d3a2-4878-8771-2f96a518dbc1/1581923153252.jpg</v>
      </c>
      <c r="Q58" t="str">
        <f>HYPERLINK("https://www.commcarehq.org/a/demo-18/api/form/attachment/93810e56-d3a2-4878-8771-2f96a518dbc1/1581923164785.jpg")</f>
        <v>https://www.commcarehq.org/a/demo-18/api/form/attachment/93810e56-d3a2-4878-8771-2f96a518dbc1/1581923164785.jpg</v>
      </c>
      <c r="R58" s="2">
        <v>43878.295902777776</v>
      </c>
      <c r="S58" s="2">
        <v>43878.294456018521</v>
      </c>
      <c r="T58" t="s">
        <v>32</v>
      </c>
      <c r="U58" s="2">
        <v>43878.296215277776</v>
      </c>
      <c r="V58" t="s">
        <v>1499</v>
      </c>
      <c r="W58" t="s">
        <v>1500</v>
      </c>
    </row>
    <row r="59" spans="1:23" x14ac:dyDescent="0.45">
      <c r="A59" t="s">
        <v>214</v>
      </c>
      <c r="B59">
        <v>5.6</v>
      </c>
      <c r="C59" s="1">
        <v>43880</v>
      </c>
      <c r="D59" s="1">
        <v>43850</v>
      </c>
      <c r="E59" t="s">
        <v>428</v>
      </c>
      <c r="F59" t="s">
        <v>429</v>
      </c>
      <c r="G59" t="s">
        <v>429</v>
      </c>
      <c r="H59" t="s">
        <v>429</v>
      </c>
      <c r="I59" t="s">
        <v>430</v>
      </c>
      <c r="J59" t="s">
        <v>428</v>
      </c>
      <c r="K59" t="s">
        <v>429</v>
      </c>
      <c r="L59" t="str">
        <f>HYPERLINK("https://www.commcarehq.org/a/demo-18/api/form/attachment/9f00e0ee-5cc9-4f5c-9c33-e078f65fc8cd/1579502711269.jpg")</f>
        <v>https://www.commcarehq.org/a/demo-18/api/form/attachment/9f00e0ee-5cc9-4f5c-9c33-e078f65fc8cd/1579502711269.jpg</v>
      </c>
      <c r="M59" t="str">
        <f>HYPERLINK("https://www.commcarehq.org/a/demo-18/api/form/attachment/9f00e0ee-5cc9-4f5c-9c33-e078f65fc8cd/1579502728338.jpg")</f>
        <v>https://www.commcarehq.org/a/demo-18/api/form/attachment/9f00e0ee-5cc9-4f5c-9c33-e078f65fc8cd/1579502728338.jpg</v>
      </c>
      <c r="N59" t="str">
        <f>HYPERLINK("https://www.commcarehq.org/a/demo-18/api/form/attachment/9f00e0ee-5cc9-4f5c-9c33-e078f65fc8cd/1579502802570.jpg")</f>
        <v>https://www.commcarehq.org/a/demo-18/api/form/attachment/9f00e0ee-5cc9-4f5c-9c33-e078f65fc8cd/1579502802570.jpg</v>
      </c>
      <c r="O59" t="str">
        <f>HYPERLINK("https://www.commcarehq.org/a/demo-18/api/form/attachment/9f00e0ee-5cc9-4f5c-9c33-e078f65fc8cd/1579502813323.jpg")</f>
        <v>https://www.commcarehq.org/a/demo-18/api/form/attachment/9f00e0ee-5cc9-4f5c-9c33-e078f65fc8cd/1579502813323.jpg</v>
      </c>
      <c r="P59" t="str">
        <f>HYPERLINK("https://www.commcarehq.org/a/demo-18/api/form/attachment/9f00e0ee-5cc9-4f5c-9c33-e078f65fc8cd/1579502829358.jpg")</f>
        <v>https://www.commcarehq.org/a/demo-18/api/form/attachment/9f00e0ee-5cc9-4f5c-9c33-e078f65fc8cd/1579502829358.jpg</v>
      </c>
      <c r="Q59" t="str">
        <f>HYPERLINK("https://www.commcarehq.org/a/demo-18/api/form/attachment/9f00e0ee-5cc9-4f5c-9c33-e078f65fc8cd/1579502839331.jpg")</f>
        <v>https://www.commcarehq.org/a/demo-18/api/form/attachment/9f00e0ee-5cc9-4f5c-9c33-e078f65fc8cd/1579502839331.jpg</v>
      </c>
      <c r="R59" s="2">
        <v>43850.282893518517</v>
      </c>
      <c r="S59" s="2">
        <v>43850.280810185184</v>
      </c>
      <c r="T59" t="s">
        <v>32</v>
      </c>
      <c r="U59" s="2">
        <v>43850.283263888887</v>
      </c>
      <c r="V59" t="s">
        <v>1113</v>
      </c>
      <c r="W59" t="s">
        <v>1114</v>
      </c>
    </row>
    <row r="60" spans="1:23" x14ac:dyDescent="0.45">
      <c r="A60" t="s">
        <v>65</v>
      </c>
      <c r="B60">
        <v>4.9000000000000004</v>
      </c>
      <c r="C60" s="1">
        <v>43882</v>
      </c>
      <c r="D60" s="1">
        <v>43852</v>
      </c>
      <c r="E60" t="s">
        <v>428</v>
      </c>
      <c r="F60" t="s">
        <v>429</v>
      </c>
      <c r="G60" t="s">
        <v>429</v>
      </c>
      <c r="H60" t="s">
        <v>429</v>
      </c>
      <c r="I60" t="s">
        <v>498</v>
      </c>
      <c r="J60" t="s">
        <v>428</v>
      </c>
      <c r="K60" t="s">
        <v>429</v>
      </c>
      <c r="L60" t="str">
        <f>HYPERLINK("https://www.commcarehq.org/a/demo-18/api/form/attachment/a7530f83-4fc8-47d4-85c7-fc2b0a3e9b63/1579676602805.jpg")</f>
        <v>https://www.commcarehq.org/a/demo-18/api/form/attachment/a7530f83-4fc8-47d4-85c7-fc2b0a3e9b63/1579676602805.jpg</v>
      </c>
      <c r="M60" t="str">
        <f>HYPERLINK("https://www.commcarehq.org/a/demo-18/api/form/attachment/a7530f83-4fc8-47d4-85c7-fc2b0a3e9b63/1579676619787.jpg")</f>
        <v>https://www.commcarehq.org/a/demo-18/api/form/attachment/a7530f83-4fc8-47d4-85c7-fc2b0a3e9b63/1579676619787.jpg</v>
      </c>
      <c r="N60" t="str">
        <f>HYPERLINK("https://www.commcarehq.org/a/demo-18/api/form/attachment/a7530f83-4fc8-47d4-85c7-fc2b0a3e9b63/1579676668612.jpg")</f>
        <v>https://www.commcarehq.org/a/demo-18/api/form/attachment/a7530f83-4fc8-47d4-85c7-fc2b0a3e9b63/1579676668612.jpg</v>
      </c>
      <c r="O60" t="str">
        <f>HYPERLINK("https://www.commcarehq.org/a/demo-18/api/form/attachment/a7530f83-4fc8-47d4-85c7-fc2b0a3e9b63/1579676678746.jpg")</f>
        <v>https://www.commcarehq.org/a/demo-18/api/form/attachment/a7530f83-4fc8-47d4-85c7-fc2b0a3e9b63/1579676678746.jpg</v>
      </c>
      <c r="P60" t="str">
        <f>HYPERLINK("https://www.commcarehq.org/a/demo-18/api/form/attachment/a7530f83-4fc8-47d4-85c7-fc2b0a3e9b63/1579676692828.jpg")</f>
        <v>https://www.commcarehq.org/a/demo-18/api/form/attachment/a7530f83-4fc8-47d4-85c7-fc2b0a3e9b63/1579676692828.jpg</v>
      </c>
      <c r="Q60" t="str">
        <f>HYPERLINK("https://www.commcarehq.org/a/demo-18/api/form/attachment/a7530f83-4fc8-47d4-85c7-fc2b0a3e9b63/1579676705688.jpg")</f>
        <v>https://www.commcarehq.org/a/demo-18/api/form/attachment/a7530f83-4fc8-47d4-85c7-fc2b0a3e9b63/1579676705688.jpg</v>
      </c>
      <c r="R60" s="2">
        <v>43852.295219907406</v>
      </c>
      <c r="S60" s="2">
        <v>43852.293599537035</v>
      </c>
      <c r="T60" t="s">
        <v>32</v>
      </c>
      <c r="U60" s="2">
        <v>43852.295405092591</v>
      </c>
      <c r="V60" t="s">
        <v>1190</v>
      </c>
      <c r="W60" t="s">
        <v>1191</v>
      </c>
    </row>
    <row r="61" spans="1:23" x14ac:dyDescent="0.45">
      <c r="A61" t="s">
        <v>134</v>
      </c>
      <c r="B61">
        <v>5.5</v>
      </c>
      <c r="C61" s="1">
        <v>43880</v>
      </c>
      <c r="D61" s="1">
        <v>43850</v>
      </c>
      <c r="E61" t="s">
        <v>428</v>
      </c>
      <c r="F61" t="s">
        <v>429</v>
      </c>
      <c r="G61" t="s">
        <v>429</v>
      </c>
      <c r="H61" t="s">
        <v>429</v>
      </c>
      <c r="I61" t="s">
        <v>447</v>
      </c>
      <c r="J61" t="s">
        <v>428</v>
      </c>
      <c r="K61" t="s">
        <v>429</v>
      </c>
      <c r="L61" t="str">
        <f>HYPERLINK("https://www.commcarehq.org/a/demo-18/api/form/attachment/fe8dc7ba-5e03-4e76-a167-ff7224fb3413/1579511547484.jpg")</f>
        <v>https://www.commcarehq.org/a/demo-18/api/form/attachment/fe8dc7ba-5e03-4e76-a167-ff7224fb3413/1579511547484.jpg</v>
      </c>
      <c r="M61" t="str">
        <f>HYPERLINK("https://www.commcarehq.org/a/demo-18/api/form/attachment/fe8dc7ba-5e03-4e76-a167-ff7224fb3413/1579511565524.jpg")</f>
        <v>https://www.commcarehq.org/a/demo-18/api/form/attachment/fe8dc7ba-5e03-4e76-a167-ff7224fb3413/1579511565524.jpg</v>
      </c>
      <c r="N61" t="str">
        <f>HYPERLINK("https://www.commcarehq.org/a/demo-18/api/form/attachment/fe8dc7ba-5e03-4e76-a167-ff7224fb3413/1579511605545.jpg")</f>
        <v>https://www.commcarehq.org/a/demo-18/api/form/attachment/fe8dc7ba-5e03-4e76-a167-ff7224fb3413/1579511605545.jpg</v>
      </c>
      <c r="O61" t="str">
        <f>HYPERLINK("https://www.commcarehq.org/a/demo-18/api/form/attachment/fe8dc7ba-5e03-4e76-a167-ff7224fb3413/1579511615288.jpg")</f>
        <v>https://www.commcarehq.org/a/demo-18/api/form/attachment/fe8dc7ba-5e03-4e76-a167-ff7224fb3413/1579511615288.jpg</v>
      </c>
      <c r="P61" t="str">
        <f>HYPERLINK("https://www.commcarehq.org/a/demo-18/api/form/attachment/fe8dc7ba-5e03-4e76-a167-ff7224fb3413/1579511626016.jpg")</f>
        <v>https://www.commcarehq.org/a/demo-18/api/form/attachment/fe8dc7ba-5e03-4e76-a167-ff7224fb3413/1579511626016.jpg</v>
      </c>
      <c r="Q61" t="str">
        <f>HYPERLINK("https://www.commcarehq.org/a/demo-18/api/form/attachment/fe8dc7ba-5e03-4e76-a167-ff7224fb3413/1579511634996.jpg")</f>
        <v>https://www.commcarehq.org/a/demo-18/api/form/attachment/fe8dc7ba-5e03-4e76-a167-ff7224fb3413/1579511634996.jpg</v>
      </c>
      <c r="R61" s="2">
        <v>43850.384675925925</v>
      </c>
      <c r="S61" s="2">
        <v>43850.383356481485</v>
      </c>
      <c r="T61" t="s">
        <v>32</v>
      </c>
      <c r="U61" s="2">
        <v>43850.490972222222</v>
      </c>
      <c r="V61" t="s">
        <v>1192</v>
      </c>
      <c r="W61" t="s">
        <v>1193</v>
      </c>
    </row>
    <row r="62" spans="1:23" x14ac:dyDescent="0.45">
      <c r="A62" t="s">
        <v>143</v>
      </c>
      <c r="B62">
        <v>6.2</v>
      </c>
      <c r="C62" s="1">
        <v>43883</v>
      </c>
      <c r="D62" s="1">
        <v>43853</v>
      </c>
      <c r="E62" t="s">
        <v>428</v>
      </c>
      <c r="F62" t="s">
        <v>429</v>
      </c>
      <c r="G62" t="s">
        <v>429</v>
      </c>
      <c r="H62" t="s">
        <v>429</v>
      </c>
      <c r="I62" t="s">
        <v>447</v>
      </c>
      <c r="J62" t="s">
        <v>428</v>
      </c>
      <c r="K62" t="s">
        <v>429</v>
      </c>
      <c r="L62" t="str">
        <f>HYPERLINK("https://www.commcarehq.org/a/demo-18/api/form/attachment/2301d170-f177-46ed-b940-d28d279ac05a/1579763448956.jpg")</f>
        <v>https://www.commcarehq.org/a/demo-18/api/form/attachment/2301d170-f177-46ed-b940-d28d279ac05a/1579763448956.jpg</v>
      </c>
      <c r="M62" t="str">
        <f>HYPERLINK("https://www.commcarehq.org/a/demo-18/api/form/attachment/2301d170-f177-46ed-b940-d28d279ac05a/1579763465007.jpg")</f>
        <v>https://www.commcarehq.org/a/demo-18/api/form/attachment/2301d170-f177-46ed-b940-d28d279ac05a/1579763465007.jpg</v>
      </c>
      <c r="N62" t="str">
        <f>HYPERLINK("https://www.commcarehq.org/a/demo-18/api/form/attachment/2301d170-f177-46ed-b940-d28d279ac05a/1579763554463.jpg")</f>
        <v>https://www.commcarehq.org/a/demo-18/api/form/attachment/2301d170-f177-46ed-b940-d28d279ac05a/1579763554463.jpg</v>
      </c>
      <c r="O62" t="str">
        <f>HYPERLINK("https://www.commcarehq.org/a/demo-18/api/form/attachment/2301d170-f177-46ed-b940-d28d279ac05a/1579763564154.jpg")</f>
        <v>https://www.commcarehq.org/a/demo-18/api/form/attachment/2301d170-f177-46ed-b940-d28d279ac05a/1579763564154.jpg</v>
      </c>
      <c r="P62" t="str">
        <f>HYPERLINK("https://www.commcarehq.org/a/demo-18/api/form/attachment/2301d170-f177-46ed-b940-d28d279ac05a/1579763583564.jpg")</f>
        <v>https://www.commcarehq.org/a/demo-18/api/form/attachment/2301d170-f177-46ed-b940-d28d279ac05a/1579763583564.jpg</v>
      </c>
      <c r="Q62" t="str">
        <f>HYPERLINK("https://www.commcarehq.org/a/demo-18/api/form/attachment/2301d170-f177-46ed-b940-d28d279ac05a/1579763591730.jpg")</f>
        <v>https://www.commcarehq.org/a/demo-18/api/form/attachment/2301d170-f177-46ed-b940-d28d279ac05a/1579763591730.jpg</v>
      </c>
      <c r="R62" s="2">
        <v>43853.300844907404</v>
      </c>
      <c r="S62" s="2">
        <v>43853.298958333333</v>
      </c>
      <c r="T62" t="s">
        <v>32</v>
      </c>
      <c r="U62" s="2">
        <v>43853.358356481483</v>
      </c>
      <c r="V62" t="s">
        <v>1196</v>
      </c>
      <c r="W62" t="s">
        <v>1197</v>
      </c>
    </row>
    <row r="63" spans="1:23" x14ac:dyDescent="0.45">
      <c r="A63" t="s">
        <v>292</v>
      </c>
      <c r="B63">
        <v>7.2</v>
      </c>
      <c r="C63" s="1">
        <v>43883</v>
      </c>
      <c r="D63" s="1">
        <v>43853</v>
      </c>
      <c r="E63" t="s">
        <v>428</v>
      </c>
      <c r="F63" t="s">
        <v>429</v>
      </c>
      <c r="G63" t="s">
        <v>429</v>
      </c>
      <c r="H63" t="s">
        <v>429</v>
      </c>
      <c r="I63" t="s">
        <v>498</v>
      </c>
      <c r="J63" t="s">
        <v>428</v>
      </c>
      <c r="K63" t="s">
        <v>429</v>
      </c>
      <c r="L63" t="str">
        <f>HYPERLINK("https://www.commcarehq.org/a/demo-18/api/form/attachment/f6fe2c77-ee5a-43c8-963b-4f4c513d2f2f/1579761585765.jpg")</f>
        <v>https://www.commcarehq.org/a/demo-18/api/form/attachment/f6fe2c77-ee5a-43c8-963b-4f4c513d2f2f/1579761585765.jpg</v>
      </c>
      <c r="M63" t="str">
        <f>HYPERLINK("https://www.commcarehq.org/a/demo-18/api/form/attachment/f6fe2c77-ee5a-43c8-963b-4f4c513d2f2f/1579761602278.jpg")</f>
        <v>https://www.commcarehq.org/a/demo-18/api/form/attachment/f6fe2c77-ee5a-43c8-963b-4f4c513d2f2f/1579761602278.jpg</v>
      </c>
      <c r="N63" t="str">
        <f>HYPERLINK("https://www.commcarehq.org/a/demo-18/api/form/attachment/f6fe2c77-ee5a-43c8-963b-4f4c513d2f2f/1579761652046.jpg")</f>
        <v>https://www.commcarehq.org/a/demo-18/api/form/attachment/f6fe2c77-ee5a-43c8-963b-4f4c513d2f2f/1579761652046.jpg</v>
      </c>
      <c r="O63" t="str">
        <f>HYPERLINK("https://www.commcarehq.org/a/demo-18/api/form/attachment/f6fe2c77-ee5a-43c8-963b-4f4c513d2f2f/1579761661944.jpg")</f>
        <v>https://www.commcarehq.org/a/demo-18/api/form/attachment/f6fe2c77-ee5a-43c8-963b-4f4c513d2f2f/1579761661944.jpg</v>
      </c>
      <c r="P63" t="str">
        <f>HYPERLINK("https://www.commcarehq.org/a/demo-18/api/form/attachment/f6fe2c77-ee5a-43c8-963b-4f4c513d2f2f/1579761677143.jpg")</f>
        <v>https://www.commcarehq.org/a/demo-18/api/form/attachment/f6fe2c77-ee5a-43c8-963b-4f4c513d2f2f/1579761677143.jpg</v>
      </c>
      <c r="Q63" t="str">
        <f>HYPERLINK("https://www.commcarehq.org/a/demo-18/api/form/attachment/f6fe2c77-ee5a-43c8-963b-4f4c513d2f2f/1579761686888.jpg")</f>
        <v>https://www.commcarehq.org/a/demo-18/api/form/attachment/f6fe2c77-ee5a-43c8-963b-4f4c513d2f2f/1579761686888.jpg</v>
      </c>
      <c r="R63" s="2">
        <v>43853.278796296298</v>
      </c>
      <c r="S63" s="2">
        <v>43853.277175925927</v>
      </c>
      <c r="T63" t="s">
        <v>32</v>
      </c>
      <c r="U63" s="2">
        <v>43853.357025462959</v>
      </c>
      <c r="V63" t="s">
        <v>1198</v>
      </c>
      <c r="W63" t="s">
        <v>1199</v>
      </c>
    </row>
    <row r="64" spans="1:23" x14ac:dyDescent="0.45">
      <c r="A64" t="s">
        <v>44</v>
      </c>
      <c r="B64">
        <v>5.2</v>
      </c>
      <c r="C64" s="1">
        <v>43883</v>
      </c>
      <c r="D64" s="1">
        <v>43853</v>
      </c>
      <c r="E64" t="s">
        <v>428</v>
      </c>
      <c r="F64" t="s">
        <v>429</v>
      </c>
      <c r="G64" t="s">
        <v>429</v>
      </c>
      <c r="H64" t="s">
        <v>429</v>
      </c>
      <c r="I64" t="s">
        <v>498</v>
      </c>
      <c r="J64" t="s">
        <v>428</v>
      </c>
      <c r="K64" t="s">
        <v>429</v>
      </c>
      <c r="L64" t="str">
        <f>HYPERLINK("https://www.commcarehq.org/a/demo-18/api/form/attachment/1e3a6ef3-96fe-449c-add6-27fff3d80df9/1579765582906.jpg")</f>
        <v>https://www.commcarehq.org/a/demo-18/api/form/attachment/1e3a6ef3-96fe-449c-add6-27fff3d80df9/1579765582906.jpg</v>
      </c>
      <c r="M64" t="str">
        <f>HYPERLINK("https://www.commcarehq.org/a/demo-18/api/form/attachment/1e3a6ef3-96fe-449c-add6-27fff3d80df9/1579765595661.jpg")</f>
        <v>https://www.commcarehq.org/a/demo-18/api/form/attachment/1e3a6ef3-96fe-449c-add6-27fff3d80df9/1579765595661.jpg</v>
      </c>
      <c r="N64" t="str">
        <f>HYPERLINK("https://www.commcarehq.org/a/demo-18/api/form/attachment/1e3a6ef3-96fe-449c-add6-27fff3d80df9/1579765629582.jpg")</f>
        <v>https://www.commcarehq.org/a/demo-18/api/form/attachment/1e3a6ef3-96fe-449c-add6-27fff3d80df9/1579765629582.jpg</v>
      </c>
      <c r="O64" t="str">
        <f>HYPERLINK("https://www.commcarehq.org/a/demo-18/api/form/attachment/1e3a6ef3-96fe-449c-add6-27fff3d80df9/1579765640675.jpg")</f>
        <v>https://www.commcarehq.org/a/demo-18/api/form/attachment/1e3a6ef3-96fe-449c-add6-27fff3d80df9/1579765640675.jpg</v>
      </c>
      <c r="P64" t="str">
        <f>HYPERLINK("https://www.commcarehq.org/a/demo-18/api/form/attachment/1e3a6ef3-96fe-449c-add6-27fff3d80df9/1579765655996.jpg")</f>
        <v>https://www.commcarehq.org/a/demo-18/api/form/attachment/1e3a6ef3-96fe-449c-add6-27fff3d80df9/1579765655996.jpg</v>
      </c>
      <c r="Q64" t="str">
        <f>HYPERLINK("https://www.commcarehq.org/a/demo-18/api/form/attachment/1e3a6ef3-96fe-449c-add6-27fff3d80df9/1579765664594.jpg")</f>
        <v>https://www.commcarehq.org/a/demo-18/api/form/attachment/1e3a6ef3-96fe-449c-add6-27fff3d80df9/1579765664594.jpg</v>
      </c>
      <c r="R64" s="2">
        <v>43853.324849537035</v>
      </c>
      <c r="S64" s="2">
        <v>43853.323391203703</v>
      </c>
      <c r="T64" t="s">
        <v>32</v>
      </c>
      <c r="U64" s="2">
        <v>43853.359756944446</v>
      </c>
      <c r="V64" t="s">
        <v>1200</v>
      </c>
      <c r="W64" t="s">
        <v>1201</v>
      </c>
    </row>
    <row r="65" spans="1:23" x14ac:dyDescent="0.45">
      <c r="A65" t="s">
        <v>325</v>
      </c>
      <c r="B65">
        <v>5.2</v>
      </c>
      <c r="C65" s="1">
        <v>43875</v>
      </c>
      <c r="D65" s="1">
        <v>43845</v>
      </c>
      <c r="E65" t="s">
        <v>428</v>
      </c>
      <c r="F65" t="s">
        <v>429</v>
      </c>
      <c r="G65" t="s">
        <v>429</v>
      </c>
      <c r="H65" t="s">
        <v>429</v>
      </c>
      <c r="I65" t="s">
        <v>447</v>
      </c>
      <c r="J65" t="s">
        <v>428</v>
      </c>
      <c r="K65" t="s">
        <v>429</v>
      </c>
      <c r="L65" t="str">
        <f>HYPERLINK("https://www.commcarehq.org/a/demo-18/api/form/attachment/a4214c8c-68d6-4a14-8e12-245781213421/1579074055847.jpg")</f>
        <v>https://www.commcarehq.org/a/demo-18/api/form/attachment/a4214c8c-68d6-4a14-8e12-245781213421/1579074055847.jpg</v>
      </c>
      <c r="M65" t="str">
        <f>HYPERLINK("https://www.commcarehq.org/a/demo-18/api/form/attachment/a4214c8c-68d6-4a14-8e12-245781213421/1579074072240.jpg")</f>
        <v>https://www.commcarehq.org/a/demo-18/api/form/attachment/a4214c8c-68d6-4a14-8e12-245781213421/1579074072240.jpg</v>
      </c>
      <c r="N65" t="str">
        <f>HYPERLINK("https://www.commcarehq.org/a/demo-18/api/form/attachment/a4214c8c-68d6-4a14-8e12-245781213421/1579074161350.jpg")</f>
        <v>https://www.commcarehq.org/a/demo-18/api/form/attachment/a4214c8c-68d6-4a14-8e12-245781213421/1579074161350.jpg</v>
      </c>
      <c r="O65" t="str">
        <f>HYPERLINK("https://www.commcarehq.org/a/demo-18/api/form/attachment/a4214c8c-68d6-4a14-8e12-245781213421/1579074173946.jpg")</f>
        <v>https://www.commcarehq.org/a/demo-18/api/form/attachment/a4214c8c-68d6-4a14-8e12-245781213421/1579074173946.jpg</v>
      </c>
      <c r="P65" t="str">
        <f>HYPERLINK("https://www.commcarehq.org/a/demo-18/api/form/attachment/a4214c8c-68d6-4a14-8e12-245781213421/1579074198662.jpg")</f>
        <v>https://www.commcarehq.org/a/demo-18/api/form/attachment/a4214c8c-68d6-4a14-8e12-245781213421/1579074198662.jpg</v>
      </c>
      <c r="Q65" t="str">
        <f>HYPERLINK("https://www.commcarehq.org/a/demo-18/api/form/attachment/a4214c8c-68d6-4a14-8e12-245781213421/1579074207772.jpg")</f>
        <v>https://www.commcarehq.org/a/demo-18/api/form/attachment/a4214c8c-68d6-4a14-8e12-245781213421/1579074207772.jpg</v>
      </c>
      <c r="R65" s="2">
        <v>43845.321863425925</v>
      </c>
      <c r="S65" s="2">
        <v>43845.319652777776</v>
      </c>
      <c r="T65" t="s">
        <v>32</v>
      </c>
      <c r="U65" s="2">
        <v>43845.322071759256</v>
      </c>
      <c r="V65" t="s">
        <v>1058</v>
      </c>
      <c r="W65" t="s">
        <v>1059</v>
      </c>
    </row>
    <row r="66" spans="1:23" x14ac:dyDescent="0.45">
      <c r="A66" t="s">
        <v>110</v>
      </c>
      <c r="B66">
        <v>6.6</v>
      </c>
      <c r="C66" s="1">
        <v>43875</v>
      </c>
      <c r="D66" s="1">
        <v>43845</v>
      </c>
      <c r="E66" t="s">
        <v>428</v>
      </c>
      <c r="F66" t="s">
        <v>429</v>
      </c>
      <c r="G66" t="s">
        <v>429</v>
      </c>
      <c r="H66" t="s">
        <v>429</v>
      </c>
      <c r="I66" t="s">
        <v>447</v>
      </c>
      <c r="J66" t="s">
        <v>428</v>
      </c>
      <c r="K66" t="s">
        <v>429</v>
      </c>
      <c r="L66" t="str">
        <f>HYPERLINK("https://www.commcarehq.org/a/demo-18/api/form/attachment/4f70ef8a-06d8-4152-b9e4-8f188d7a9894/1579074484820.jpg")</f>
        <v>https://www.commcarehq.org/a/demo-18/api/form/attachment/4f70ef8a-06d8-4152-b9e4-8f188d7a9894/1579074484820.jpg</v>
      </c>
      <c r="M66" t="str">
        <f>HYPERLINK("https://www.commcarehq.org/a/demo-18/api/form/attachment/4f70ef8a-06d8-4152-b9e4-8f188d7a9894/1579074509619.jpg")</f>
        <v>https://www.commcarehq.org/a/demo-18/api/form/attachment/4f70ef8a-06d8-4152-b9e4-8f188d7a9894/1579074509619.jpg</v>
      </c>
      <c r="N66" t="str">
        <f>HYPERLINK("https://www.commcarehq.org/a/demo-18/api/form/attachment/4f70ef8a-06d8-4152-b9e4-8f188d7a9894/1579074586833.jpg")</f>
        <v>https://www.commcarehq.org/a/demo-18/api/form/attachment/4f70ef8a-06d8-4152-b9e4-8f188d7a9894/1579074586833.jpg</v>
      </c>
      <c r="O66" t="str">
        <f>HYPERLINK("https://www.commcarehq.org/a/demo-18/api/form/attachment/4f70ef8a-06d8-4152-b9e4-8f188d7a9894/1579074602039.jpg")</f>
        <v>https://www.commcarehq.org/a/demo-18/api/form/attachment/4f70ef8a-06d8-4152-b9e4-8f188d7a9894/1579074602039.jpg</v>
      </c>
      <c r="P66" t="str">
        <f>HYPERLINK("https://www.commcarehq.org/a/demo-18/api/form/attachment/4f70ef8a-06d8-4152-b9e4-8f188d7a9894/1579074626012.jpg")</f>
        <v>https://www.commcarehq.org/a/demo-18/api/form/attachment/4f70ef8a-06d8-4152-b9e4-8f188d7a9894/1579074626012.jpg</v>
      </c>
      <c r="Q66" t="str">
        <f>HYPERLINK("https://www.commcarehq.org/a/demo-18/api/form/attachment/4f70ef8a-06d8-4152-b9e4-8f188d7a9894/1579074635632.jpg")</f>
        <v>https://www.commcarehq.org/a/demo-18/api/form/attachment/4f70ef8a-06d8-4152-b9e4-8f188d7a9894/1579074635632.jpg</v>
      </c>
      <c r="R66" s="2">
        <v>43845.326817129629</v>
      </c>
      <c r="S66" s="2">
        <v>43845.324004629627</v>
      </c>
      <c r="T66" t="s">
        <v>32</v>
      </c>
      <c r="U66" s="2">
        <v>43845.327013888891</v>
      </c>
      <c r="V66" t="s">
        <v>1060</v>
      </c>
      <c r="W66" t="s">
        <v>1061</v>
      </c>
    </row>
    <row r="67" spans="1:23" x14ac:dyDescent="0.45">
      <c r="A67" t="s">
        <v>92</v>
      </c>
      <c r="B67">
        <v>6.4</v>
      </c>
      <c r="C67" s="1">
        <v>43875</v>
      </c>
      <c r="D67" s="1">
        <v>43845</v>
      </c>
      <c r="E67" t="s">
        <v>428</v>
      </c>
      <c r="F67" t="s">
        <v>429</v>
      </c>
      <c r="G67" t="s">
        <v>429</v>
      </c>
      <c r="H67" t="s">
        <v>429</v>
      </c>
      <c r="I67" t="s">
        <v>498</v>
      </c>
      <c r="J67" t="s">
        <v>428</v>
      </c>
      <c r="K67" t="s">
        <v>429</v>
      </c>
      <c r="L67" t="str">
        <f>HYPERLINK("https://www.commcarehq.org/a/demo-18/api/form/attachment/1a90b3b8-3991-4e06-84cf-8345dccaf188/1579075633700.jpg")</f>
        <v>https://www.commcarehq.org/a/demo-18/api/form/attachment/1a90b3b8-3991-4e06-84cf-8345dccaf188/1579075633700.jpg</v>
      </c>
      <c r="M67" t="str">
        <f>HYPERLINK("https://www.commcarehq.org/a/demo-18/api/form/attachment/1a90b3b8-3991-4e06-84cf-8345dccaf188/1579075675592.jpg")</f>
        <v>https://www.commcarehq.org/a/demo-18/api/form/attachment/1a90b3b8-3991-4e06-84cf-8345dccaf188/1579075675592.jpg</v>
      </c>
      <c r="N67" t="str">
        <f>HYPERLINK("https://www.commcarehq.org/a/demo-18/api/form/attachment/1a90b3b8-3991-4e06-84cf-8345dccaf188/1579075743424.jpg")</f>
        <v>https://www.commcarehq.org/a/demo-18/api/form/attachment/1a90b3b8-3991-4e06-84cf-8345dccaf188/1579075743424.jpg</v>
      </c>
      <c r="O67" t="str">
        <f>HYPERLINK("https://www.commcarehq.org/a/demo-18/api/form/attachment/1a90b3b8-3991-4e06-84cf-8345dccaf188/1579075753951.jpg")</f>
        <v>https://www.commcarehq.org/a/demo-18/api/form/attachment/1a90b3b8-3991-4e06-84cf-8345dccaf188/1579075753951.jpg</v>
      </c>
      <c r="P67" t="str">
        <f>HYPERLINK("https://www.commcarehq.org/a/demo-18/api/form/attachment/1a90b3b8-3991-4e06-84cf-8345dccaf188/1579075769401.jpg")</f>
        <v>https://www.commcarehq.org/a/demo-18/api/form/attachment/1a90b3b8-3991-4e06-84cf-8345dccaf188/1579075769401.jpg</v>
      </c>
      <c r="Q67" t="str">
        <f>HYPERLINK("https://www.commcarehq.org/a/demo-18/api/form/attachment/1a90b3b8-3991-4e06-84cf-8345dccaf188/1579075781133.jpg")</f>
        <v>https://www.commcarehq.org/a/demo-18/api/form/attachment/1a90b3b8-3991-4e06-84cf-8345dccaf188/1579075781133.jpg</v>
      </c>
      <c r="R67" s="2">
        <v>43845.340081018519</v>
      </c>
      <c r="S67" s="2">
        <v>43845.337905092594</v>
      </c>
      <c r="T67" t="s">
        <v>32</v>
      </c>
      <c r="U67" s="2">
        <v>43845.340428240743</v>
      </c>
      <c r="V67" t="s">
        <v>1062</v>
      </c>
      <c r="W67" t="s">
        <v>1063</v>
      </c>
    </row>
    <row r="68" spans="1:23" x14ac:dyDescent="0.45">
      <c r="A68" t="s">
        <v>220</v>
      </c>
      <c r="B68">
        <v>5.4</v>
      </c>
      <c r="C68" s="1">
        <v>43876</v>
      </c>
      <c r="D68" s="1">
        <v>43846</v>
      </c>
      <c r="E68" t="s">
        <v>428</v>
      </c>
      <c r="F68" t="s">
        <v>429</v>
      </c>
      <c r="G68" t="s">
        <v>429</v>
      </c>
      <c r="H68" t="s">
        <v>429</v>
      </c>
      <c r="I68" t="s">
        <v>447</v>
      </c>
      <c r="J68" t="s">
        <v>428</v>
      </c>
      <c r="K68" t="s">
        <v>429</v>
      </c>
      <c r="L68" t="str">
        <f>HYPERLINK("https://www.commcarehq.org/a/demo-18/api/form/attachment/1975b72e-ebc8-4eee-960c-ec4f5ed5ab14/1579166621576.jpg")</f>
        <v>https://www.commcarehq.org/a/demo-18/api/form/attachment/1975b72e-ebc8-4eee-960c-ec4f5ed5ab14/1579166621576.jpg</v>
      </c>
      <c r="M68" t="str">
        <f>HYPERLINK("https://www.commcarehq.org/a/demo-18/api/form/attachment/1975b72e-ebc8-4eee-960c-ec4f5ed5ab14/1579166635234.jpg")</f>
        <v>https://www.commcarehq.org/a/demo-18/api/form/attachment/1975b72e-ebc8-4eee-960c-ec4f5ed5ab14/1579166635234.jpg</v>
      </c>
      <c r="N68" t="str">
        <f>HYPERLINK("https://www.commcarehq.org/a/demo-18/api/form/attachment/1975b72e-ebc8-4eee-960c-ec4f5ed5ab14/1579166784171.jpg")</f>
        <v>https://www.commcarehq.org/a/demo-18/api/form/attachment/1975b72e-ebc8-4eee-960c-ec4f5ed5ab14/1579166784171.jpg</v>
      </c>
      <c r="O68" t="str">
        <f>HYPERLINK("https://www.commcarehq.org/a/demo-18/api/form/attachment/1975b72e-ebc8-4eee-960c-ec4f5ed5ab14/1579166794663.jpg")</f>
        <v>https://www.commcarehq.org/a/demo-18/api/form/attachment/1975b72e-ebc8-4eee-960c-ec4f5ed5ab14/1579166794663.jpg</v>
      </c>
      <c r="P68" t="str">
        <f>HYPERLINK("https://www.commcarehq.org/a/demo-18/api/form/attachment/1975b72e-ebc8-4eee-960c-ec4f5ed5ab14/1579166813180.jpg")</f>
        <v>https://www.commcarehq.org/a/demo-18/api/form/attachment/1975b72e-ebc8-4eee-960c-ec4f5ed5ab14/1579166813180.jpg</v>
      </c>
      <c r="Q68" t="str">
        <f>HYPERLINK("https://www.commcarehq.org/a/demo-18/api/form/attachment/1975b72e-ebc8-4eee-960c-ec4f5ed5ab14/1579166825074.jpg")</f>
        <v>https://www.commcarehq.org/a/demo-18/api/form/attachment/1975b72e-ebc8-4eee-960c-ec4f5ed5ab14/1579166825074.jpg</v>
      </c>
      <c r="R68" s="2">
        <v>43846.393831018519</v>
      </c>
      <c r="S68" s="2">
        <v>43846.390625</v>
      </c>
      <c r="T68" t="s">
        <v>32</v>
      </c>
      <c r="U68" s="2">
        <v>43846.394062500003</v>
      </c>
      <c r="V68" t="s">
        <v>1064</v>
      </c>
      <c r="W68" t="s">
        <v>1065</v>
      </c>
    </row>
    <row r="69" spans="1:23" x14ac:dyDescent="0.45">
      <c r="A69" t="s">
        <v>367</v>
      </c>
      <c r="B69">
        <v>6.7</v>
      </c>
      <c r="C69" s="1">
        <v>43889</v>
      </c>
      <c r="D69" s="1">
        <v>43859</v>
      </c>
      <c r="E69" t="s">
        <v>428</v>
      </c>
      <c r="F69" t="s">
        <v>429</v>
      </c>
      <c r="G69" t="s">
        <v>429</v>
      </c>
      <c r="H69" t="s">
        <v>429</v>
      </c>
      <c r="I69" t="s">
        <v>447</v>
      </c>
      <c r="J69" t="s">
        <v>428</v>
      </c>
      <c r="K69" t="s">
        <v>429</v>
      </c>
      <c r="L69" t="str">
        <f>HYPERLINK("https://www.commcarehq.org/a/demo-18/api/form/attachment/c3478b8e-b7d2-4149-91ba-0819996d8d1e/1580285271355.jpg")</f>
        <v>https://www.commcarehq.org/a/demo-18/api/form/attachment/c3478b8e-b7d2-4149-91ba-0819996d8d1e/1580285271355.jpg</v>
      </c>
      <c r="M69" t="str">
        <f>HYPERLINK("https://www.commcarehq.org/a/demo-18/api/form/attachment/c3478b8e-b7d2-4149-91ba-0819996d8d1e/1580285289882.jpg")</f>
        <v>https://www.commcarehq.org/a/demo-18/api/form/attachment/c3478b8e-b7d2-4149-91ba-0819996d8d1e/1580285289882.jpg</v>
      </c>
      <c r="N69" t="str">
        <f>HYPERLINK("https://www.commcarehq.org/a/demo-18/api/form/attachment/c3478b8e-b7d2-4149-91ba-0819996d8d1e/1580285350997.jpg")</f>
        <v>https://www.commcarehq.org/a/demo-18/api/form/attachment/c3478b8e-b7d2-4149-91ba-0819996d8d1e/1580285350997.jpg</v>
      </c>
      <c r="O69" t="str">
        <f>HYPERLINK("https://www.commcarehq.org/a/demo-18/api/form/attachment/c3478b8e-b7d2-4149-91ba-0819996d8d1e/1580285362474.jpg")</f>
        <v>https://www.commcarehq.org/a/demo-18/api/form/attachment/c3478b8e-b7d2-4149-91ba-0819996d8d1e/1580285362474.jpg</v>
      </c>
      <c r="P69" t="str">
        <f>HYPERLINK("https://www.commcarehq.org/a/demo-18/api/form/attachment/c3478b8e-b7d2-4149-91ba-0819996d8d1e/1580285399448.jpg")</f>
        <v>https://www.commcarehq.org/a/demo-18/api/form/attachment/c3478b8e-b7d2-4149-91ba-0819996d8d1e/1580285399448.jpg</v>
      </c>
      <c r="Q69" t="str">
        <f>HYPERLINK("https://www.commcarehq.org/a/demo-18/api/form/attachment/c3478b8e-b7d2-4149-91ba-0819996d8d1e/1580285409279.jpg")</f>
        <v>https://www.commcarehq.org/a/demo-18/api/form/attachment/c3478b8e-b7d2-4149-91ba-0819996d8d1e/1580285409279.jpg</v>
      </c>
      <c r="R69" s="2">
        <v>43859.34039351852</v>
      </c>
      <c r="S69" s="2">
        <v>43859.33834490741</v>
      </c>
      <c r="T69" t="s">
        <v>32</v>
      </c>
      <c r="U69" s="2">
        <v>43859.377280092594</v>
      </c>
      <c r="V69" t="s">
        <v>1204</v>
      </c>
      <c r="W69" t="s">
        <v>1205</v>
      </c>
    </row>
    <row r="70" spans="1:23" x14ac:dyDescent="0.45">
      <c r="A70" t="s">
        <v>217</v>
      </c>
      <c r="B70">
        <v>5.4</v>
      </c>
      <c r="C70" s="1">
        <v>43884</v>
      </c>
      <c r="D70" s="1">
        <v>43854</v>
      </c>
      <c r="E70" t="s">
        <v>428</v>
      </c>
      <c r="F70" t="s">
        <v>429</v>
      </c>
      <c r="G70" t="s">
        <v>429</v>
      </c>
      <c r="H70" t="s">
        <v>429</v>
      </c>
      <c r="I70" t="s">
        <v>447</v>
      </c>
      <c r="J70" t="s">
        <v>428</v>
      </c>
      <c r="K70" t="s">
        <v>429</v>
      </c>
      <c r="L70" t="str">
        <f>HYPERLINK("https://www.commcarehq.org/a/demo-18/api/form/attachment/5793e96e-5c2b-41af-882d-86f166a2c354/1579847134106.jpg")</f>
        <v>https://www.commcarehq.org/a/demo-18/api/form/attachment/5793e96e-5c2b-41af-882d-86f166a2c354/1579847134106.jpg</v>
      </c>
      <c r="M70" t="str">
        <f>HYPERLINK("https://www.commcarehq.org/a/demo-18/api/form/attachment/5793e96e-5c2b-41af-882d-86f166a2c354/1579847151288.jpg")</f>
        <v>https://www.commcarehq.org/a/demo-18/api/form/attachment/5793e96e-5c2b-41af-882d-86f166a2c354/1579847151288.jpg</v>
      </c>
      <c r="N70" t="str">
        <f>HYPERLINK("https://www.commcarehq.org/a/demo-18/api/form/attachment/5793e96e-5c2b-41af-882d-86f166a2c354/1579847194910.jpg")</f>
        <v>https://www.commcarehq.org/a/demo-18/api/form/attachment/5793e96e-5c2b-41af-882d-86f166a2c354/1579847194910.jpg</v>
      </c>
      <c r="O70" t="str">
        <f>HYPERLINK("https://www.commcarehq.org/a/demo-18/api/form/attachment/5793e96e-5c2b-41af-882d-86f166a2c354/1579847204398.jpg")</f>
        <v>https://www.commcarehq.org/a/demo-18/api/form/attachment/5793e96e-5c2b-41af-882d-86f166a2c354/1579847204398.jpg</v>
      </c>
      <c r="P70" t="str">
        <f>HYPERLINK("https://www.commcarehq.org/a/demo-18/api/form/attachment/5793e96e-5c2b-41af-882d-86f166a2c354/1579847216159.jpg")</f>
        <v>https://www.commcarehq.org/a/demo-18/api/form/attachment/5793e96e-5c2b-41af-882d-86f166a2c354/1579847216159.jpg</v>
      </c>
      <c r="Q70" t="str">
        <f>HYPERLINK("https://www.commcarehq.org/a/demo-18/api/form/attachment/5793e96e-5c2b-41af-882d-86f166a2c354/1579847226502.jpg")</f>
        <v>https://www.commcarehq.org/a/demo-18/api/form/attachment/5793e96e-5c2b-41af-882d-86f166a2c354/1579847226502.jpg</v>
      </c>
      <c r="R70" s="2">
        <v>43854.268854166665</v>
      </c>
      <c r="S70" s="2">
        <v>43854.267210648148</v>
      </c>
      <c r="T70" t="s">
        <v>32</v>
      </c>
      <c r="U70" s="2">
        <v>43854.269085648149</v>
      </c>
      <c r="V70" t="s">
        <v>1202</v>
      </c>
      <c r="W70" t="s">
        <v>1203</v>
      </c>
    </row>
    <row r="71" spans="1:23" x14ac:dyDescent="0.45">
      <c r="A71" t="s">
        <v>187</v>
      </c>
      <c r="B71">
        <v>5.6</v>
      </c>
      <c r="C71" s="1">
        <v>43887</v>
      </c>
      <c r="D71" s="1">
        <v>43857</v>
      </c>
      <c r="E71" t="s">
        <v>428</v>
      </c>
      <c r="F71" t="s">
        <v>429</v>
      </c>
      <c r="G71" t="s">
        <v>429</v>
      </c>
      <c r="H71" t="s">
        <v>429</v>
      </c>
      <c r="I71" t="s">
        <v>447</v>
      </c>
      <c r="J71" t="s">
        <v>428</v>
      </c>
      <c r="K71" t="s">
        <v>429</v>
      </c>
      <c r="L71" t="str">
        <f>HYPERLINK("https://www.commcarehq.org/a/demo-18/api/form/attachment/b2eb82d8-ae31-4471-84d8-8b35f59caff9/1580109223914.jpg")</f>
        <v>https://www.commcarehq.org/a/demo-18/api/form/attachment/b2eb82d8-ae31-4471-84d8-8b35f59caff9/1580109223914.jpg</v>
      </c>
      <c r="M71" t="str">
        <f>HYPERLINK("https://www.commcarehq.org/a/demo-18/api/form/attachment/b2eb82d8-ae31-4471-84d8-8b35f59caff9/1580109241623.jpg")</f>
        <v>https://www.commcarehq.org/a/demo-18/api/form/attachment/b2eb82d8-ae31-4471-84d8-8b35f59caff9/1580109241623.jpg</v>
      </c>
      <c r="N71" t="str">
        <f>HYPERLINK("https://www.commcarehq.org/a/demo-18/api/form/attachment/b2eb82d8-ae31-4471-84d8-8b35f59caff9/1580109355321.jpg")</f>
        <v>https://www.commcarehq.org/a/demo-18/api/form/attachment/b2eb82d8-ae31-4471-84d8-8b35f59caff9/1580109355321.jpg</v>
      </c>
      <c r="O71" t="str">
        <f>HYPERLINK("https://www.commcarehq.org/a/demo-18/api/form/attachment/b2eb82d8-ae31-4471-84d8-8b35f59caff9/1580109365327.jpg")</f>
        <v>https://www.commcarehq.org/a/demo-18/api/form/attachment/b2eb82d8-ae31-4471-84d8-8b35f59caff9/1580109365327.jpg</v>
      </c>
      <c r="P71" t="str">
        <f>HYPERLINK("https://www.commcarehq.org/a/demo-18/api/form/attachment/b2eb82d8-ae31-4471-84d8-8b35f59caff9/1580109383250.jpg")</f>
        <v>https://www.commcarehq.org/a/demo-18/api/form/attachment/b2eb82d8-ae31-4471-84d8-8b35f59caff9/1580109383250.jpg</v>
      </c>
      <c r="Q71" t="str">
        <f>HYPERLINK("https://www.commcarehq.org/a/demo-18/api/form/attachment/b2eb82d8-ae31-4471-84d8-8b35f59caff9/1580109393790.jpg")</f>
        <v>https://www.commcarehq.org/a/demo-18/api/form/attachment/b2eb82d8-ae31-4471-84d8-8b35f59caff9/1580109393790.jpg</v>
      </c>
      <c r="R71" s="2">
        <v>43857.303263888891</v>
      </c>
      <c r="S71" s="2">
        <v>43857.300844907404</v>
      </c>
      <c r="T71" t="s">
        <v>32</v>
      </c>
      <c r="U71" s="2">
        <v>43857.303518518522</v>
      </c>
      <c r="V71" t="s">
        <v>1194</v>
      </c>
      <c r="W71" t="s">
        <v>1195</v>
      </c>
    </row>
    <row r="72" spans="1:23" x14ac:dyDescent="0.45">
      <c r="A72" t="s">
        <v>511</v>
      </c>
      <c r="B72">
        <v>5</v>
      </c>
      <c r="C72" s="1">
        <v>43827</v>
      </c>
      <c r="D72" s="1">
        <v>43797</v>
      </c>
      <c r="E72" t="s">
        <v>428</v>
      </c>
      <c r="F72" t="s">
        <v>429</v>
      </c>
      <c r="G72" t="s">
        <v>429</v>
      </c>
      <c r="H72" t="s">
        <v>429</v>
      </c>
      <c r="I72" t="s">
        <v>430</v>
      </c>
      <c r="J72" t="s">
        <v>428</v>
      </c>
      <c r="K72" t="s">
        <v>429</v>
      </c>
      <c r="L72" t="str">
        <f>HYPERLINK("https://www.commcarehq.org/a/demo-18/api/form/attachment/a984aace-b8f1-462a-9386-1f0d2027b1fc/1574931335284.jpg")</f>
        <v>https://www.commcarehq.org/a/demo-18/api/form/attachment/a984aace-b8f1-462a-9386-1f0d2027b1fc/1574931335284.jpg</v>
      </c>
      <c r="M72" t="str">
        <f>HYPERLINK("https://www.commcarehq.org/a/demo-18/api/form/attachment/a984aace-b8f1-462a-9386-1f0d2027b1fc/1574931351067.jpg")</f>
        <v>https://www.commcarehq.org/a/demo-18/api/form/attachment/a984aace-b8f1-462a-9386-1f0d2027b1fc/1574931351067.jpg</v>
      </c>
      <c r="N72" t="str">
        <f>HYPERLINK("https://www.commcarehq.org/a/demo-18/api/form/attachment/a984aace-b8f1-462a-9386-1f0d2027b1fc/1574931403919.jpg")</f>
        <v>https://www.commcarehq.org/a/demo-18/api/form/attachment/a984aace-b8f1-462a-9386-1f0d2027b1fc/1574931403919.jpg</v>
      </c>
      <c r="O72" t="str">
        <f>HYPERLINK("https://www.commcarehq.org/a/demo-18/api/form/attachment/a984aace-b8f1-462a-9386-1f0d2027b1fc/1574931412237.jpg")</f>
        <v>https://www.commcarehq.org/a/demo-18/api/form/attachment/a984aace-b8f1-462a-9386-1f0d2027b1fc/1574931412237.jpg</v>
      </c>
      <c r="P72" t="str">
        <f>HYPERLINK("https://www.commcarehq.org/a/demo-18/api/form/attachment/a984aace-b8f1-462a-9386-1f0d2027b1fc/1574931430005.jpg")</f>
        <v>https://www.commcarehq.org/a/demo-18/api/form/attachment/a984aace-b8f1-462a-9386-1f0d2027b1fc/1574931430005.jpg</v>
      </c>
      <c r="Q72" t="str">
        <f>HYPERLINK("https://www.commcarehq.org/a/demo-18/api/form/attachment/a984aace-b8f1-462a-9386-1f0d2027b1fc/1574931437275.jpg")</f>
        <v>https://www.commcarehq.org/a/demo-18/api/form/attachment/a984aace-b8f1-462a-9386-1f0d2027b1fc/1574931437275.jpg</v>
      </c>
      <c r="R72" s="2">
        <v>43797.373136574075</v>
      </c>
      <c r="S72" s="2">
        <v>43797.371041666665</v>
      </c>
      <c r="T72" t="s">
        <v>32</v>
      </c>
      <c r="U72" s="2">
        <v>43797.373495370368</v>
      </c>
      <c r="V72" t="s">
        <v>512</v>
      </c>
      <c r="W72" t="s">
        <v>513</v>
      </c>
    </row>
    <row r="73" spans="1:23" x14ac:dyDescent="0.45">
      <c r="A73" t="s">
        <v>322</v>
      </c>
      <c r="B73">
        <v>6.9</v>
      </c>
      <c r="C73" s="1">
        <v>43877</v>
      </c>
      <c r="D73" s="1">
        <v>43847</v>
      </c>
      <c r="E73" t="s">
        <v>428</v>
      </c>
      <c r="F73" t="s">
        <v>429</v>
      </c>
      <c r="G73" t="s">
        <v>429</v>
      </c>
      <c r="H73" t="s">
        <v>429</v>
      </c>
      <c r="I73" t="s">
        <v>447</v>
      </c>
      <c r="J73" t="s">
        <v>428</v>
      </c>
      <c r="K73" t="s">
        <v>429</v>
      </c>
      <c r="L73" t="str">
        <f>HYPERLINK("https://www.commcarehq.org/a/demo-18/api/form/attachment/d4c61fd2-f950-4c80-99ba-75178a9b7e44/1579243843306.jpg")</f>
        <v>https://www.commcarehq.org/a/demo-18/api/form/attachment/d4c61fd2-f950-4c80-99ba-75178a9b7e44/1579243843306.jpg</v>
      </c>
      <c r="M73" t="str">
        <f>HYPERLINK("https://www.commcarehq.org/a/demo-18/api/form/attachment/d4c61fd2-f950-4c80-99ba-75178a9b7e44/1579243858096.jpg")</f>
        <v>https://www.commcarehq.org/a/demo-18/api/form/attachment/d4c61fd2-f950-4c80-99ba-75178a9b7e44/1579243858096.jpg</v>
      </c>
      <c r="N73" t="str">
        <f>HYPERLINK("https://www.commcarehq.org/a/demo-18/api/form/attachment/d4c61fd2-f950-4c80-99ba-75178a9b7e44/1579243983961.jpg")</f>
        <v>https://www.commcarehq.org/a/demo-18/api/form/attachment/d4c61fd2-f950-4c80-99ba-75178a9b7e44/1579243983961.jpg</v>
      </c>
      <c r="O73" t="str">
        <f>HYPERLINK("https://www.commcarehq.org/a/demo-18/api/form/attachment/d4c61fd2-f950-4c80-99ba-75178a9b7e44/1579243997755.jpg")</f>
        <v>https://www.commcarehq.org/a/demo-18/api/form/attachment/d4c61fd2-f950-4c80-99ba-75178a9b7e44/1579243997755.jpg</v>
      </c>
      <c r="P73" t="str">
        <f>HYPERLINK("https://www.commcarehq.org/a/demo-18/api/form/attachment/d4c61fd2-f950-4c80-99ba-75178a9b7e44/1579244012161.jpg")</f>
        <v>https://www.commcarehq.org/a/demo-18/api/form/attachment/d4c61fd2-f950-4c80-99ba-75178a9b7e44/1579244012161.jpg</v>
      </c>
      <c r="Q73" t="str">
        <f>HYPERLINK("https://www.commcarehq.org/a/demo-18/api/form/attachment/d4c61fd2-f950-4c80-99ba-75178a9b7e44/1579244026609.jpg")</f>
        <v>https://www.commcarehq.org/a/demo-18/api/form/attachment/d4c61fd2-f950-4c80-99ba-75178a9b7e44/1579244026609.jpg</v>
      </c>
      <c r="R73" s="2">
        <v>43847.287361111114</v>
      </c>
      <c r="S73" s="2">
        <v>43847.284722222219</v>
      </c>
      <c r="T73" t="s">
        <v>32</v>
      </c>
      <c r="U73" s="2">
        <v>43847.287604166668</v>
      </c>
      <c r="V73" t="s">
        <v>1115</v>
      </c>
      <c r="W73" t="s">
        <v>1116</v>
      </c>
    </row>
    <row r="74" spans="1:23" x14ac:dyDescent="0.45">
      <c r="A74" t="s">
        <v>268</v>
      </c>
      <c r="B74">
        <v>6.2</v>
      </c>
      <c r="C74" s="1">
        <v>43880</v>
      </c>
      <c r="D74" s="1">
        <v>43850</v>
      </c>
      <c r="E74" t="s">
        <v>428</v>
      </c>
      <c r="F74" t="s">
        <v>429</v>
      </c>
      <c r="G74" t="s">
        <v>429</v>
      </c>
      <c r="H74" t="s">
        <v>429</v>
      </c>
      <c r="I74" t="s">
        <v>430</v>
      </c>
      <c r="J74" t="s">
        <v>428</v>
      </c>
      <c r="K74" t="s">
        <v>429</v>
      </c>
      <c r="L74" t="str">
        <f>HYPERLINK("https://www.commcarehq.org/a/demo-18/api/form/attachment/c677ba2c-315a-49ac-a3e2-6029bc26382f/1579504555345.jpg")</f>
        <v>https://www.commcarehq.org/a/demo-18/api/form/attachment/c677ba2c-315a-49ac-a3e2-6029bc26382f/1579504555345.jpg</v>
      </c>
      <c r="M74" t="str">
        <f>HYPERLINK("https://www.commcarehq.org/a/demo-18/api/form/attachment/c677ba2c-315a-49ac-a3e2-6029bc26382f/1579504569799.jpg")</f>
        <v>https://www.commcarehq.org/a/demo-18/api/form/attachment/c677ba2c-315a-49ac-a3e2-6029bc26382f/1579504569799.jpg</v>
      </c>
      <c r="N74" t="str">
        <f>HYPERLINK("https://www.commcarehq.org/a/demo-18/api/form/attachment/c677ba2c-315a-49ac-a3e2-6029bc26382f/1579504629385.jpg")</f>
        <v>https://www.commcarehq.org/a/demo-18/api/form/attachment/c677ba2c-315a-49ac-a3e2-6029bc26382f/1579504629385.jpg</v>
      </c>
      <c r="O74" t="str">
        <f>HYPERLINK("https://www.commcarehq.org/a/demo-18/api/form/attachment/c677ba2c-315a-49ac-a3e2-6029bc26382f/1579504639617.jpg")</f>
        <v>https://www.commcarehq.org/a/demo-18/api/form/attachment/c677ba2c-315a-49ac-a3e2-6029bc26382f/1579504639617.jpg</v>
      </c>
      <c r="P74" t="str">
        <f>HYPERLINK("https://www.commcarehq.org/a/demo-18/api/form/attachment/c677ba2c-315a-49ac-a3e2-6029bc26382f/1579504654906.jpg")</f>
        <v>https://www.commcarehq.org/a/demo-18/api/form/attachment/c677ba2c-315a-49ac-a3e2-6029bc26382f/1579504654906.jpg</v>
      </c>
      <c r="Q74" t="str">
        <f>HYPERLINK("https://www.commcarehq.org/a/demo-18/api/form/attachment/c677ba2c-315a-49ac-a3e2-6029bc26382f/1579504664031.jpg")</f>
        <v>https://www.commcarehq.org/a/demo-18/api/form/attachment/c677ba2c-315a-49ac-a3e2-6029bc26382f/1579504664031.jpg</v>
      </c>
      <c r="R74" s="2">
        <v>43850.304097222222</v>
      </c>
      <c r="S74" s="2">
        <v>43850.302395833336</v>
      </c>
      <c r="T74" t="s">
        <v>32</v>
      </c>
      <c r="U74" s="2">
        <v>43850.30431712963</v>
      </c>
      <c r="V74" t="s">
        <v>1125</v>
      </c>
      <c r="W74" t="s">
        <v>1126</v>
      </c>
    </row>
    <row r="75" spans="1:23" x14ac:dyDescent="0.45">
      <c r="A75" t="s">
        <v>328</v>
      </c>
      <c r="B75">
        <v>6</v>
      </c>
      <c r="C75" s="1">
        <v>43880</v>
      </c>
      <c r="D75" s="1">
        <v>43850</v>
      </c>
      <c r="E75" t="s">
        <v>428</v>
      </c>
      <c r="F75" t="s">
        <v>429</v>
      </c>
      <c r="G75" t="s">
        <v>429</v>
      </c>
      <c r="H75" t="s">
        <v>429</v>
      </c>
      <c r="I75" t="s">
        <v>447</v>
      </c>
      <c r="J75" t="s">
        <v>428</v>
      </c>
      <c r="K75" t="s">
        <v>429</v>
      </c>
      <c r="L75" t="str">
        <f>HYPERLINK("https://www.commcarehq.org/a/demo-18/api/form/attachment/21fd2f4f-c4e4-4fd4-b36f-642e626c2384/1579508785987.jpg")</f>
        <v>https://www.commcarehq.org/a/demo-18/api/form/attachment/21fd2f4f-c4e4-4fd4-b36f-642e626c2384/1579508785987.jpg</v>
      </c>
      <c r="M75" t="str">
        <f>HYPERLINK("https://www.commcarehq.org/a/demo-18/api/form/attachment/21fd2f4f-c4e4-4fd4-b36f-642e626c2384/1579508804948.jpg")</f>
        <v>https://www.commcarehq.org/a/demo-18/api/form/attachment/21fd2f4f-c4e4-4fd4-b36f-642e626c2384/1579508804948.jpg</v>
      </c>
      <c r="N75" t="str">
        <f>HYPERLINK("https://www.commcarehq.org/a/demo-18/api/form/attachment/21fd2f4f-c4e4-4fd4-b36f-642e626c2384/1579508948714.jpg")</f>
        <v>https://www.commcarehq.org/a/demo-18/api/form/attachment/21fd2f4f-c4e4-4fd4-b36f-642e626c2384/1579508948714.jpg</v>
      </c>
      <c r="O75" t="str">
        <f>HYPERLINK("https://www.commcarehq.org/a/demo-18/api/form/attachment/21fd2f4f-c4e4-4fd4-b36f-642e626c2384/1579508959068.jpg")</f>
        <v>https://www.commcarehq.org/a/demo-18/api/form/attachment/21fd2f4f-c4e4-4fd4-b36f-642e626c2384/1579508959068.jpg</v>
      </c>
      <c r="P75" t="str">
        <f>HYPERLINK("https://www.commcarehq.org/a/demo-18/api/form/attachment/21fd2f4f-c4e4-4fd4-b36f-642e626c2384/1579508976130.jpg")</f>
        <v>https://www.commcarehq.org/a/demo-18/api/form/attachment/21fd2f4f-c4e4-4fd4-b36f-642e626c2384/1579508976130.jpg</v>
      </c>
      <c r="Q75" t="str">
        <f>HYPERLINK("https://www.commcarehq.org/a/demo-18/api/form/attachment/21fd2f4f-c4e4-4fd4-b36f-642e626c2384/1579508988442.jpg")</f>
        <v>https://www.commcarehq.org/a/demo-18/api/form/attachment/21fd2f4f-c4e4-4fd4-b36f-642e626c2384/1579508988442.jpg</v>
      </c>
      <c r="R75" s="2">
        <v>43850.354050925926</v>
      </c>
      <c r="S75" s="2">
        <v>43850.35125</v>
      </c>
      <c r="T75" t="s">
        <v>32</v>
      </c>
      <c r="U75" s="2">
        <v>43850.354247685187</v>
      </c>
      <c r="V75" t="s">
        <v>1119</v>
      </c>
      <c r="W75" t="s">
        <v>1120</v>
      </c>
    </row>
    <row r="76" spans="1:23" x14ac:dyDescent="0.45">
      <c r="A76" t="s">
        <v>295</v>
      </c>
      <c r="B76">
        <v>5.5</v>
      </c>
      <c r="C76" s="1">
        <v>43880</v>
      </c>
      <c r="D76" s="1">
        <v>43850</v>
      </c>
      <c r="E76" t="s">
        <v>428</v>
      </c>
      <c r="F76" t="s">
        <v>429</v>
      </c>
      <c r="G76" t="s">
        <v>429</v>
      </c>
      <c r="H76" t="s">
        <v>429</v>
      </c>
      <c r="I76" t="s">
        <v>447</v>
      </c>
      <c r="J76" t="s">
        <v>428</v>
      </c>
      <c r="K76" t="s">
        <v>429</v>
      </c>
      <c r="L76" t="str">
        <f>HYPERLINK("https://www.commcarehq.org/a/demo-18/api/form/attachment/f006fe1a-3189-4077-9b90-f61894a5caeb/1579506226581.jpg")</f>
        <v>https://www.commcarehq.org/a/demo-18/api/form/attachment/f006fe1a-3189-4077-9b90-f61894a5caeb/1579506226581.jpg</v>
      </c>
      <c r="M76" t="str">
        <f>HYPERLINK("https://www.commcarehq.org/a/demo-18/api/form/attachment/f006fe1a-3189-4077-9b90-f61894a5caeb/1579506243963.jpg")</f>
        <v>https://www.commcarehq.org/a/demo-18/api/form/attachment/f006fe1a-3189-4077-9b90-f61894a5caeb/1579506243963.jpg</v>
      </c>
      <c r="N76" t="str">
        <f>HYPERLINK("https://www.commcarehq.org/a/demo-18/api/form/attachment/f006fe1a-3189-4077-9b90-f61894a5caeb/1579506286051.jpg")</f>
        <v>https://www.commcarehq.org/a/demo-18/api/form/attachment/f006fe1a-3189-4077-9b90-f61894a5caeb/1579506286051.jpg</v>
      </c>
      <c r="O76" t="str">
        <f>HYPERLINK("https://www.commcarehq.org/a/demo-18/api/form/attachment/f006fe1a-3189-4077-9b90-f61894a5caeb/1579506295384.jpg")</f>
        <v>https://www.commcarehq.org/a/demo-18/api/form/attachment/f006fe1a-3189-4077-9b90-f61894a5caeb/1579506295384.jpg</v>
      </c>
      <c r="P76" t="str">
        <f>HYPERLINK("https://www.commcarehq.org/a/demo-18/api/form/attachment/f006fe1a-3189-4077-9b90-f61894a5caeb/1579506308727.jpg")</f>
        <v>https://www.commcarehq.org/a/demo-18/api/form/attachment/f006fe1a-3189-4077-9b90-f61894a5caeb/1579506308727.jpg</v>
      </c>
      <c r="Q76" t="str">
        <f>HYPERLINK("https://www.commcarehq.org/a/demo-18/api/form/attachment/f006fe1a-3189-4077-9b90-f61894a5caeb/1579506317271.jpg")</f>
        <v>https://www.commcarehq.org/a/demo-18/api/form/attachment/f006fe1a-3189-4077-9b90-f61894a5caeb/1579506317271.jpg</v>
      </c>
      <c r="R76" s="2">
        <v>43850.323194444441</v>
      </c>
      <c r="S76" s="2">
        <v>43850.321030092593</v>
      </c>
      <c r="T76" t="s">
        <v>32</v>
      </c>
      <c r="U76" s="2">
        <v>43850.323472222219</v>
      </c>
      <c r="V76" t="s">
        <v>1121</v>
      </c>
      <c r="W76" t="s">
        <v>1122</v>
      </c>
    </row>
    <row r="77" spans="1:23" x14ac:dyDescent="0.45">
      <c r="A77" t="s">
        <v>62</v>
      </c>
      <c r="B77">
        <v>5.9</v>
      </c>
      <c r="C77" s="1">
        <v>43880</v>
      </c>
      <c r="D77" s="1">
        <v>43850</v>
      </c>
      <c r="E77" t="s">
        <v>428</v>
      </c>
      <c r="F77" t="s">
        <v>429</v>
      </c>
      <c r="G77" t="s">
        <v>429</v>
      </c>
      <c r="H77" t="s">
        <v>429</v>
      </c>
      <c r="I77" t="s">
        <v>430</v>
      </c>
      <c r="J77" t="s">
        <v>428</v>
      </c>
      <c r="K77" t="s">
        <v>429</v>
      </c>
      <c r="L77" t="str">
        <f>HYPERLINK("https://www.commcarehq.org/a/demo-18/api/form/attachment/5dab97d9-bde0-4fe3-b19e-68f564f1195a/1579505149591.jpg")</f>
        <v>https://www.commcarehq.org/a/demo-18/api/form/attachment/5dab97d9-bde0-4fe3-b19e-68f564f1195a/1579505149591.jpg</v>
      </c>
      <c r="M77" t="str">
        <f>HYPERLINK("https://www.commcarehq.org/a/demo-18/api/form/attachment/5dab97d9-bde0-4fe3-b19e-68f564f1195a/1579505164695.jpg")</f>
        <v>https://www.commcarehq.org/a/demo-18/api/form/attachment/5dab97d9-bde0-4fe3-b19e-68f564f1195a/1579505164695.jpg</v>
      </c>
      <c r="N77" t="str">
        <f>HYPERLINK("https://www.commcarehq.org/a/demo-18/api/form/attachment/5dab97d9-bde0-4fe3-b19e-68f564f1195a/1579505197879.jpg")</f>
        <v>https://www.commcarehq.org/a/demo-18/api/form/attachment/5dab97d9-bde0-4fe3-b19e-68f564f1195a/1579505197879.jpg</v>
      </c>
      <c r="O77" t="str">
        <f>HYPERLINK("https://www.commcarehq.org/a/demo-18/api/form/attachment/5dab97d9-bde0-4fe3-b19e-68f564f1195a/1579505210067.jpg")</f>
        <v>https://www.commcarehq.org/a/demo-18/api/form/attachment/5dab97d9-bde0-4fe3-b19e-68f564f1195a/1579505210067.jpg</v>
      </c>
      <c r="P77" t="str">
        <f>HYPERLINK("https://www.commcarehq.org/a/demo-18/api/form/attachment/5dab97d9-bde0-4fe3-b19e-68f564f1195a/1579505226225.jpg")</f>
        <v>https://www.commcarehq.org/a/demo-18/api/form/attachment/5dab97d9-bde0-4fe3-b19e-68f564f1195a/1579505226225.jpg</v>
      </c>
      <c r="Q77" t="str">
        <f>HYPERLINK("https://www.commcarehq.org/a/demo-18/api/form/attachment/5dab97d9-bde0-4fe3-b19e-68f564f1195a/1579505236165.jpg")</f>
        <v>https://www.commcarehq.org/a/demo-18/api/form/attachment/5dab97d9-bde0-4fe3-b19e-68f564f1195a/1579505236165.jpg</v>
      </c>
      <c r="R77" s="2">
        <v>43850.310624999998</v>
      </c>
      <c r="S77" s="2">
        <v>43850.309247685182</v>
      </c>
      <c r="T77" t="s">
        <v>32</v>
      </c>
      <c r="U77" s="2">
        <v>43850.310856481483</v>
      </c>
      <c r="V77" t="s">
        <v>1123</v>
      </c>
      <c r="W77" t="s">
        <v>1124</v>
      </c>
    </row>
    <row r="78" spans="1:23" x14ac:dyDescent="0.45">
      <c r="A78" t="s">
        <v>379</v>
      </c>
      <c r="B78">
        <v>5.8</v>
      </c>
      <c r="C78" s="1">
        <v>43882</v>
      </c>
      <c r="D78" s="1">
        <v>43852</v>
      </c>
      <c r="E78" t="s">
        <v>428</v>
      </c>
      <c r="F78" t="s">
        <v>429</v>
      </c>
      <c r="G78" t="s">
        <v>429</v>
      </c>
      <c r="H78" t="s">
        <v>429</v>
      </c>
      <c r="I78" t="s">
        <v>447</v>
      </c>
      <c r="J78" t="s">
        <v>428</v>
      </c>
      <c r="K78" t="s">
        <v>429</v>
      </c>
      <c r="L78" t="str">
        <f>HYPERLINK("https://www.commcarehq.org/a/demo-18/api/form/attachment/d2d3c539-ec20-4ff2-9348-57d9120d2fb2/1579674285724.jpg")</f>
        <v>https://www.commcarehq.org/a/demo-18/api/form/attachment/d2d3c539-ec20-4ff2-9348-57d9120d2fb2/1579674285724.jpg</v>
      </c>
      <c r="M78" t="str">
        <f>HYPERLINK("https://www.commcarehq.org/a/demo-18/api/form/attachment/d2d3c539-ec20-4ff2-9348-57d9120d2fb2/1579674310102.jpg")</f>
        <v>https://www.commcarehq.org/a/demo-18/api/form/attachment/d2d3c539-ec20-4ff2-9348-57d9120d2fb2/1579674310102.jpg</v>
      </c>
      <c r="N78" t="str">
        <f>HYPERLINK("https://www.commcarehq.org/a/demo-18/api/form/attachment/d2d3c539-ec20-4ff2-9348-57d9120d2fb2/1579674348659.jpg")</f>
        <v>https://www.commcarehq.org/a/demo-18/api/form/attachment/d2d3c539-ec20-4ff2-9348-57d9120d2fb2/1579674348659.jpg</v>
      </c>
      <c r="O78" t="str">
        <f>HYPERLINK("https://www.commcarehq.org/a/demo-18/api/form/attachment/d2d3c539-ec20-4ff2-9348-57d9120d2fb2/1579674359292.jpg")</f>
        <v>https://www.commcarehq.org/a/demo-18/api/form/attachment/d2d3c539-ec20-4ff2-9348-57d9120d2fb2/1579674359292.jpg</v>
      </c>
      <c r="P78" t="str">
        <f>HYPERLINK("https://www.commcarehq.org/a/demo-18/api/form/attachment/d2d3c539-ec20-4ff2-9348-57d9120d2fb2/1579674384376.jpg")</f>
        <v>https://www.commcarehq.org/a/demo-18/api/form/attachment/d2d3c539-ec20-4ff2-9348-57d9120d2fb2/1579674384376.jpg</v>
      </c>
      <c r="Q78" t="str">
        <f>HYPERLINK("https://www.commcarehq.org/a/demo-18/api/form/attachment/d2d3c539-ec20-4ff2-9348-57d9120d2fb2/1579674395429.jpg")</f>
        <v>https://www.commcarehq.org/a/demo-18/api/form/attachment/d2d3c539-ec20-4ff2-9348-57d9120d2fb2/1579674395429.jpg</v>
      </c>
      <c r="R78" s="2">
        <v>43852.268483796295</v>
      </c>
      <c r="S78" s="2">
        <v>43852.266585648147</v>
      </c>
      <c r="T78" t="s">
        <v>32</v>
      </c>
      <c r="U78" s="2">
        <v>43852.26871527778</v>
      </c>
      <c r="V78" t="s">
        <v>1221</v>
      </c>
      <c r="W78" t="s">
        <v>1222</v>
      </c>
    </row>
    <row r="79" spans="1:23" x14ac:dyDescent="0.45">
      <c r="A79" t="s">
        <v>28</v>
      </c>
      <c r="B79">
        <v>6</v>
      </c>
      <c r="C79" s="1">
        <v>43875</v>
      </c>
      <c r="D79" s="1">
        <v>43845</v>
      </c>
      <c r="E79" t="s">
        <v>428</v>
      </c>
      <c r="F79" t="s">
        <v>429</v>
      </c>
      <c r="G79" t="s">
        <v>429</v>
      </c>
      <c r="H79" t="s">
        <v>429</v>
      </c>
      <c r="I79" t="s">
        <v>498</v>
      </c>
      <c r="J79" t="s">
        <v>428</v>
      </c>
      <c r="K79" t="s">
        <v>429</v>
      </c>
      <c r="L79" t="str">
        <f>HYPERLINK("https://www.commcarehq.org/a/demo-18/api/form/attachment/ff612325-a591-4e54-90da-e4d635f86024/1579073669074.jpg")</f>
        <v>https://www.commcarehq.org/a/demo-18/api/form/attachment/ff612325-a591-4e54-90da-e4d635f86024/1579073669074.jpg</v>
      </c>
      <c r="M79" t="str">
        <f>HYPERLINK("https://www.commcarehq.org/a/demo-18/api/form/attachment/ff612325-a591-4e54-90da-e4d635f86024/1579073686884.jpg")</f>
        <v>https://www.commcarehq.org/a/demo-18/api/form/attachment/ff612325-a591-4e54-90da-e4d635f86024/1579073686884.jpg</v>
      </c>
      <c r="N79" t="str">
        <f>HYPERLINK("https://www.commcarehq.org/a/demo-18/api/form/attachment/ff612325-a591-4e54-90da-e4d635f86024/1579073727686.jpg")</f>
        <v>https://www.commcarehq.org/a/demo-18/api/form/attachment/ff612325-a591-4e54-90da-e4d635f86024/1579073727686.jpg</v>
      </c>
      <c r="O79" t="str">
        <f>HYPERLINK("https://www.commcarehq.org/a/demo-18/api/form/attachment/ff612325-a591-4e54-90da-e4d635f86024/1579073739845.jpg")</f>
        <v>https://www.commcarehq.org/a/demo-18/api/form/attachment/ff612325-a591-4e54-90da-e4d635f86024/1579073739845.jpg</v>
      </c>
      <c r="P79" t="str">
        <f>HYPERLINK("https://www.commcarehq.org/a/demo-18/api/form/attachment/ff612325-a591-4e54-90da-e4d635f86024/1579073756717.jpg")</f>
        <v>https://www.commcarehq.org/a/demo-18/api/form/attachment/ff612325-a591-4e54-90da-e4d635f86024/1579073756717.jpg</v>
      </c>
      <c r="Q79" t="str">
        <f>HYPERLINK("https://www.commcarehq.org/a/demo-18/api/form/attachment/ff612325-a591-4e54-90da-e4d635f86024/1579073766594.jpg")</f>
        <v>https://www.commcarehq.org/a/demo-18/api/form/attachment/ff612325-a591-4e54-90da-e4d635f86024/1579073766594.jpg</v>
      </c>
      <c r="R79" s="2">
        <v>43845.316770833335</v>
      </c>
      <c r="S79" s="2">
        <v>43845.315127314818</v>
      </c>
      <c r="T79" t="s">
        <v>32</v>
      </c>
      <c r="U79" s="2">
        <v>43845.317002314812</v>
      </c>
      <c r="V79" t="s">
        <v>1066</v>
      </c>
      <c r="W79" t="s">
        <v>1067</v>
      </c>
    </row>
    <row r="80" spans="1:23" x14ac:dyDescent="0.45">
      <c r="A80" t="s">
        <v>196</v>
      </c>
      <c r="B80">
        <v>7</v>
      </c>
      <c r="C80" s="1">
        <v>43887</v>
      </c>
      <c r="D80" s="1">
        <v>43857</v>
      </c>
      <c r="E80" t="s">
        <v>428</v>
      </c>
      <c r="F80" t="s">
        <v>429</v>
      </c>
      <c r="G80" t="s">
        <v>429</v>
      </c>
      <c r="H80" t="s">
        <v>429</v>
      </c>
      <c r="I80" t="s">
        <v>447</v>
      </c>
      <c r="J80" t="s">
        <v>428</v>
      </c>
      <c r="K80" t="s">
        <v>429</v>
      </c>
      <c r="L80" t="str">
        <f>HYPERLINK("https://www.commcarehq.org/a/demo-18/api/form/attachment/6186921f-9406-4177-bab5-cd2e439c108c/1580105650219.jpg")</f>
        <v>https://www.commcarehq.org/a/demo-18/api/form/attachment/6186921f-9406-4177-bab5-cd2e439c108c/1580105650219.jpg</v>
      </c>
      <c r="M80" t="str">
        <f>HYPERLINK("https://www.commcarehq.org/a/demo-18/api/form/attachment/6186921f-9406-4177-bab5-cd2e439c108c/1580105665888.jpg")</f>
        <v>https://www.commcarehq.org/a/demo-18/api/form/attachment/6186921f-9406-4177-bab5-cd2e439c108c/1580105665888.jpg</v>
      </c>
      <c r="N80" t="str">
        <f>HYPERLINK("https://www.commcarehq.org/a/demo-18/api/form/attachment/6186921f-9406-4177-bab5-cd2e439c108c/1580105704343.jpg")</f>
        <v>https://www.commcarehq.org/a/demo-18/api/form/attachment/6186921f-9406-4177-bab5-cd2e439c108c/1580105704343.jpg</v>
      </c>
      <c r="O80" t="str">
        <f>HYPERLINK("https://www.commcarehq.org/a/demo-18/api/form/attachment/6186921f-9406-4177-bab5-cd2e439c108c/1580105713601.jpg")</f>
        <v>https://www.commcarehq.org/a/demo-18/api/form/attachment/6186921f-9406-4177-bab5-cd2e439c108c/1580105713601.jpg</v>
      </c>
      <c r="P80" t="str">
        <f>HYPERLINK("https://www.commcarehq.org/a/demo-18/api/form/attachment/6186921f-9406-4177-bab5-cd2e439c108c/1580105727950.jpg")</f>
        <v>https://www.commcarehq.org/a/demo-18/api/form/attachment/6186921f-9406-4177-bab5-cd2e439c108c/1580105727950.jpg</v>
      </c>
      <c r="Q80" t="str">
        <f>HYPERLINK("https://www.commcarehq.org/a/demo-18/api/form/attachment/6186921f-9406-4177-bab5-cd2e439c108c/1580105739813.jpg")</f>
        <v>https://www.commcarehq.org/a/demo-18/api/form/attachment/6186921f-9406-4177-bab5-cd2e439c108c/1580105739813.jpg</v>
      </c>
      <c r="R80" s="2">
        <v>43857.260891203703</v>
      </c>
      <c r="S80" s="2">
        <v>43857.259363425925</v>
      </c>
      <c r="T80" t="s">
        <v>32</v>
      </c>
      <c r="U80" s="2">
        <v>43857.261111111111</v>
      </c>
      <c r="V80" t="s">
        <v>1223</v>
      </c>
      <c r="W80" t="s">
        <v>1224</v>
      </c>
    </row>
    <row r="81" spans="1:23" x14ac:dyDescent="0.45">
      <c r="A81" t="s">
        <v>493</v>
      </c>
      <c r="B81">
        <v>5</v>
      </c>
      <c r="C81" s="1">
        <v>43866</v>
      </c>
      <c r="D81" s="1">
        <v>43836</v>
      </c>
      <c r="E81" t="s">
        <v>428</v>
      </c>
      <c r="F81" t="s">
        <v>429</v>
      </c>
      <c r="G81" t="s">
        <v>429</v>
      </c>
      <c r="H81" t="s">
        <v>429</v>
      </c>
      <c r="I81" t="s">
        <v>430</v>
      </c>
      <c r="J81" t="s">
        <v>428</v>
      </c>
      <c r="K81" t="s">
        <v>429</v>
      </c>
      <c r="L81" t="str">
        <f>HYPERLINK("https://www.commcarehq.org/a/demo-18/api/form/attachment/b5f8411d-10ad-4994-9355-aaea3a0cf024/1578292927281.jpg")</f>
        <v>https://www.commcarehq.org/a/demo-18/api/form/attachment/b5f8411d-10ad-4994-9355-aaea3a0cf024/1578292927281.jpg</v>
      </c>
      <c r="M81" t="str">
        <f>HYPERLINK("https://www.commcarehq.org/a/demo-18/api/form/attachment/b5f8411d-10ad-4994-9355-aaea3a0cf024/1578292940935.jpg")</f>
        <v>https://www.commcarehq.org/a/demo-18/api/form/attachment/b5f8411d-10ad-4994-9355-aaea3a0cf024/1578292940935.jpg</v>
      </c>
      <c r="N81" t="str">
        <f>HYPERLINK("https://www.commcarehq.org/a/demo-18/api/form/attachment/b5f8411d-10ad-4994-9355-aaea3a0cf024/1578293050550.jpg")</f>
        <v>https://www.commcarehq.org/a/demo-18/api/form/attachment/b5f8411d-10ad-4994-9355-aaea3a0cf024/1578293050550.jpg</v>
      </c>
      <c r="O81" t="str">
        <f>HYPERLINK("https://www.commcarehq.org/a/demo-18/api/form/attachment/b5f8411d-10ad-4994-9355-aaea3a0cf024/1578293061244.jpg")</f>
        <v>https://www.commcarehq.org/a/demo-18/api/form/attachment/b5f8411d-10ad-4994-9355-aaea3a0cf024/1578293061244.jpg</v>
      </c>
      <c r="P81" t="str">
        <f>HYPERLINK("https://www.commcarehq.org/a/demo-18/api/form/attachment/b5f8411d-10ad-4994-9355-aaea3a0cf024/1578293079373.jpg")</f>
        <v>https://www.commcarehq.org/a/demo-18/api/form/attachment/b5f8411d-10ad-4994-9355-aaea3a0cf024/1578293079373.jpg</v>
      </c>
      <c r="Q81" t="str">
        <f>HYPERLINK("https://www.commcarehq.org/a/demo-18/api/form/attachment/b5f8411d-10ad-4994-9355-aaea3a0cf024/1578293090688.jpg")</f>
        <v>https://www.commcarehq.org/a/demo-18/api/form/attachment/b5f8411d-10ad-4994-9355-aaea3a0cf024/1578293090688.jpg</v>
      </c>
      <c r="R81" s="2">
        <v>43836.281157407408</v>
      </c>
      <c r="S81" s="2">
        <v>43836.278541666667</v>
      </c>
      <c r="T81" t="s">
        <v>32</v>
      </c>
      <c r="U81" s="2">
        <v>43836.281631944446</v>
      </c>
      <c r="V81" t="s">
        <v>985</v>
      </c>
      <c r="W81" t="s">
        <v>986</v>
      </c>
    </row>
    <row r="82" spans="1:23" x14ac:dyDescent="0.45">
      <c r="A82" t="s">
        <v>158</v>
      </c>
      <c r="B82">
        <v>6.2</v>
      </c>
      <c r="C82" s="1">
        <v>43901</v>
      </c>
      <c r="D82" s="1">
        <v>43871</v>
      </c>
      <c r="E82" t="s">
        <v>428</v>
      </c>
      <c r="F82" t="s">
        <v>429</v>
      </c>
      <c r="G82" t="s">
        <v>429</v>
      </c>
      <c r="H82" t="s">
        <v>429</v>
      </c>
      <c r="I82" t="s">
        <v>498</v>
      </c>
      <c r="J82" t="s">
        <v>428</v>
      </c>
      <c r="K82" t="s">
        <v>429</v>
      </c>
      <c r="L82" t="str">
        <f>HYPERLINK("https://www.commcarehq.org/a/demo-18/api/form/attachment/c97de56e-95db-417b-abe1-50f8ce1e0485/1581319430758.jpg")</f>
        <v>https://www.commcarehq.org/a/demo-18/api/form/attachment/c97de56e-95db-417b-abe1-50f8ce1e0485/1581319430758.jpg</v>
      </c>
      <c r="M82" t="str">
        <f>HYPERLINK("https://www.commcarehq.org/a/demo-18/api/form/attachment/c97de56e-95db-417b-abe1-50f8ce1e0485/1581319451287.jpg")</f>
        <v>https://www.commcarehq.org/a/demo-18/api/form/attachment/c97de56e-95db-417b-abe1-50f8ce1e0485/1581319451287.jpg</v>
      </c>
      <c r="N82" t="str">
        <f>HYPERLINK("https://www.commcarehq.org/a/demo-18/api/form/attachment/c97de56e-95db-417b-abe1-50f8ce1e0485/1581319553892.jpg")</f>
        <v>https://www.commcarehq.org/a/demo-18/api/form/attachment/c97de56e-95db-417b-abe1-50f8ce1e0485/1581319553892.jpg</v>
      </c>
      <c r="O82" t="str">
        <f>HYPERLINK("https://www.commcarehq.org/a/demo-18/api/form/attachment/c97de56e-95db-417b-abe1-50f8ce1e0485/1581319563836.jpg")</f>
        <v>https://www.commcarehq.org/a/demo-18/api/form/attachment/c97de56e-95db-417b-abe1-50f8ce1e0485/1581319563836.jpg</v>
      </c>
      <c r="P82" t="str">
        <f>HYPERLINK("https://www.commcarehq.org/a/demo-18/api/form/attachment/c97de56e-95db-417b-abe1-50f8ce1e0485/1581319597327.jpg")</f>
        <v>https://www.commcarehq.org/a/demo-18/api/form/attachment/c97de56e-95db-417b-abe1-50f8ce1e0485/1581319597327.jpg</v>
      </c>
      <c r="Q82" t="str">
        <f>HYPERLINK("https://www.commcarehq.org/a/demo-18/api/form/attachment/c97de56e-95db-417b-abe1-50f8ce1e0485/1581319607974.jpg")</f>
        <v>https://www.commcarehq.org/a/demo-18/api/form/attachment/c97de56e-95db-417b-abe1-50f8ce1e0485/1581319607974.jpg</v>
      </c>
      <c r="R82" s="2">
        <v>43871.310289351852</v>
      </c>
      <c r="S82" s="2">
        <v>43871.307615740741</v>
      </c>
      <c r="T82" t="s">
        <v>32</v>
      </c>
      <c r="U82" s="2">
        <v>43871.330625000002</v>
      </c>
      <c r="V82" t="s">
        <v>1501</v>
      </c>
      <c r="W82" t="s">
        <v>1502</v>
      </c>
    </row>
    <row r="83" spans="1:23" x14ac:dyDescent="0.45">
      <c r="A83" t="s">
        <v>397</v>
      </c>
      <c r="B83">
        <v>5.9</v>
      </c>
      <c r="C83" s="1">
        <v>43897</v>
      </c>
      <c r="D83" s="1">
        <v>43867</v>
      </c>
      <c r="E83" t="s">
        <v>428</v>
      </c>
      <c r="F83" t="s">
        <v>429</v>
      </c>
      <c r="G83" t="s">
        <v>429</v>
      </c>
      <c r="H83" t="s">
        <v>429</v>
      </c>
      <c r="I83" t="s">
        <v>498</v>
      </c>
      <c r="J83" t="s">
        <v>428</v>
      </c>
      <c r="K83" t="s">
        <v>429</v>
      </c>
      <c r="L83" t="str">
        <f>HYPERLINK("https://www.commcarehq.org/a/demo-18/api/form/attachment/9dfd3733-0e65-4bbe-8bf7-7782ae0774bf/1580972265524.jpg")</f>
        <v>https://www.commcarehq.org/a/demo-18/api/form/attachment/9dfd3733-0e65-4bbe-8bf7-7782ae0774bf/1580972265524.jpg</v>
      </c>
      <c r="M83" t="str">
        <f>HYPERLINK("https://www.commcarehq.org/a/demo-18/api/form/attachment/9dfd3733-0e65-4bbe-8bf7-7782ae0774bf/1580972280499.jpg")</f>
        <v>https://www.commcarehq.org/a/demo-18/api/form/attachment/9dfd3733-0e65-4bbe-8bf7-7782ae0774bf/1580972280499.jpg</v>
      </c>
      <c r="N83" t="str">
        <f>HYPERLINK("https://www.commcarehq.org/a/demo-18/api/form/attachment/9dfd3733-0e65-4bbe-8bf7-7782ae0774bf/1580972323838.jpg")</f>
        <v>https://www.commcarehq.org/a/demo-18/api/form/attachment/9dfd3733-0e65-4bbe-8bf7-7782ae0774bf/1580972323838.jpg</v>
      </c>
      <c r="O83" t="str">
        <f>HYPERLINK("https://www.commcarehq.org/a/demo-18/api/form/attachment/9dfd3733-0e65-4bbe-8bf7-7782ae0774bf/1580972333407.jpg")</f>
        <v>https://www.commcarehq.org/a/demo-18/api/form/attachment/9dfd3733-0e65-4bbe-8bf7-7782ae0774bf/1580972333407.jpg</v>
      </c>
      <c r="P83" t="str">
        <f>HYPERLINK("https://www.commcarehq.org/a/demo-18/api/form/attachment/9dfd3733-0e65-4bbe-8bf7-7782ae0774bf/1580972351140.jpg")</f>
        <v>https://www.commcarehq.org/a/demo-18/api/form/attachment/9dfd3733-0e65-4bbe-8bf7-7782ae0774bf/1580972351140.jpg</v>
      </c>
      <c r="Q83" t="str">
        <f>HYPERLINK("https://www.commcarehq.org/a/demo-18/api/form/attachment/9dfd3733-0e65-4bbe-8bf7-7782ae0774bf/1580972361185.jpg")</f>
        <v>https://www.commcarehq.org/a/demo-18/api/form/attachment/9dfd3733-0e65-4bbe-8bf7-7782ae0774bf/1580972361185.jpg</v>
      </c>
      <c r="R83" s="2">
        <v>43867.291226851848</v>
      </c>
      <c r="S83" s="2">
        <v>43867.289664351854</v>
      </c>
      <c r="T83" t="s">
        <v>32</v>
      </c>
      <c r="U83" s="2">
        <v>43867.291493055556</v>
      </c>
      <c r="V83" t="s">
        <v>1503</v>
      </c>
      <c r="W83" t="s">
        <v>1504</v>
      </c>
    </row>
    <row r="84" spans="1:23" x14ac:dyDescent="0.45">
      <c r="A84" t="s">
        <v>403</v>
      </c>
      <c r="B84">
        <v>6.4</v>
      </c>
      <c r="C84" s="1">
        <v>43897</v>
      </c>
      <c r="D84" s="1">
        <v>43867</v>
      </c>
      <c r="E84" t="s">
        <v>428</v>
      </c>
      <c r="F84" t="s">
        <v>429</v>
      </c>
      <c r="G84" t="s">
        <v>429</v>
      </c>
      <c r="H84" t="s">
        <v>429</v>
      </c>
      <c r="I84" t="s">
        <v>498</v>
      </c>
      <c r="J84" t="s">
        <v>428</v>
      </c>
      <c r="K84" t="s">
        <v>429</v>
      </c>
      <c r="L84" t="str">
        <f>HYPERLINK("https://www.commcarehq.org/a/demo-18/api/form/attachment/5c212663-04d6-463d-a3ac-315ff2c51403/1580971253922.jpg")</f>
        <v>https://www.commcarehq.org/a/demo-18/api/form/attachment/5c212663-04d6-463d-a3ac-315ff2c51403/1580971253922.jpg</v>
      </c>
      <c r="M84" t="str">
        <f>HYPERLINK("https://www.commcarehq.org/a/demo-18/api/form/attachment/5c212663-04d6-463d-a3ac-315ff2c51403/1580971268561.jpg")</f>
        <v>https://www.commcarehq.org/a/demo-18/api/form/attachment/5c212663-04d6-463d-a3ac-315ff2c51403/1580971268561.jpg</v>
      </c>
      <c r="N84" t="str">
        <f>HYPERLINK("https://www.commcarehq.org/a/demo-18/api/form/attachment/5c212663-04d6-463d-a3ac-315ff2c51403/1580971320121.jpg")</f>
        <v>https://www.commcarehq.org/a/demo-18/api/form/attachment/5c212663-04d6-463d-a3ac-315ff2c51403/1580971320121.jpg</v>
      </c>
      <c r="O84" t="str">
        <f>HYPERLINK("https://www.commcarehq.org/a/demo-18/api/form/attachment/5c212663-04d6-463d-a3ac-315ff2c51403/1580971329321.jpg")</f>
        <v>https://www.commcarehq.org/a/demo-18/api/form/attachment/5c212663-04d6-463d-a3ac-315ff2c51403/1580971329321.jpg</v>
      </c>
      <c r="P84" t="str">
        <f>HYPERLINK("https://www.commcarehq.org/a/demo-18/api/form/attachment/5c212663-04d6-463d-a3ac-315ff2c51403/1580971343595.jpg")</f>
        <v>https://www.commcarehq.org/a/demo-18/api/form/attachment/5c212663-04d6-463d-a3ac-315ff2c51403/1580971343595.jpg</v>
      </c>
      <c r="Q84" t="str">
        <f>HYPERLINK("https://www.commcarehq.org/a/demo-18/api/form/attachment/5c212663-04d6-463d-a3ac-315ff2c51403/1580971352970.jpg")</f>
        <v>https://www.commcarehq.org/a/demo-18/api/form/attachment/5c212663-04d6-463d-a3ac-315ff2c51403/1580971352970.jpg</v>
      </c>
      <c r="R84" s="2">
        <v>43867.279560185183</v>
      </c>
      <c r="S84" s="2">
        <v>43867.278148148151</v>
      </c>
      <c r="T84" t="s">
        <v>32</v>
      </c>
      <c r="U84" s="2">
        <v>43867.280289351853</v>
      </c>
      <c r="V84" t="s">
        <v>1505</v>
      </c>
      <c r="W84" t="s">
        <v>1506</v>
      </c>
    </row>
    <row r="85" spans="1:23" x14ac:dyDescent="0.45">
      <c r="A85" t="s">
        <v>304</v>
      </c>
      <c r="B85">
        <v>6.9</v>
      </c>
      <c r="C85" s="1">
        <v>43898</v>
      </c>
      <c r="D85" s="1">
        <v>43868</v>
      </c>
      <c r="E85" t="s">
        <v>428</v>
      </c>
      <c r="F85" t="s">
        <v>429</v>
      </c>
      <c r="G85" t="s">
        <v>429</v>
      </c>
      <c r="H85" t="s">
        <v>429</v>
      </c>
      <c r="I85" t="s">
        <v>498</v>
      </c>
      <c r="J85" t="s">
        <v>428</v>
      </c>
      <c r="K85" t="s">
        <v>429</v>
      </c>
      <c r="L85" t="str">
        <f>HYPERLINK("https://www.commcarehq.org/a/demo-18/api/form/attachment/cf8cce0f-ca6d-446b-b6e5-c9300fb57ae7/1581059163331.jpg")</f>
        <v>https://www.commcarehq.org/a/demo-18/api/form/attachment/cf8cce0f-ca6d-446b-b6e5-c9300fb57ae7/1581059163331.jpg</v>
      </c>
      <c r="M85" t="str">
        <f>HYPERLINK("https://www.commcarehq.org/a/demo-18/api/form/attachment/cf8cce0f-ca6d-446b-b6e5-c9300fb57ae7/1581059180405.jpg")</f>
        <v>https://www.commcarehq.org/a/demo-18/api/form/attachment/cf8cce0f-ca6d-446b-b6e5-c9300fb57ae7/1581059180405.jpg</v>
      </c>
      <c r="N85" t="str">
        <f>HYPERLINK("https://www.commcarehq.org/a/demo-18/api/form/attachment/cf8cce0f-ca6d-446b-b6e5-c9300fb57ae7/1581059223807.jpg")</f>
        <v>https://www.commcarehq.org/a/demo-18/api/form/attachment/cf8cce0f-ca6d-446b-b6e5-c9300fb57ae7/1581059223807.jpg</v>
      </c>
      <c r="O85" t="str">
        <f>HYPERLINK("https://www.commcarehq.org/a/demo-18/api/form/attachment/cf8cce0f-ca6d-446b-b6e5-c9300fb57ae7/1581059233770.jpg")</f>
        <v>https://www.commcarehq.org/a/demo-18/api/form/attachment/cf8cce0f-ca6d-446b-b6e5-c9300fb57ae7/1581059233770.jpg</v>
      </c>
      <c r="P85" t="str">
        <f>HYPERLINK("https://www.commcarehq.org/a/demo-18/api/form/attachment/cf8cce0f-ca6d-446b-b6e5-c9300fb57ae7/1581059253509.jpg")</f>
        <v>https://www.commcarehq.org/a/demo-18/api/form/attachment/cf8cce0f-ca6d-446b-b6e5-c9300fb57ae7/1581059253509.jpg</v>
      </c>
      <c r="Q85" t="str">
        <f>HYPERLINK("https://www.commcarehq.org/a/demo-18/api/form/attachment/cf8cce0f-ca6d-446b-b6e5-c9300fb57ae7/1581059262524.jpg")</f>
        <v>https://www.commcarehq.org/a/demo-18/api/form/attachment/cf8cce0f-ca6d-446b-b6e5-c9300fb57ae7/1581059262524.jpg</v>
      </c>
      <c r="R85" s="2">
        <v>43868.297037037039</v>
      </c>
      <c r="S85" s="2">
        <v>43868.29546296296</v>
      </c>
      <c r="T85" t="s">
        <v>32</v>
      </c>
      <c r="U85" s="2">
        <v>43868.297349537039</v>
      </c>
      <c r="V85" t="s">
        <v>1507</v>
      </c>
      <c r="W85" t="s">
        <v>1508</v>
      </c>
    </row>
    <row r="86" spans="1:23" x14ac:dyDescent="0.45">
      <c r="A86" t="s">
        <v>400</v>
      </c>
      <c r="B86">
        <v>6.5</v>
      </c>
      <c r="C86" s="1">
        <v>43901</v>
      </c>
      <c r="D86" s="1">
        <v>43871</v>
      </c>
      <c r="E86" t="s">
        <v>428</v>
      </c>
      <c r="F86" t="s">
        <v>429</v>
      </c>
      <c r="G86" t="s">
        <v>429</v>
      </c>
      <c r="H86" t="s">
        <v>429</v>
      </c>
      <c r="I86" t="s">
        <v>447</v>
      </c>
      <c r="J86" t="s">
        <v>428</v>
      </c>
      <c r="K86" t="s">
        <v>429</v>
      </c>
      <c r="L86" t="str">
        <f>HYPERLINK("https://www.commcarehq.org/a/demo-18/api/form/attachment/6cff6f7e-0337-43f5-af4f-4223d6062a55/1581329151498.jpg")</f>
        <v>https://www.commcarehq.org/a/demo-18/api/form/attachment/6cff6f7e-0337-43f5-af4f-4223d6062a55/1581329151498.jpg</v>
      </c>
      <c r="M86" t="str">
        <f>HYPERLINK("https://www.commcarehq.org/a/demo-18/api/form/attachment/6cff6f7e-0337-43f5-af4f-4223d6062a55/1581329174566.jpg")</f>
        <v>https://www.commcarehq.org/a/demo-18/api/form/attachment/6cff6f7e-0337-43f5-af4f-4223d6062a55/1581329174566.jpg</v>
      </c>
      <c r="N86" t="str">
        <f>HYPERLINK("https://www.commcarehq.org/a/demo-18/api/form/attachment/6cff6f7e-0337-43f5-af4f-4223d6062a55/1581329203215.jpg")</f>
        <v>https://www.commcarehq.org/a/demo-18/api/form/attachment/6cff6f7e-0337-43f5-af4f-4223d6062a55/1581329203215.jpg</v>
      </c>
      <c r="O86" t="str">
        <f>HYPERLINK("https://www.commcarehq.org/a/demo-18/api/form/attachment/6cff6f7e-0337-43f5-af4f-4223d6062a55/1581329211652.jpg")</f>
        <v>https://www.commcarehq.org/a/demo-18/api/form/attachment/6cff6f7e-0337-43f5-af4f-4223d6062a55/1581329211652.jpg</v>
      </c>
      <c r="P86" t="str">
        <f>HYPERLINK("https://www.commcarehq.org/a/demo-18/api/form/attachment/6cff6f7e-0337-43f5-af4f-4223d6062a55/1581329227715.jpg")</f>
        <v>https://www.commcarehq.org/a/demo-18/api/form/attachment/6cff6f7e-0337-43f5-af4f-4223d6062a55/1581329227715.jpg</v>
      </c>
      <c r="Q86" t="str">
        <f>HYPERLINK("https://www.commcarehq.org/a/demo-18/api/form/attachment/6cff6f7e-0337-43f5-af4f-4223d6062a55/1581329236466.jpg")</f>
        <v>https://www.commcarehq.org/a/demo-18/api/form/attachment/6cff6f7e-0337-43f5-af4f-4223d6062a55/1581329236466.jpg</v>
      </c>
      <c r="R86" s="2">
        <v>43871.421736111108</v>
      </c>
      <c r="S86" s="2">
        <v>43871.420254629629</v>
      </c>
      <c r="T86" t="s">
        <v>32</v>
      </c>
      <c r="U86" s="2">
        <v>43871.422025462962</v>
      </c>
      <c r="V86" t="s">
        <v>1509</v>
      </c>
      <c r="W86" t="s">
        <v>1510</v>
      </c>
    </row>
    <row r="87" spans="1:23" x14ac:dyDescent="0.45">
      <c r="A87" t="s">
        <v>376</v>
      </c>
      <c r="B87">
        <v>5</v>
      </c>
      <c r="C87" s="1">
        <v>43880</v>
      </c>
      <c r="D87" s="1">
        <v>43850</v>
      </c>
      <c r="E87" t="s">
        <v>428</v>
      </c>
      <c r="F87" t="s">
        <v>429</v>
      </c>
      <c r="G87" t="s">
        <v>429</v>
      </c>
      <c r="H87" t="s">
        <v>429</v>
      </c>
      <c r="I87" t="s">
        <v>498</v>
      </c>
      <c r="J87" t="s">
        <v>428</v>
      </c>
      <c r="K87" t="s">
        <v>429</v>
      </c>
      <c r="L87" t="str">
        <f>HYPERLINK("https://www.commcarehq.org/a/demo-18/api/form/attachment/4fbe2b35-d1de-4ba8-a095-220787815fa8/1579511834004.jpg")</f>
        <v>https://www.commcarehq.org/a/demo-18/api/form/attachment/4fbe2b35-d1de-4ba8-a095-220787815fa8/1579511834004.jpg</v>
      </c>
      <c r="M87" t="str">
        <f>HYPERLINK("https://www.commcarehq.org/a/demo-18/api/form/attachment/4fbe2b35-d1de-4ba8-a095-220787815fa8/1579511847574.jpg")</f>
        <v>https://www.commcarehq.org/a/demo-18/api/form/attachment/4fbe2b35-d1de-4ba8-a095-220787815fa8/1579511847574.jpg</v>
      </c>
      <c r="N87" t="str">
        <f>HYPERLINK("https://www.commcarehq.org/a/demo-18/api/form/attachment/4fbe2b35-d1de-4ba8-a095-220787815fa8/1579511873661.jpg")</f>
        <v>https://www.commcarehq.org/a/demo-18/api/form/attachment/4fbe2b35-d1de-4ba8-a095-220787815fa8/1579511873661.jpg</v>
      </c>
      <c r="O87" t="str">
        <f>HYPERLINK("https://www.commcarehq.org/a/demo-18/api/form/attachment/4fbe2b35-d1de-4ba8-a095-220787815fa8/1579511883020.jpg")</f>
        <v>https://www.commcarehq.org/a/demo-18/api/form/attachment/4fbe2b35-d1de-4ba8-a095-220787815fa8/1579511883020.jpg</v>
      </c>
      <c r="P87" t="str">
        <f>HYPERLINK("https://www.commcarehq.org/a/demo-18/api/form/attachment/4fbe2b35-d1de-4ba8-a095-220787815fa8/1579511900470.jpg")</f>
        <v>https://www.commcarehq.org/a/demo-18/api/form/attachment/4fbe2b35-d1de-4ba8-a095-220787815fa8/1579511900470.jpg</v>
      </c>
      <c r="Q87" t="str">
        <f>HYPERLINK("https://www.commcarehq.org/a/demo-18/api/form/attachment/4fbe2b35-d1de-4ba8-a095-220787815fa8/1579511915393.jpg")</f>
        <v>https://www.commcarehq.org/a/demo-18/api/form/attachment/4fbe2b35-d1de-4ba8-a095-220787815fa8/1579511915393.jpg</v>
      </c>
      <c r="R87" s="2">
        <v>43850.387928240743</v>
      </c>
      <c r="S87" s="2">
        <v>43850.386597222219</v>
      </c>
      <c r="T87" t="s">
        <v>32</v>
      </c>
      <c r="U87" s="2">
        <v>43850.491168981483</v>
      </c>
      <c r="V87" t="s">
        <v>1209</v>
      </c>
      <c r="W87" t="s">
        <v>1210</v>
      </c>
    </row>
    <row r="88" spans="1:23" x14ac:dyDescent="0.45">
      <c r="A88" t="s">
        <v>346</v>
      </c>
      <c r="B88">
        <v>6.9</v>
      </c>
      <c r="C88" s="1">
        <v>43877</v>
      </c>
      <c r="D88" s="1">
        <v>43847</v>
      </c>
      <c r="E88" t="s">
        <v>428</v>
      </c>
      <c r="F88" t="s">
        <v>429</v>
      </c>
      <c r="G88" t="s">
        <v>429</v>
      </c>
      <c r="H88" t="s">
        <v>429</v>
      </c>
      <c r="I88" t="s">
        <v>498</v>
      </c>
      <c r="J88" t="s">
        <v>428</v>
      </c>
      <c r="K88" t="s">
        <v>429</v>
      </c>
      <c r="L88" t="str">
        <f>HYPERLINK("https://www.commcarehq.org/a/demo-18/api/form/attachment/5c28a041-aff6-43c6-8784-8135e67ba919/1579248339217.jpg")</f>
        <v>https://www.commcarehq.org/a/demo-18/api/form/attachment/5c28a041-aff6-43c6-8784-8135e67ba919/1579248339217.jpg</v>
      </c>
      <c r="M88" t="str">
        <f>HYPERLINK("https://www.commcarehq.org/a/demo-18/api/form/attachment/5c28a041-aff6-43c6-8784-8135e67ba919/1579248354064.jpg")</f>
        <v>https://www.commcarehq.org/a/demo-18/api/form/attachment/5c28a041-aff6-43c6-8784-8135e67ba919/1579248354064.jpg</v>
      </c>
      <c r="N88" t="str">
        <f>HYPERLINK("https://www.commcarehq.org/a/demo-18/api/form/attachment/5c28a041-aff6-43c6-8784-8135e67ba919/1579248478148.jpg")</f>
        <v>https://www.commcarehq.org/a/demo-18/api/form/attachment/5c28a041-aff6-43c6-8784-8135e67ba919/1579248478148.jpg</v>
      </c>
      <c r="O88" t="str">
        <f>HYPERLINK("https://www.commcarehq.org/a/demo-18/api/form/attachment/5c28a041-aff6-43c6-8784-8135e67ba919/1579248487569.jpg")</f>
        <v>https://www.commcarehq.org/a/demo-18/api/form/attachment/5c28a041-aff6-43c6-8784-8135e67ba919/1579248487569.jpg</v>
      </c>
      <c r="P88" t="str">
        <f>HYPERLINK("https://www.commcarehq.org/a/demo-18/api/form/attachment/5c28a041-aff6-43c6-8784-8135e67ba919/1579248507391.jpg")</f>
        <v>https://www.commcarehq.org/a/demo-18/api/form/attachment/5c28a041-aff6-43c6-8784-8135e67ba919/1579248507391.jpg</v>
      </c>
      <c r="Q88" t="str">
        <f>HYPERLINK("https://www.commcarehq.org/a/demo-18/api/form/attachment/5c28a041-aff6-43c6-8784-8135e67ba919/1579248516177.jpg")</f>
        <v>https://www.commcarehq.org/a/demo-18/api/form/attachment/5c28a041-aff6-43c6-8784-8135e67ba919/1579248516177.jpg</v>
      </c>
      <c r="R88" s="2">
        <v>43847.33934027778</v>
      </c>
      <c r="S88" s="2">
        <v>43847.336886574078</v>
      </c>
      <c r="T88" t="s">
        <v>32</v>
      </c>
      <c r="U88" s="2">
        <v>43847.339525462965</v>
      </c>
      <c r="V88" t="s">
        <v>1117</v>
      </c>
      <c r="W88" t="s">
        <v>1118</v>
      </c>
    </row>
    <row r="89" spans="1:23" x14ac:dyDescent="0.45">
      <c r="A89" t="s">
        <v>41</v>
      </c>
      <c r="B89">
        <v>7</v>
      </c>
      <c r="C89" s="1">
        <v>43884</v>
      </c>
      <c r="D89" s="1">
        <v>43854</v>
      </c>
      <c r="E89" t="s">
        <v>428</v>
      </c>
      <c r="F89" t="s">
        <v>429</v>
      </c>
      <c r="G89" t="s">
        <v>429</v>
      </c>
      <c r="H89" t="s">
        <v>429</v>
      </c>
      <c r="I89" t="s">
        <v>430</v>
      </c>
      <c r="J89" t="s">
        <v>1211</v>
      </c>
      <c r="K89" t="s">
        <v>1212</v>
      </c>
      <c r="L89" t="str">
        <f>HYPERLINK("https://www.commcarehq.org/a/demo-18/api/form/attachment/dda53d6b-c43c-4309-a3d5-0b00be81fbe7/1579848727216.jpg")</f>
        <v>https://www.commcarehq.org/a/demo-18/api/form/attachment/dda53d6b-c43c-4309-a3d5-0b00be81fbe7/1579848727216.jpg</v>
      </c>
      <c r="M89" t="str">
        <f>HYPERLINK("https://www.commcarehq.org/a/demo-18/api/form/attachment/dda53d6b-c43c-4309-a3d5-0b00be81fbe7/1579848741825.jpg")</f>
        <v>https://www.commcarehq.org/a/demo-18/api/form/attachment/dda53d6b-c43c-4309-a3d5-0b00be81fbe7/1579848741825.jpg</v>
      </c>
      <c r="N89" t="str">
        <f>HYPERLINK("https://www.commcarehq.org/a/demo-18/api/form/attachment/dda53d6b-c43c-4309-a3d5-0b00be81fbe7/1579848823221.jpg")</f>
        <v>https://www.commcarehq.org/a/demo-18/api/form/attachment/dda53d6b-c43c-4309-a3d5-0b00be81fbe7/1579848823221.jpg</v>
      </c>
      <c r="O89" t="str">
        <f>HYPERLINK("https://www.commcarehq.org/a/demo-18/api/form/attachment/dda53d6b-c43c-4309-a3d5-0b00be81fbe7/1579848833398.jpg")</f>
        <v>https://www.commcarehq.org/a/demo-18/api/form/attachment/dda53d6b-c43c-4309-a3d5-0b00be81fbe7/1579848833398.jpg</v>
      </c>
      <c r="P89" t="str">
        <f>HYPERLINK("https://www.commcarehq.org/a/demo-18/api/form/attachment/dda53d6b-c43c-4309-a3d5-0b00be81fbe7/1579848853369.jpg")</f>
        <v>https://www.commcarehq.org/a/demo-18/api/form/attachment/dda53d6b-c43c-4309-a3d5-0b00be81fbe7/1579848853369.jpg</v>
      </c>
      <c r="Q89" t="str">
        <f>HYPERLINK("https://www.commcarehq.org/a/demo-18/api/form/attachment/dda53d6b-c43c-4309-a3d5-0b00be81fbe7/1579848865366.jpg")</f>
        <v>https://www.commcarehq.org/a/demo-18/api/form/attachment/dda53d6b-c43c-4309-a3d5-0b00be81fbe7/1579848865366.jpg</v>
      </c>
      <c r="R89" s="2">
        <v>43854.287800925929</v>
      </c>
      <c r="S89" s="2">
        <v>43854.285543981481</v>
      </c>
      <c r="T89" t="s">
        <v>32</v>
      </c>
      <c r="U89" s="2">
        <v>43854.288032407407</v>
      </c>
      <c r="V89" t="s">
        <v>1213</v>
      </c>
      <c r="W89" t="s">
        <v>1214</v>
      </c>
    </row>
    <row r="90" spans="1:23" x14ac:dyDescent="0.45">
      <c r="A90" t="s">
        <v>71</v>
      </c>
      <c r="B90">
        <v>6.3</v>
      </c>
      <c r="C90" s="1">
        <v>43883</v>
      </c>
      <c r="D90" s="1">
        <v>43853</v>
      </c>
      <c r="E90" t="s">
        <v>428</v>
      </c>
      <c r="F90" t="s">
        <v>429</v>
      </c>
      <c r="G90" t="s">
        <v>429</v>
      </c>
      <c r="H90" t="s">
        <v>429</v>
      </c>
      <c r="I90" t="s">
        <v>447</v>
      </c>
      <c r="J90" t="s">
        <v>428</v>
      </c>
      <c r="K90" t="s">
        <v>429</v>
      </c>
      <c r="L90" t="str">
        <f>HYPERLINK("https://www.commcarehq.org/a/demo-18/api/form/attachment/60609dee-e024-4008-bc32-6b4f23b748a6/1579762184597.jpg")</f>
        <v>https://www.commcarehq.org/a/demo-18/api/form/attachment/60609dee-e024-4008-bc32-6b4f23b748a6/1579762184597.jpg</v>
      </c>
      <c r="M90" t="str">
        <f>HYPERLINK("https://www.commcarehq.org/a/demo-18/api/form/attachment/60609dee-e024-4008-bc32-6b4f23b748a6/1579762201230.jpg")</f>
        <v>https://www.commcarehq.org/a/demo-18/api/form/attachment/60609dee-e024-4008-bc32-6b4f23b748a6/1579762201230.jpg</v>
      </c>
      <c r="N90" t="str">
        <f>HYPERLINK("https://www.commcarehq.org/a/demo-18/api/form/attachment/60609dee-e024-4008-bc32-6b4f23b748a6/1579762249673.jpg")</f>
        <v>https://www.commcarehq.org/a/demo-18/api/form/attachment/60609dee-e024-4008-bc32-6b4f23b748a6/1579762249673.jpg</v>
      </c>
      <c r="O90" t="str">
        <f>HYPERLINK("https://www.commcarehq.org/a/demo-18/api/form/attachment/60609dee-e024-4008-bc32-6b4f23b748a6/1579762258665.jpg")</f>
        <v>https://www.commcarehq.org/a/demo-18/api/form/attachment/60609dee-e024-4008-bc32-6b4f23b748a6/1579762258665.jpg</v>
      </c>
      <c r="P90" t="str">
        <f>HYPERLINK("https://www.commcarehq.org/a/demo-18/api/form/attachment/60609dee-e024-4008-bc32-6b4f23b748a6/1579762275794.jpg")</f>
        <v>https://www.commcarehq.org/a/demo-18/api/form/attachment/60609dee-e024-4008-bc32-6b4f23b748a6/1579762275794.jpg</v>
      </c>
      <c r="Q90" t="str">
        <f>HYPERLINK("https://www.commcarehq.org/a/demo-18/api/form/attachment/60609dee-e024-4008-bc32-6b4f23b748a6/1579762288382.jpg")</f>
        <v>https://www.commcarehq.org/a/demo-18/api/form/attachment/60609dee-e024-4008-bc32-6b4f23b748a6/1579762288382.jpg</v>
      </c>
      <c r="R90" s="2">
        <v>43853.285763888889</v>
      </c>
      <c r="S90" s="2">
        <v>43853.284282407411</v>
      </c>
      <c r="T90" t="s">
        <v>32</v>
      </c>
      <c r="U90" s="2">
        <v>43853.357430555552</v>
      </c>
      <c r="V90" t="s">
        <v>1215</v>
      </c>
      <c r="W90" t="s">
        <v>1216</v>
      </c>
    </row>
    <row r="91" spans="1:23" x14ac:dyDescent="0.45">
      <c r="A91" t="s">
        <v>193</v>
      </c>
      <c r="B91">
        <v>5.7</v>
      </c>
      <c r="C91" s="1">
        <v>43883</v>
      </c>
      <c r="D91" s="1">
        <v>43853</v>
      </c>
      <c r="E91" t="s">
        <v>428</v>
      </c>
      <c r="F91" t="s">
        <v>429</v>
      </c>
      <c r="G91" t="s">
        <v>429</v>
      </c>
      <c r="H91" t="s">
        <v>429</v>
      </c>
      <c r="I91" t="s">
        <v>498</v>
      </c>
      <c r="J91" t="s">
        <v>428</v>
      </c>
      <c r="K91" t="s">
        <v>429</v>
      </c>
      <c r="L91" t="str">
        <f>HYPERLINK("https://www.commcarehq.org/a/demo-18/api/form/attachment/37228b01-f1c4-407f-b9b2-a083dac4848d/1579763992051.jpg")</f>
        <v>https://www.commcarehq.org/a/demo-18/api/form/attachment/37228b01-f1c4-407f-b9b2-a083dac4848d/1579763992051.jpg</v>
      </c>
      <c r="M91" t="str">
        <f>HYPERLINK("https://www.commcarehq.org/a/demo-18/api/form/attachment/37228b01-f1c4-407f-b9b2-a083dac4848d/1579764009154.jpg")</f>
        <v>https://www.commcarehq.org/a/demo-18/api/form/attachment/37228b01-f1c4-407f-b9b2-a083dac4848d/1579764009154.jpg</v>
      </c>
      <c r="N91" t="str">
        <f>HYPERLINK("https://www.commcarehq.org/a/demo-18/api/form/attachment/37228b01-f1c4-407f-b9b2-a083dac4848d/1579764147121.jpg")</f>
        <v>https://www.commcarehq.org/a/demo-18/api/form/attachment/37228b01-f1c4-407f-b9b2-a083dac4848d/1579764147121.jpg</v>
      </c>
      <c r="O91" t="str">
        <f>HYPERLINK("https://www.commcarehq.org/a/demo-18/api/form/attachment/37228b01-f1c4-407f-b9b2-a083dac4848d/1579764156754.jpg")</f>
        <v>https://www.commcarehq.org/a/demo-18/api/form/attachment/37228b01-f1c4-407f-b9b2-a083dac4848d/1579764156754.jpg</v>
      </c>
      <c r="P91" t="str">
        <f>HYPERLINK("https://www.commcarehq.org/a/demo-18/api/form/attachment/37228b01-f1c4-407f-b9b2-a083dac4848d/1579764174003.jpg")</f>
        <v>https://www.commcarehq.org/a/demo-18/api/form/attachment/37228b01-f1c4-407f-b9b2-a083dac4848d/1579764174003.jpg</v>
      </c>
      <c r="Q91" t="str">
        <f>HYPERLINK("https://www.commcarehq.org/a/demo-18/api/form/attachment/37228b01-f1c4-407f-b9b2-a083dac4848d/1579764183825.jpg")</f>
        <v>https://www.commcarehq.org/a/demo-18/api/form/attachment/37228b01-f1c4-407f-b9b2-a083dac4848d/1579764183825.jpg</v>
      </c>
      <c r="R91" s="2">
        <v>43853.307696759257</v>
      </c>
      <c r="S91" s="2">
        <v>43853.304791666669</v>
      </c>
      <c r="T91" t="s">
        <v>32</v>
      </c>
      <c r="U91" s="2">
        <v>43853.358854166669</v>
      </c>
      <c r="V91" t="s">
        <v>1217</v>
      </c>
      <c r="W91" t="s">
        <v>1218</v>
      </c>
    </row>
    <row r="92" spans="1:23" x14ac:dyDescent="0.45">
      <c r="A92" t="s">
        <v>181</v>
      </c>
      <c r="B92">
        <v>5.4</v>
      </c>
      <c r="C92" s="1">
        <v>43883</v>
      </c>
      <c r="D92" s="1">
        <v>43853</v>
      </c>
      <c r="E92" t="s">
        <v>428</v>
      </c>
      <c r="F92" t="s">
        <v>429</v>
      </c>
      <c r="G92" t="s">
        <v>429</v>
      </c>
      <c r="H92" t="s">
        <v>429</v>
      </c>
      <c r="I92" t="s">
        <v>447</v>
      </c>
      <c r="J92" t="s">
        <v>428</v>
      </c>
      <c r="K92" t="s">
        <v>429</v>
      </c>
      <c r="L92" t="str">
        <f>HYPERLINK("https://www.commcarehq.org/a/demo-18/api/form/attachment/d4f42a81-a38f-4055-ac95-195ed6323be2/1579763748162.jpg")</f>
        <v>https://www.commcarehq.org/a/demo-18/api/form/attachment/d4f42a81-a38f-4055-ac95-195ed6323be2/1579763748162.jpg</v>
      </c>
      <c r="M92" t="str">
        <f>HYPERLINK("https://www.commcarehq.org/a/demo-18/api/form/attachment/d4f42a81-a38f-4055-ac95-195ed6323be2/1579763769122.jpg")</f>
        <v>https://www.commcarehq.org/a/demo-18/api/form/attachment/d4f42a81-a38f-4055-ac95-195ed6323be2/1579763769122.jpg</v>
      </c>
      <c r="N92" t="str">
        <f>HYPERLINK("https://www.commcarehq.org/a/demo-18/api/form/attachment/d4f42a81-a38f-4055-ac95-195ed6323be2/1579763819413.jpg")</f>
        <v>https://www.commcarehq.org/a/demo-18/api/form/attachment/d4f42a81-a38f-4055-ac95-195ed6323be2/1579763819413.jpg</v>
      </c>
      <c r="O92" t="str">
        <f>HYPERLINK("https://www.commcarehq.org/a/demo-18/api/form/attachment/d4f42a81-a38f-4055-ac95-195ed6323be2/1579763828003.jpg")</f>
        <v>https://www.commcarehq.org/a/demo-18/api/form/attachment/d4f42a81-a38f-4055-ac95-195ed6323be2/1579763828003.jpg</v>
      </c>
      <c r="P92" t="str">
        <f>HYPERLINK("https://www.commcarehq.org/a/demo-18/api/form/attachment/d4f42a81-a38f-4055-ac95-195ed6323be2/1579763846750.jpg")</f>
        <v>https://www.commcarehq.org/a/demo-18/api/form/attachment/d4f42a81-a38f-4055-ac95-195ed6323be2/1579763846750.jpg</v>
      </c>
      <c r="Q92" t="str">
        <f>HYPERLINK("https://www.commcarehq.org/a/demo-18/api/form/attachment/d4f42a81-a38f-4055-ac95-195ed6323be2/1579763856226.jpg")</f>
        <v>https://www.commcarehq.org/a/demo-18/api/form/attachment/d4f42a81-a38f-4055-ac95-195ed6323be2/1579763856226.jpg</v>
      </c>
      <c r="R92" s="2">
        <v>43853.303912037038</v>
      </c>
      <c r="S92" s="2">
        <v>43853.302372685182</v>
      </c>
      <c r="T92" t="s">
        <v>32</v>
      </c>
      <c r="U92" s="2">
        <v>43853.358599537038</v>
      </c>
      <c r="V92" t="s">
        <v>1219</v>
      </c>
      <c r="W92" t="s">
        <v>1220</v>
      </c>
    </row>
    <row r="93" spans="1:23" x14ac:dyDescent="0.45">
      <c r="A93" t="s">
        <v>19</v>
      </c>
      <c r="B93">
        <v>6</v>
      </c>
      <c r="C93" s="1">
        <v>43873</v>
      </c>
      <c r="D93" s="1">
        <v>43843</v>
      </c>
      <c r="E93" t="s">
        <v>428</v>
      </c>
      <c r="F93" t="s">
        <v>429</v>
      </c>
      <c r="G93" t="s">
        <v>429</v>
      </c>
      <c r="H93" t="s">
        <v>429</v>
      </c>
      <c r="I93" t="s">
        <v>498</v>
      </c>
      <c r="J93" t="s">
        <v>428</v>
      </c>
      <c r="K93" t="s">
        <v>429</v>
      </c>
      <c r="L93" t="str">
        <f>HYPERLINK("https://www.commcarehq.org/a/demo-18/api/form/attachment/b64ee9f2-a2a5-4e9d-abc7-0ed6ba844e11/1578904988019.jpg")</f>
        <v>https://www.commcarehq.org/a/demo-18/api/form/attachment/b64ee9f2-a2a5-4e9d-abc7-0ed6ba844e11/1578904988019.jpg</v>
      </c>
      <c r="M93" t="str">
        <f>HYPERLINK("https://www.commcarehq.org/a/demo-18/api/form/attachment/b64ee9f2-a2a5-4e9d-abc7-0ed6ba844e11/1578905011053.jpg")</f>
        <v>https://www.commcarehq.org/a/demo-18/api/form/attachment/b64ee9f2-a2a5-4e9d-abc7-0ed6ba844e11/1578905011053.jpg</v>
      </c>
      <c r="N93" t="str">
        <f>HYPERLINK("https://www.commcarehq.org/a/demo-18/api/form/attachment/b64ee9f2-a2a5-4e9d-abc7-0ed6ba844e11/1578905155101.jpg")</f>
        <v>https://www.commcarehq.org/a/demo-18/api/form/attachment/b64ee9f2-a2a5-4e9d-abc7-0ed6ba844e11/1578905155101.jpg</v>
      </c>
      <c r="O93" t="str">
        <f>HYPERLINK("https://www.commcarehq.org/a/demo-18/api/form/attachment/b64ee9f2-a2a5-4e9d-abc7-0ed6ba844e11/1578905166914.jpg")</f>
        <v>https://www.commcarehq.org/a/demo-18/api/form/attachment/b64ee9f2-a2a5-4e9d-abc7-0ed6ba844e11/1578905166914.jpg</v>
      </c>
      <c r="P93" t="str">
        <f>HYPERLINK("https://www.commcarehq.org/a/demo-18/api/form/attachment/b64ee9f2-a2a5-4e9d-abc7-0ed6ba844e11/1578905196030.jpg")</f>
        <v>https://www.commcarehq.org/a/demo-18/api/form/attachment/b64ee9f2-a2a5-4e9d-abc7-0ed6ba844e11/1578905196030.jpg</v>
      </c>
      <c r="Q93" t="str">
        <f>HYPERLINK("https://www.commcarehq.org/a/demo-18/api/form/attachment/b64ee9f2-a2a5-4e9d-abc7-0ed6ba844e11/1578905216436.jpg")</f>
        <v>https://www.commcarehq.org/a/demo-18/api/form/attachment/b64ee9f2-a2a5-4e9d-abc7-0ed6ba844e11/1578905216436.jpg</v>
      </c>
      <c r="R93" s="2">
        <v>43843.365949074076</v>
      </c>
      <c r="S93" s="2">
        <v>43843.362164351849</v>
      </c>
      <c r="T93" t="s">
        <v>32</v>
      </c>
      <c r="U93" s="2">
        <v>43843.36613425926</v>
      </c>
      <c r="V93" t="s">
        <v>1031</v>
      </c>
      <c r="W93" t="s">
        <v>1032</v>
      </c>
    </row>
    <row r="94" spans="1:23" x14ac:dyDescent="0.45">
      <c r="A94" t="s">
        <v>274</v>
      </c>
      <c r="B94">
        <v>5.7</v>
      </c>
      <c r="C94" s="1">
        <v>43877</v>
      </c>
      <c r="D94" s="1">
        <v>43847</v>
      </c>
      <c r="E94" t="s">
        <v>428</v>
      </c>
      <c r="F94" t="s">
        <v>429</v>
      </c>
      <c r="G94" t="s">
        <v>429</v>
      </c>
      <c r="H94" t="s">
        <v>429</v>
      </c>
      <c r="I94" t="s">
        <v>1127</v>
      </c>
      <c r="J94" t="s">
        <v>428</v>
      </c>
      <c r="K94" t="s">
        <v>429</v>
      </c>
      <c r="L94" t="str">
        <f>HYPERLINK("https://www.commcarehq.org/a/demo-18/api/form/attachment/a05993cc-7f01-4269-a14a-b2b177d3ae76/1579245759505.jpg")</f>
        <v>https://www.commcarehq.org/a/demo-18/api/form/attachment/a05993cc-7f01-4269-a14a-b2b177d3ae76/1579245759505.jpg</v>
      </c>
      <c r="M94" t="str">
        <f>HYPERLINK("https://www.commcarehq.org/a/demo-18/api/form/attachment/a05993cc-7f01-4269-a14a-b2b177d3ae76/1579245777267.jpg")</f>
        <v>https://www.commcarehq.org/a/demo-18/api/form/attachment/a05993cc-7f01-4269-a14a-b2b177d3ae76/1579245777267.jpg</v>
      </c>
      <c r="N94" t="str">
        <f>HYPERLINK("https://www.commcarehq.org/a/demo-18/api/form/attachment/a05993cc-7f01-4269-a14a-b2b177d3ae76/1579245817683.jpg")</f>
        <v>https://www.commcarehq.org/a/demo-18/api/form/attachment/a05993cc-7f01-4269-a14a-b2b177d3ae76/1579245817683.jpg</v>
      </c>
      <c r="O94" t="str">
        <f>HYPERLINK("https://www.commcarehq.org/a/demo-18/api/form/attachment/a05993cc-7f01-4269-a14a-b2b177d3ae76/1579245827030.jpg")</f>
        <v>https://www.commcarehq.org/a/demo-18/api/form/attachment/a05993cc-7f01-4269-a14a-b2b177d3ae76/1579245827030.jpg</v>
      </c>
      <c r="P94" t="str">
        <f>HYPERLINK("https://www.commcarehq.org/a/demo-18/api/form/attachment/a05993cc-7f01-4269-a14a-b2b177d3ae76/1579245846646.jpg")</f>
        <v>https://www.commcarehq.org/a/demo-18/api/form/attachment/a05993cc-7f01-4269-a14a-b2b177d3ae76/1579245846646.jpg</v>
      </c>
      <c r="Q94" t="str">
        <f>HYPERLINK("https://www.commcarehq.org/a/demo-18/api/form/attachment/a05993cc-7f01-4269-a14a-b2b177d3ae76/1579245856134.jpg")</f>
        <v>https://www.commcarehq.org/a/demo-18/api/form/attachment/a05993cc-7f01-4269-a14a-b2b177d3ae76/1579245856134.jpg</v>
      </c>
      <c r="R94" s="2">
        <v>43847.308541666665</v>
      </c>
      <c r="S94" s="2">
        <v>43847.306805555556</v>
      </c>
      <c r="T94" t="s">
        <v>32</v>
      </c>
      <c r="U94" s="2">
        <v>43847.30878472222</v>
      </c>
      <c r="V94" t="s">
        <v>1128</v>
      </c>
      <c r="W94" t="s">
        <v>1129</v>
      </c>
    </row>
    <row r="95" spans="1:23" x14ac:dyDescent="0.45">
      <c r="A95" t="s">
        <v>137</v>
      </c>
      <c r="B95">
        <v>4.2</v>
      </c>
      <c r="C95" s="1">
        <v>43868</v>
      </c>
      <c r="D95" s="1">
        <v>43838</v>
      </c>
      <c r="E95" t="s">
        <v>428</v>
      </c>
      <c r="F95" t="s">
        <v>429</v>
      </c>
      <c r="G95" t="s">
        <v>429</v>
      </c>
      <c r="H95" t="s">
        <v>429</v>
      </c>
      <c r="I95" t="s">
        <v>430</v>
      </c>
      <c r="J95" t="s">
        <v>428</v>
      </c>
      <c r="K95" t="s">
        <v>429</v>
      </c>
      <c r="L95" t="str">
        <f>HYPERLINK("https://www.commcarehq.org/a/demo-18/api/form/attachment/7a6a2e9d-8385-419c-9f8f-1d4272869b60/1578468968259.jpg")</f>
        <v>https://www.commcarehq.org/a/demo-18/api/form/attachment/7a6a2e9d-8385-419c-9f8f-1d4272869b60/1578468968259.jpg</v>
      </c>
      <c r="M95" t="str">
        <f>HYPERLINK("https://www.commcarehq.org/a/demo-18/api/form/attachment/7a6a2e9d-8385-419c-9f8f-1d4272869b60/1578468991579.jpg")</f>
        <v>https://www.commcarehq.org/a/demo-18/api/form/attachment/7a6a2e9d-8385-419c-9f8f-1d4272869b60/1578468991579.jpg</v>
      </c>
      <c r="N95" t="str">
        <f>HYPERLINK("https://www.commcarehq.org/a/demo-18/api/form/attachment/7a6a2e9d-8385-419c-9f8f-1d4272869b60/1578469114434.jpg")</f>
        <v>https://www.commcarehq.org/a/demo-18/api/form/attachment/7a6a2e9d-8385-419c-9f8f-1d4272869b60/1578469114434.jpg</v>
      </c>
      <c r="O95" t="str">
        <f>HYPERLINK("https://www.commcarehq.org/a/demo-18/api/form/attachment/7a6a2e9d-8385-419c-9f8f-1d4272869b60/1578469126620.jpg")</f>
        <v>https://www.commcarehq.org/a/demo-18/api/form/attachment/7a6a2e9d-8385-419c-9f8f-1d4272869b60/1578469126620.jpg</v>
      </c>
      <c r="P95" t="str">
        <f>HYPERLINK("https://www.commcarehq.org/a/demo-18/api/form/attachment/7a6a2e9d-8385-419c-9f8f-1d4272869b60/1578469167846.jpg")</f>
        <v>https://www.commcarehq.org/a/demo-18/api/form/attachment/7a6a2e9d-8385-419c-9f8f-1d4272869b60/1578469167846.jpg</v>
      </c>
      <c r="Q95" t="str">
        <f>HYPERLINK("https://www.commcarehq.org/a/demo-18/api/form/attachment/7a6a2e9d-8385-419c-9f8f-1d4272869b60/1578469181670.jpg")</f>
        <v>https://www.commcarehq.org/a/demo-18/api/form/attachment/7a6a2e9d-8385-419c-9f8f-1d4272869b60/1578469181670.jpg</v>
      </c>
      <c r="R95" s="2">
        <v>43838.31927083333</v>
      </c>
      <c r="S95" s="2">
        <v>43838.316203703704</v>
      </c>
      <c r="T95" t="s">
        <v>32</v>
      </c>
      <c r="U95" s="2">
        <v>43838.319699074076</v>
      </c>
      <c r="V95" t="s">
        <v>987</v>
      </c>
      <c r="W95" t="s">
        <v>988</v>
      </c>
    </row>
    <row r="96" spans="1:23" x14ac:dyDescent="0.45">
      <c r="A96" t="s">
        <v>119</v>
      </c>
      <c r="B96">
        <v>4.8</v>
      </c>
      <c r="C96" s="1">
        <v>43875</v>
      </c>
      <c r="D96" s="1">
        <v>43845</v>
      </c>
      <c r="E96" t="s">
        <v>428</v>
      </c>
      <c r="F96" t="s">
        <v>429</v>
      </c>
      <c r="G96" t="s">
        <v>429</v>
      </c>
      <c r="H96" t="s">
        <v>429</v>
      </c>
      <c r="I96" t="s">
        <v>498</v>
      </c>
      <c r="J96" t="s">
        <v>428</v>
      </c>
      <c r="K96" t="s">
        <v>429</v>
      </c>
      <c r="L96" t="str">
        <f>HYPERLINK("https://www.commcarehq.org/a/demo-18/api/form/attachment/07b55077-4ea3-4b3c-9340-faa29269b589/1579077123348.jpg")</f>
        <v>https://www.commcarehq.org/a/demo-18/api/form/attachment/07b55077-4ea3-4b3c-9340-faa29269b589/1579077123348.jpg</v>
      </c>
      <c r="M96" t="str">
        <f>HYPERLINK("https://www.commcarehq.org/a/demo-18/api/form/attachment/07b55077-4ea3-4b3c-9340-faa29269b589/1579077139824.jpg")</f>
        <v>https://www.commcarehq.org/a/demo-18/api/form/attachment/07b55077-4ea3-4b3c-9340-faa29269b589/1579077139824.jpg</v>
      </c>
      <c r="N96" t="str">
        <f>HYPERLINK("https://www.commcarehq.org/a/demo-18/api/form/attachment/07b55077-4ea3-4b3c-9340-faa29269b589/1579077190655.jpg")</f>
        <v>https://www.commcarehq.org/a/demo-18/api/form/attachment/07b55077-4ea3-4b3c-9340-faa29269b589/1579077190655.jpg</v>
      </c>
      <c r="O96" t="str">
        <f>HYPERLINK("https://www.commcarehq.org/a/demo-18/api/form/attachment/07b55077-4ea3-4b3c-9340-faa29269b589/1579077200474.jpg")</f>
        <v>https://www.commcarehq.org/a/demo-18/api/form/attachment/07b55077-4ea3-4b3c-9340-faa29269b589/1579077200474.jpg</v>
      </c>
      <c r="P96" t="str">
        <f>HYPERLINK("https://www.commcarehq.org/a/demo-18/api/form/attachment/07b55077-4ea3-4b3c-9340-faa29269b589/1579077236996.jpg")</f>
        <v>https://www.commcarehq.org/a/demo-18/api/form/attachment/07b55077-4ea3-4b3c-9340-faa29269b589/1579077236996.jpg</v>
      </c>
      <c r="Q96" t="str">
        <f>HYPERLINK("https://www.commcarehq.org/a/demo-18/api/form/attachment/07b55077-4ea3-4b3c-9340-faa29269b589/1579077248524.jpg")</f>
        <v>https://www.commcarehq.org/a/demo-18/api/form/attachment/07b55077-4ea3-4b3c-9340-faa29269b589/1579077248524.jpg</v>
      </c>
      <c r="R96" s="2">
        <v>43845.357094907406</v>
      </c>
      <c r="S96" s="2">
        <v>43845.355196759258</v>
      </c>
      <c r="T96" t="s">
        <v>32</v>
      </c>
      <c r="U96" s="2">
        <v>43845.357291666667</v>
      </c>
      <c r="V96" t="s">
        <v>1068</v>
      </c>
      <c r="W96" t="s">
        <v>1069</v>
      </c>
    </row>
    <row r="97" spans="1:23" x14ac:dyDescent="0.45">
      <c r="A97" t="s">
        <v>184</v>
      </c>
      <c r="B97">
        <v>6.2</v>
      </c>
      <c r="C97" s="1">
        <v>43884</v>
      </c>
      <c r="D97" s="1">
        <v>43854</v>
      </c>
      <c r="E97" t="s">
        <v>428</v>
      </c>
      <c r="F97" t="s">
        <v>429</v>
      </c>
      <c r="G97" t="s">
        <v>429</v>
      </c>
      <c r="H97" t="s">
        <v>429</v>
      </c>
      <c r="I97" t="s">
        <v>447</v>
      </c>
      <c r="J97" t="s">
        <v>428</v>
      </c>
      <c r="K97" t="s">
        <v>429</v>
      </c>
      <c r="L97" t="str">
        <f>HYPERLINK("https://www.commcarehq.org/a/demo-18/api/form/attachment/aeff77a8-b85e-4173-9086-ba1c2938d929/1579849132055.jpg")</f>
        <v>https://www.commcarehq.org/a/demo-18/api/form/attachment/aeff77a8-b85e-4173-9086-ba1c2938d929/1579849132055.jpg</v>
      </c>
      <c r="M97" t="str">
        <f>HYPERLINK("https://www.commcarehq.org/a/demo-18/api/form/attachment/aeff77a8-b85e-4173-9086-ba1c2938d929/1579849152564.jpg")</f>
        <v>https://www.commcarehq.org/a/demo-18/api/form/attachment/aeff77a8-b85e-4173-9086-ba1c2938d929/1579849152564.jpg</v>
      </c>
      <c r="N97" t="str">
        <f>HYPERLINK("https://www.commcarehq.org/a/demo-18/api/form/attachment/aeff77a8-b85e-4173-9086-ba1c2938d929/1579849203409.jpg")</f>
        <v>https://www.commcarehq.org/a/demo-18/api/form/attachment/aeff77a8-b85e-4173-9086-ba1c2938d929/1579849203409.jpg</v>
      </c>
      <c r="O97" t="str">
        <f>HYPERLINK("https://www.commcarehq.org/a/demo-18/api/form/attachment/aeff77a8-b85e-4173-9086-ba1c2938d929/1579849212047.jpg")</f>
        <v>https://www.commcarehq.org/a/demo-18/api/form/attachment/aeff77a8-b85e-4173-9086-ba1c2938d929/1579849212047.jpg</v>
      </c>
      <c r="P97" t="str">
        <f>HYPERLINK("https://www.commcarehq.org/a/demo-18/api/form/attachment/aeff77a8-b85e-4173-9086-ba1c2938d929/1579849247909.jpg")</f>
        <v>https://www.commcarehq.org/a/demo-18/api/form/attachment/aeff77a8-b85e-4173-9086-ba1c2938d929/1579849247909.jpg</v>
      </c>
      <c r="Q97" t="str">
        <f>HYPERLINK("https://www.commcarehq.org/a/demo-18/api/form/attachment/aeff77a8-b85e-4173-9086-ba1c2938d929/1579849261352.jpg")</f>
        <v>https://www.commcarehq.org/a/demo-18/api/form/attachment/aeff77a8-b85e-4173-9086-ba1c2938d929/1579849261352.jpg</v>
      </c>
      <c r="R97" s="2">
        <v>43854.292395833334</v>
      </c>
      <c r="S97" s="2">
        <v>43854.290324074071</v>
      </c>
      <c r="T97" t="s">
        <v>32</v>
      </c>
      <c r="U97" s="2">
        <v>43854.292627314811</v>
      </c>
      <c r="V97" t="s">
        <v>1225</v>
      </c>
      <c r="W97" t="s">
        <v>1226</v>
      </c>
    </row>
    <row r="98" spans="1:23" x14ac:dyDescent="0.45">
      <c r="A98" t="s">
        <v>208</v>
      </c>
      <c r="B98">
        <v>4.5999999999999996</v>
      </c>
      <c r="C98" s="1">
        <v>43880</v>
      </c>
      <c r="D98" s="1">
        <v>43850</v>
      </c>
      <c r="E98" t="s">
        <v>428</v>
      </c>
      <c r="F98" t="s">
        <v>429</v>
      </c>
      <c r="G98" t="s">
        <v>429</v>
      </c>
      <c r="H98" t="s">
        <v>429</v>
      </c>
      <c r="I98" t="s">
        <v>498</v>
      </c>
      <c r="J98" t="s">
        <v>428</v>
      </c>
      <c r="K98" t="s">
        <v>429</v>
      </c>
      <c r="L98" t="str">
        <f>HYPERLINK("https://www.commcarehq.org/a/demo-18/api/form/attachment/96506ea5-bee7-476b-8954-b88df2e6f61a/1579505462220.jpg")</f>
        <v>https://www.commcarehq.org/a/demo-18/api/form/attachment/96506ea5-bee7-476b-8954-b88df2e6f61a/1579505462220.jpg</v>
      </c>
      <c r="M98" t="str">
        <f>HYPERLINK("https://www.commcarehq.org/a/demo-18/api/form/attachment/96506ea5-bee7-476b-8954-b88df2e6f61a/1579505477816.jpg")</f>
        <v>https://www.commcarehq.org/a/demo-18/api/form/attachment/96506ea5-bee7-476b-8954-b88df2e6f61a/1579505477816.jpg</v>
      </c>
      <c r="N98" t="str">
        <f>HYPERLINK("https://www.commcarehq.org/a/demo-18/api/form/attachment/96506ea5-bee7-476b-8954-b88df2e6f61a/1579505516068.jpg")</f>
        <v>https://www.commcarehq.org/a/demo-18/api/form/attachment/96506ea5-bee7-476b-8954-b88df2e6f61a/1579505516068.jpg</v>
      </c>
      <c r="O98" t="str">
        <f>HYPERLINK("https://www.commcarehq.org/a/demo-18/api/form/attachment/96506ea5-bee7-476b-8954-b88df2e6f61a/1579505525663.jpg")</f>
        <v>https://www.commcarehq.org/a/demo-18/api/form/attachment/96506ea5-bee7-476b-8954-b88df2e6f61a/1579505525663.jpg</v>
      </c>
      <c r="P98" t="str">
        <f>HYPERLINK("https://www.commcarehq.org/a/demo-18/api/form/attachment/96506ea5-bee7-476b-8954-b88df2e6f61a/1579505539579.jpg")</f>
        <v>https://www.commcarehq.org/a/demo-18/api/form/attachment/96506ea5-bee7-476b-8954-b88df2e6f61a/1579505539579.jpg</v>
      </c>
      <c r="Q98" t="str">
        <f>HYPERLINK("https://www.commcarehq.org/a/demo-18/api/form/attachment/96506ea5-bee7-476b-8954-b88df2e6f61a/1579505549888.jpg")</f>
        <v>https://www.commcarehq.org/a/demo-18/api/form/attachment/96506ea5-bee7-476b-8954-b88df2e6f61a/1579505549888.jpg</v>
      </c>
      <c r="R98" s="2">
        <v>43850.314247685186</v>
      </c>
      <c r="S98" s="2">
        <v>43850.312916666669</v>
      </c>
      <c r="T98" t="s">
        <v>32</v>
      </c>
      <c r="U98" s="2">
        <v>43850.314467592594</v>
      </c>
      <c r="V98" t="s">
        <v>1130</v>
      </c>
      <c r="W98" t="s">
        <v>1131</v>
      </c>
    </row>
    <row r="99" spans="1:23" x14ac:dyDescent="0.45">
      <c r="A99" t="s">
        <v>205</v>
      </c>
      <c r="B99">
        <v>5.4</v>
      </c>
      <c r="C99" s="1">
        <v>43882</v>
      </c>
      <c r="D99" s="1">
        <v>43852</v>
      </c>
      <c r="E99" t="s">
        <v>428</v>
      </c>
      <c r="F99" t="s">
        <v>429</v>
      </c>
      <c r="G99" t="s">
        <v>429</v>
      </c>
      <c r="H99" t="s">
        <v>429</v>
      </c>
      <c r="I99" t="s">
        <v>498</v>
      </c>
      <c r="J99" t="s">
        <v>428</v>
      </c>
      <c r="K99" t="s">
        <v>429</v>
      </c>
      <c r="L99" t="str">
        <f>HYPERLINK("https://www.commcarehq.org/a/demo-18/api/form/attachment/9487d3d8-2e66-4345-b478-0a45e59938f8/1579679609490.jpg")</f>
        <v>https://www.commcarehq.org/a/demo-18/api/form/attachment/9487d3d8-2e66-4345-b478-0a45e59938f8/1579679609490.jpg</v>
      </c>
      <c r="M99" t="str">
        <f>HYPERLINK("https://www.commcarehq.org/a/demo-18/api/form/attachment/9487d3d8-2e66-4345-b478-0a45e59938f8/1579679622868.jpg")</f>
        <v>https://www.commcarehq.org/a/demo-18/api/form/attachment/9487d3d8-2e66-4345-b478-0a45e59938f8/1579679622868.jpg</v>
      </c>
      <c r="N99" t="str">
        <f>HYPERLINK("https://www.commcarehq.org/a/demo-18/api/form/attachment/9487d3d8-2e66-4345-b478-0a45e59938f8/1579679663388.jpg")</f>
        <v>https://www.commcarehq.org/a/demo-18/api/form/attachment/9487d3d8-2e66-4345-b478-0a45e59938f8/1579679663388.jpg</v>
      </c>
      <c r="O99" t="str">
        <f>HYPERLINK("https://www.commcarehq.org/a/demo-18/api/form/attachment/9487d3d8-2e66-4345-b478-0a45e59938f8/1579679673128.jpg")</f>
        <v>https://www.commcarehq.org/a/demo-18/api/form/attachment/9487d3d8-2e66-4345-b478-0a45e59938f8/1579679673128.jpg</v>
      </c>
      <c r="P99" t="str">
        <f>HYPERLINK("https://www.commcarehq.org/a/demo-18/api/form/attachment/9487d3d8-2e66-4345-b478-0a45e59938f8/1579679686243.jpg")</f>
        <v>https://www.commcarehq.org/a/demo-18/api/form/attachment/9487d3d8-2e66-4345-b478-0a45e59938f8/1579679686243.jpg</v>
      </c>
      <c r="Q99" t="str">
        <f>HYPERLINK("https://www.commcarehq.org/a/demo-18/api/form/attachment/9487d3d8-2e66-4345-b478-0a45e59938f8/1579679695741.jpg")</f>
        <v>https://www.commcarehq.org/a/demo-18/api/form/attachment/9487d3d8-2e66-4345-b478-0a45e59938f8/1579679695741.jpg</v>
      </c>
      <c r="R99" s="2">
        <v>43852.329837962963</v>
      </c>
      <c r="S99" s="2">
        <v>43852.328553240739</v>
      </c>
      <c r="T99" t="s">
        <v>32</v>
      </c>
      <c r="U99" s="2">
        <v>43852.330023148148</v>
      </c>
      <c r="V99" t="s">
        <v>1227</v>
      </c>
      <c r="W99" t="s">
        <v>1228</v>
      </c>
    </row>
    <row r="100" spans="1:23" x14ac:dyDescent="0.45">
      <c r="A100" t="s">
        <v>373</v>
      </c>
      <c r="B100">
        <v>6.4</v>
      </c>
      <c r="C100" s="1">
        <v>43889</v>
      </c>
      <c r="D100" s="1">
        <v>43859</v>
      </c>
      <c r="E100" t="s">
        <v>428</v>
      </c>
      <c r="F100" t="s">
        <v>429</v>
      </c>
      <c r="G100" t="s">
        <v>429</v>
      </c>
      <c r="H100" t="s">
        <v>429</v>
      </c>
      <c r="I100" t="s">
        <v>447</v>
      </c>
      <c r="J100" t="s">
        <v>428</v>
      </c>
      <c r="K100" t="s">
        <v>429</v>
      </c>
      <c r="L100" t="str">
        <f>HYPERLINK("https://www.commcarehq.org/a/demo-18/api/form/attachment/2254306f-170c-41b1-bc61-7dda377669e9/1580280339468.jpg")</f>
        <v>https://www.commcarehq.org/a/demo-18/api/form/attachment/2254306f-170c-41b1-bc61-7dda377669e9/1580280339468.jpg</v>
      </c>
      <c r="M100" t="str">
        <f>HYPERLINK("https://www.commcarehq.org/a/demo-18/api/form/attachment/2254306f-170c-41b1-bc61-7dda377669e9/1580280356536.jpg")</f>
        <v>https://www.commcarehq.org/a/demo-18/api/form/attachment/2254306f-170c-41b1-bc61-7dda377669e9/1580280356536.jpg</v>
      </c>
      <c r="N100" t="str">
        <f>HYPERLINK("https://www.commcarehq.org/a/demo-18/api/form/attachment/2254306f-170c-41b1-bc61-7dda377669e9/1580280428754.jpg")</f>
        <v>https://www.commcarehq.org/a/demo-18/api/form/attachment/2254306f-170c-41b1-bc61-7dda377669e9/1580280428754.jpg</v>
      </c>
      <c r="O100" t="str">
        <f>HYPERLINK("https://www.commcarehq.org/a/demo-18/api/form/attachment/2254306f-170c-41b1-bc61-7dda377669e9/1580280438218.jpg")</f>
        <v>https://www.commcarehq.org/a/demo-18/api/form/attachment/2254306f-170c-41b1-bc61-7dda377669e9/1580280438218.jpg</v>
      </c>
      <c r="P100" t="str">
        <f>HYPERLINK("https://www.commcarehq.org/a/demo-18/api/form/attachment/2254306f-170c-41b1-bc61-7dda377669e9/1580280457581.jpg")</f>
        <v>https://www.commcarehq.org/a/demo-18/api/form/attachment/2254306f-170c-41b1-bc61-7dda377669e9/1580280457581.jpg</v>
      </c>
      <c r="Q100" t="str">
        <f>HYPERLINK("https://www.commcarehq.org/a/demo-18/api/form/attachment/2254306f-170c-41b1-bc61-7dda377669e9/1580280466742.jpg")</f>
        <v>https://www.commcarehq.org/a/demo-18/api/form/attachment/2254306f-170c-41b1-bc61-7dda377669e9/1580280466742.jpg</v>
      </c>
      <c r="R100" s="2">
        <v>43859.283194444448</v>
      </c>
      <c r="S100" s="2">
        <v>43859.281168981484</v>
      </c>
      <c r="T100" t="s">
        <v>32</v>
      </c>
      <c r="U100" s="2">
        <v>43859.376608796294</v>
      </c>
      <c r="V100" t="s">
        <v>1229</v>
      </c>
      <c r="W100" t="s">
        <v>1230</v>
      </c>
    </row>
    <row r="101" spans="1:23" x14ac:dyDescent="0.45">
      <c r="A101" t="s">
        <v>223</v>
      </c>
      <c r="B101">
        <v>5.7</v>
      </c>
      <c r="C101" s="1">
        <v>43887</v>
      </c>
      <c r="D101" s="1">
        <v>43857</v>
      </c>
      <c r="E101" t="s">
        <v>428</v>
      </c>
      <c r="F101" t="s">
        <v>429</v>
      </c>
      <c r="G101" t="s">
        <v>429</v>
      </c>
      <c r="H101" t="s">
        <v>429</v>
      </c>
      <c r="I101" t="s">
        <v>498</v>
      </c>
      <c r="J101" t="s">
        <v>428</v>
      </c>
      <c r="K101" t="s">
        <v>429</v>
      </c>
      <c r="L101" t="str">
        <f>HYPERLINK("https://www.commcarehq.org/a/demo-18/api/form/attachment/1c9d2916-3479-46da-8360-1c21bca7ac42/1580108916992.jpg")</f>
        <v>https://www.commcarehq.org/a/demo-18/api/form/attachment/1c9d2916-3479-46da-8360-1c21bca7ac42/1580108916992.jpg</v>
      </c>
      <c r="M101" t="str">
        <f>HYPERLINK("https://www.commcarehq.org/a/demo-18/api/form/attachment/1c9d2916-3479-46da-8360-1c21bca7ac42/1580108935817.jpg")</f>
        <v>https://www.commcarehq.org/a/demo-18/api/form/attachment/1c9d2916-3479-46da-8360-1c21bca7ac42/1580108935817.jpg</v>
      </c>
      <c r="N101" t="str">
        <f>HYPERLINK("https://www.commcarehq.org/a/demo-18/api/form/attachment/1c9d2916-3479-46da-8360-1c21bca7ac42/1580108977622.jpg")</f>
        <v>https://www.commcarehq.org/a/demo-18/api/form/attachment/1c9d2916-3479-46da-8360-1c21bca7ac42/1580108977622.jpg</v>
      </c>
      <c r="O101" t="str">
        <f>HYPERLINK("https://www.commcarehq.org/a/demo-18/api/form/attachment/1c9d2916-3479-46da-8360-1c21bca7ac42/1580108990308.jpg")</f>
        <v>https://www.commcarehq.org/a/demo-18/api/form/attachment/1c9d2916-3479-46da-8360-1c21bca7ac42/1580108990308.jpg</v>
      </c>
      <c r="P101" t="str">
        <f>HYPERLINK("https://www.commcarehq.org/a/demo-18/api/form/attachment/1c9d2916-3479-46da-8360-1c21bca7ac42/1580109020081.jpg")</f>
        <v>https://www.commcarehq.org/a/demo-18/api/form/attachment/1c9d2916-3479-46da-8360-1c21bca7ac42/1580109020081.jpg</v>
      </c>
      <c r="Q101" t="str">
        <f>HYPERLINK("https://www.commcarehq.org/a/demo-18/api/form/attachment/1c9d2916-3479-46da-8360-1c21bca7ac42/1580109031329.jpg")</f>
        <v>https://www.commcarehq.org/a/demo-18/api/form/attachment/1c9d2916-3479-46da-8360-1c21bca7ac42/1580109031329.jpg</v>
      </c>
      <c r="R101" s="2">
        <v>43857.298993055556</v>
      </c>
      <c r="S101" s="2">
        <v>43857.297164351854</v>
      </c>
      <c r="T101" t="s">
        <v>32</v>
      </c>
      <c r="U101" s="2">
        <v>43857.29928240741</v>
      </c>
      <c r="V101" t="s">
        <v>1231</v>
      </c>
      <c r="W101" t="s">
        <v>1232</v>
      </c>
    </row>
    <row r="102" spans="1:23" x14ac:dyDescent="0.45">
      <c r="A102" t="s">
        <v>232</v>
      </c>
      <c r="B102">
        <v>5.7</v>
      </c>
      <c r="C102" s="1">
        <v>43901</v>
      </c>
      <c r="D102" s="1">
        <v>43871</v>
      </c>
      <c r="E102" t="s">
        <v>428</v>
      </c>
      <c r="F102" t="s">
        <v>429</v>
      </c>
      <c r="G102" t="s">
        <v>429</v>
      </c>
      <c r="H102" t="s">
        <v>429</v>
      </c>
      <c r="I102" t="s">
        <v>498</v>
      </c>
      <c r="J102" t="s">
        <v>428</v>
      </c>
      <c r="K102" t="s">
        <v>429</v>
      </c>
      <c r="L102" t="str">
        <f>HYPERLINK("https://www.commcarehq.org/a/demo-18/api/form/attachment/6a1b38a4-5bd3-4b74-a929-70c32a8372f6/1581320383050.jpg")</f>
        <v>https://www.commcarehq.org/a/demo-18/api/form/attachment/6a1b38a4-5bd3-4b74-a929-70c32a8372f6/1581320383050.jpg</v>
      </c>
      <c r="M102" t="str">
        <f>HYPERLINK("https://www.commcarehq.org/a/demo-18/api/form/attachment/6a1b38a4-5bd3-4b74-a929-70c32a8372f6/1581320400582.jpg")</f>
        <v>https://www.commcarehq.org/a/demo-18/api/form/attachment/6a1b38a4-5bd3-4b74-a929-70c32a8372f6/1581320400582.jpg</v>
      </c>
      <c r="N102" t="str">
        <f>HYPERLINK("https://www.commcarehq.org/a/demo-18/api/form/attachment/6a1b38a4-5bd3-4b74-a929-70c32a8372f6/1581320436936.jpg")</f>
        <v>https://www.commcarehq.org/a/demo-18/api/form/attachment/6a1b38a4-5bd3-4b74-a929-70c32a8372f6/1581320436936.jpg</v>
      </c>
      <c r="O102" t="str">
        <f>HYPERLINK("https://www.commcarehq.org/a/demo-18/api/form/attachment/6a1b38a4-5bd3-4b74-a929-70c32a8372f6/1581320445807.jpg")</f>
        <v>https://www.commcarehq.org/a/demo-18/api/form/attachment/6a1b38a4-5bd3-4b74-a929-70c32a8372f6/1581320445807.jpg</v>
      </c>
      <c r="P102" t="str">
        <f>HYPERLINK("https://www.commcarehq.org/a/demo-18/api/form/attachment/6a1b38a4-5bd3-4b74-a929-70c32a8372f6/1581320469127.jpg")</f>
        <v>https://www.commcarehq.org/a/demo-18/api/form/attachment/6a1b38a4-5bd3-4b74-a929-70c32a8372f6/1581320469127.jpg</v>
      </c>
      <c r="Q102" t="str">
        <f>HYPERLINK("https://www.commcarehq.org/a/demo-18/api/form/attachment/6a1b38a4-5bd3-4b74-a929-70c32a8372f6/1581320478545.jpg")</f>
        <v>https://www.commcarehq.org/a/demo-18/api/form/attachment/6a1b38a4-5bd3-4b74-a929-70c32a8372f6/1581320478545.jpg</v>
      </c>
      <c r="R102" s="2">
        <v>43871.320370370369</v>
      </c>
      <c r="S102" s="2">
        <v>43871.318553240744</v>
      </c>
      <c r="T102" t="s">
        <v>32</v>
      </c>
      <c r="U102" s="2">
        <v>43871.331076388888</v>
      </c>
      <c r="V102" t="s">
        <v>1511</v>
      </c>
      <c r="W102" t="s">
        <v>1512</v>
      </c>
    </row>
    <row r="103" spans="1:23" x14ac:dyDescent="0.45">
      <c r="A103" t="s">
        <v>244</v>
      </c>
      <c r="B103">
        <v>6.8</v>
      </c>
      <c r="C103" s="1">
        <v>43911</v>
      </c>
      <c r="D103" s="1">
        <v>43881</v>
      </c>
      <c r="E103" t="s">
        <v>428</v>
      </c>
      <c r="F103" t="s">
        <v>429</v>
      </c>
      <c r="G103" t="s">
        <v>429</v>
      </c>
      <c r="H103" t="s">
        <v>429</v>
      </c>
      <c r="I103" t="s">
        <v>447</v>
      </c>
      <c r="J103" t="s">
        <v>428</v>
      </c>
      <c r="K103" t="s">
        <v>429</v>
      </c>
      <c r="L103" t="str">
        <f>HYPERLINK("https://www.commcarehq.org/a/demo-18/api/form/attachment/fbfe23ba-37c6-4067-b7e6-da0e1907be47/1582187038723.jpg")</f>
        <v>https://www.commcarehq.org/a/demo-18/api/form/attachment/fbfe23ba-37c6-4067-b7e6-da0e1907be47/1582187038723.jpg</v>
      </c>
      <c r="M103" t="str">
        <f>HYPERLINK("https://www.commcarehq.org/a/demo-18/api/form/attachment/fbfe23ba-37c6-4067-b7e6-da0e1907be47/1582187055079.jpg")</f>
        <v>https://www.commcarehq.org/a/demo-18/api/form/attachment/fbfe23ba-37c6-4067-b7e6-da0e1907be47/1582187055079.jpg</v>
      </c>
      <c r="N103" t="str">
        <f>HYPERLINK("https://www.commcarehq.org/a/demo-18/api/form/attachment/fbfe23ba-37c6-4067-b7e6-da0e1907be47/1582187119412.jpg")</f>
        <v>https://www.commcarehq.org/a/demo-18/api/form/attachment/fbfe23ba-37c6-4067-b7e6-da0e1907be47/1582187119412.jpg</v>
      </c>
      <c r="O103" t="str">
        <f>HYPERLINK("https://www.commcarehq.org/a/demo-18/api/form/attachment/fbfe23ba-37c6-4067-b7e6-da0e1907be47/1582187128442.jpg")</f>
        <v>https://www.commcarehq.org/a/demo-18/api/form/attachment/fbfe23ba-37c6-4067-b7e6-da0e1907be47/1582187128442.jpg</v>
      </c>
      <c r="P103" t="str">
        <f>HYPERLINK("https://www.commcarehq.org/a/demo-18/api/form/attachment/fbfe23ba-37c6-4067-b7e6-da0e1907be47/1582187147869.jpg")</f>
        <v>https://www.commcarehq.org/a/demo-18/api/form/attachment/fbfe23ba-37c6-4067-b7e6-da0e1907be47/1582187147869.jpg</v>
      </c>
      <c r="Q103" t="str">
        <f>HYPERLINK("https://www.commcarehq.org/a/demo-18/api/form/attachment/fbfe23ba-37c6-4067-b7e6-da0e1907be47/1582187160212.jpg")</f>
        <v>https://www.commcarehq.org/a/demo-18/api/form/attachment/fbfe23ba-37c6-4067-b7e6-da0e1907be47/1582187160212.jpg</v>
      </c>
      <c r="R103" s="2">
        <v>43881.351412037038</v>
      </c>
      <c r="S103" s="2">
        <v>43881.348414351851</v>
      </c>
      <c r="T103" t="s">
        <v>32</v>
      </c>
      <c r="U103" s="2">
        <v>43881.351701388892</v>
      </c>
      <c r="V103" t="s">
        <v>1523</v>
      </c>
      <c r="W103" t="s">
        <v>1524</v>
      </c>
    </row>
    <row r="104" spans="1:23" x14ac:dyDescent="0.45">
      <c r="A104" t="s">
        <v>241</v>
      </c>
      <c r="B104">
        <v>6.9</v>
      </c>
      <c r="C104" s="1">
        <v>43908</v>
      </c>
      <c r="D104" s="1">
        <v>43878</v>
      </c>
      <c r="E104" t="s">
        <v>428</v>
      </c>
      <c r="F104" t="s">
        <v>429</v>
      </c>
      <c r="G104" t="s">
        <v>429</v>
      </c>
      <c r="H104" t="s">
        <v>429</v>
      </c>
      <c r="I104" t="s">
        <v>1321</v>
      </c>
      <c r="J104" t="s">
        <v>428</v>
      </c>
      <c r="K104" t="s">
        <v>429</v>
      </c>
      <c r="L104" t="str">
        <f>HYPERLINK("https://www.commcarehq.org/a/demo-18/api/form/attachment/291f0a55-86c0-4591-83e8-7674fd8c83a2/1581923441549.jpg")</f>
        <v>https://www.commcarehq.org/a/demo-18/api/form/attachment/291f0a55-86c0-4591-83e8-7674fd8c83a2/1581923441549.jpg</v>
      </c>
      <c r="M104" t="str">
        <f>HYPERLINK("https://www.commcarehq.org/a/demo-18/api/form/attachment/291f0a55-86c0-4591-83e8-7674fd8c83a2/1581923461552.jpg")</f>
        <v>https://www.commcarehq.org/a/demo-18/api/form/attachment/291f0a55-86c0-4591-83e8-7674fd8c83a2/1581923461552.jpg</v>
      </c>
      <c r="N104" t="str">
        <f>HYPERLINK("https://www.commcarehq.org/a/demo-18/api/form/attachment/291f0a55-86c0-4591-83e8-7674fd8c83a2/1581923506007.jpg")</f>
        <v>https://www.commcarehq.org/a/demo-18/api/form/attachment/291f0a55-86c0-4591-83e8-7674fd8c83a2/1581923506007.jpg</v>
      </c>
      <c r="O104" t="str">
        <f>HYPERLINK("https://www.commcarehq.org/a/demo-18/api/form/attachment/291f0a55-86c0-4591-83e8-7674fd8c83a2/1581923518945.jpg")</f>
        <v>https://www.commcarehq.org/a/demo-18/api/form/attachment/291f0a55-86c0-4591-83e8-7674fd8c83a2/1581923518945.jpg</v>
      </c>
      <c r="P104" t="str">
        <f>HYPERLINK("https://www.commcarehq.org/a/demo-18/api/form/attachment/291f0a55-86c0-4591-83e8-7674fd8c83a2/1581923540053.jpg")</f>
        <v>https://www.commcarehq.org/a/demo-18/api/form/attachment/291f0a55-86c0-4591-83e8-7674fd8c83a2/1581923540053.jpg</v>
      </c>
      <c r="Q104" t="str">
        <f>HYPERLINK("https://www.commcarehq.org/a/demo-18/api/form/attachment/291f0a55-86c0-4591-83e8-7674fd8c83a2/1581923549068.jpg")</f>
        <v>https://www.commcarehq.org/a/demo-18/api/form/attachment/291f0a55-86c0-4591-83e8-7674fd8c83a2/1581923549068.jpg</v>
      </c>
      <c r="R104" s="2">
        <v>43878.300347222219</v>
      </c>
      <c r="S104" s="2">
        <v>43878.298645833333</v>
      </c>
      <c r="T104" t="s">
        <v>32</v>
      </c>
      <c r="U104" s="2">
        <v>43878.300636574073</v>
      </c>
      <c r="V104" t="s">
        <v>1515</v>
      </c>
      <c r="W104" t="s">
        <v>1516</v>
      </c>
    </row>
    <row r="105" spans="1:23" x14ac:dyDescent="0.45">
      <c r="A105" t="s">
        <v>409</v>
      </c>
      <c r="B105">
        <v>5.4</v>
      </c>
      <c r="C105" s="1">
        <v>43908</v>
      </c>
      <c r="D105" s="1">
        <v>43878</v>
      </c>
      <c r="E105" t="s">
        <v>428</v>
      </c>
      <c r="F105" t="s">
        <v>429</v>
      </c>
      <c r="G105" t="s">
        <v>429</v>
      </c>
      <c r="H105" t="s">
        <v>429</v>
      </c>
      <c r="I105" t="s">
        <v>498</v>
      </c>
      <c r="J105" t="s">
        <v>428</v>
      </c>
      <c r="K105" t="s">
        <v>429</v>
      </c>
      <c r="L105" t="str">
        <f>HYPERLINK("https://www.commcarehq.org/a/demo-18/api/form/attachment/c6c4f1db-405e-403a-b09b-5add1d8f7494/1581923653024.jpg")</f>
        <v>https://www.commcarehq.org/a/demo-18/api/form/attachment/c6c4f1db-405e-403a-b09b-5add1d8f7494/1581923653024.jpg</v>
      </c>
      <c r="M105" t="str">
        <f>HYPERLINK("https://www.commcarehq.org/a/demo-18/api/form/attachment/c6c4f1db-405e-403a-b09b-5add1d8f7494/1581923666311.jpg")</f>
        <v>https://www.commcarehq.org/a/demo-18/api/form/attachment/c6c4f1db-405e-403a-b09b-5add1d8f7494/1581923666311.jpg</v>
      </c>
      <c r="N105" t="str">
        <f>HYPERLINK("https://www.commcarehq.org/a/demo-18/api/form/attachment/c6c4f1db-405e-403a-b09b-5add1d8f7494/1581923746784.jpg")</f>
        <v>https://www.commcarehq.org/a/demo-18/api/form/attachment/c6c4f1db-405e-403a-b09b-5add1d8f7494/1581923746784.jpg</v>
      </c>
      <c r="O105" t="str">
        <f>HYPERLINK("https://www.commcarehq.org/a/demo-18/api/form/attachment/c6c4f1db-405e-403a-b09b-5add1d8f7494/1581923757334.jpg")</f>
        <v>https://www.commcarehq.org/a/demo-18/api/form/attachment/c6c4f1db-405e-403a-b09b-5add1d8f7494/1581923757334.jpg</v>
      </c>
      <c r="P105" t="str">
        <f>HYPERLINK("https://www.commcarehq.org/a/demo-18/api/form/attachment/c6c4f1db-405e-403a-b09b-5add1d8f7494/1581923786652.jpg")</f>
        <v>https://www.commcarehq.org/a/demo-18/api/form/attachment/c6c4f1db-405e-403a-b09b-5add1d8f7494/1581923786652.jpg</v>
      </c>
      <c r="Q105" t="str">
        <f>HYPERLINK("https://www.commcarehq.org/a/demo-18/api/form/attachment/c6c4f1db-405e-403a-b09b-5add1d8f7494/1581923797557.jpg")</f>
        <v>https://www.commcarehq.org/a/demo-18/api/form/attachment/c6c4f1db-405e-403a-b09b-5add1d8f7494/1581923797557.jpg</v>
      </c>
      <c r="R105" s="2">
        <v>43878.303229166668</v>
      </c>
      <c r="S105" s="2">
        <v>43878.301134259258</v>
      </c>
      <c r="T105" t="s">
        <v>32</v>
      </c>
      <c r="U105" s="2">
        <v>43878.303553240738</v>
      </c>
      <c r="V105" t="s">
        <v>1517</v>
      </c>
      <c r="W105" t="s">
        <v>1518</v>
      </c>
    </row>
    <row r="106" spans="1:23" x14ac:dyDescent="0.45">
      <c r="A106" t="s">
        <v>250</v>
      </c>
      <c r="B106">
        <v>6.9</v>
      </c>
      <c r="C106" s="1">
        <v>43910</v>
      </c>
      <c r="D106" s="1">
        <v>43880</v>
      </c>
      <c r="E106" t="s">
        <v>428</v>
      </c>
      <c r="F106" t="s">
        <v>429</v>
      </c>
      <c r="G106" t="s">
        <v>429</v>
      </c>
      <c r="H106" t="s">
        <v>429</v>
      </c>
      <c r="I106" t="s">
        <v>498</v>
      </c>
      <c r="J106" t="s">
        <v>428</v>
      </c>
      <c r="K106" t="s">
        <v>429</v>
      </c>
      <c r="L106" t="str">
        <f>HYPERLINK("https://www.commcarehq.org/a/demo-18/api/form/attachment/e198d237-ddc1-4c67-891c-fcd2c6e6950f/1582096292227.jpg")</f>
        <v>https://www.commcarehq.org/a/demo-18/api/form/attachment/e198d237-ddc1-4c67-891c-fcd2c6e6950f/1582096292227.jpg</v>
      </c>
      <c r="M106" t="str">
        <f>HYPERLINK("https://www.commcarehq.org/a/demo-18/api/form/attachment/e198d237-ddc1-4c67-891c-fcd2c6e6950f/1582096305770.jpg")</f>
        <v>https://www.commcarehq.org/a/demo-18/api/form/attachment/e198d237-ddc1-4c67-891c-fcd2c6e6950f/1582096305770.jpg</v>
      </c>
      <c r="N106" t="str">
        <f>HYPERLINK("https://www.commcarehq.org/a/demo-18/api/form/attachment/e198d237-ddc1-4c67-891c-fcd2c6e6950f/1582096358217.jpg")</f>
        <v>https://www.commcarehq.org/a/demo-18/api/form/attachment/e198d237-ddc1-4c67-891c-fcd2c6e6950f/1582096358217.jpg</v>
      </c>
      <c r="O106" t="str">
        <f>HYPERLINK("https://www.commcarehq.org/a/demo-18/api/form/attachment/e198d237-ddc1-4c67-891c-fcd2c6e6950f/1582096367834.jpg")</f>
        <v>https://www.commcarehq.org/a/demo-18/api/form/attachment/e198d237-ddc1-4c67-891c-fcd2c6e6950f/1582096367834.jpg</v>
      </c>
      <c r="P106" t="str">
        <f>HYPERLINK("https://www.commcarehq.org/a/demo-18/api/form/attachment/e198d237-ddc1-4c67-891c-fcd2c6e6950f/1582096379097.jpg")</f>
        <v>https://www.commcarehq.org/a/demo-18/api/form/attachment/e198d237-ddc1-4c67-891c-fcd2c6e6950f/1582096379097.jpg</v>
      </c>
      <c r="Q106" t="str">
        <f>HYPERLINK("https://www.commcarehq.org/a/demo-18/api/form/attachment/e198d237-ddc1-4c67-891c-fcd2c6e6950f/1582096390790.jpg")</f>
        <v>https://www.commcarehq.org/a/demo-18/api/form/attachment/e198d237-ddc1-4c67-891c-fcd2c6e6950f/1582096390790.jpg</v>
      </c>
      <c r="R106" s="2">
        <v>43880.300844907404</v>
      </c>
      <c r="S106" s="2">
        <v>43880.299432870372</v>
      </c>
      <c r="T106" t="s">
        <v>32</v>
      </c>
      <c r="U106" s="2">
        <v>43880.301111111112</v>
      </c>
      <c r="V106" t="s">
        <v>1519</v>
      </c>
      <c r="W106" t="s">
        <v>1520</v>
      </c>
    </row>
    <row r="107" spans="1:23" x14ac:dyDescent="0.45">
      <c r="A107" t="s">
        <v>280</v>
      </c>
      <c r="B107">
        <v>5.6</v>
      </c>
      <c r="C107" s="1">
        <v>43910</v>
      </c>
      <c r="D107" s="1">
        <v>43880</v>
      </c>
      <c r="E107" t="s">
        <v>428</v>
      </c>
      <c r="F107" t="s">
        <v>429</v>
      </c>
      <c r="G107" t="s">
        <v>429</v>
      </c>
      <c r="H107" t="s">
        <v>429</v>
      </c>
      <c r="I107" t="s">
        <v>498</v>
      </c>
      <c r="J107" t="s">
        <v>428</v>
      </c>
      <c r="K107" t="s">
        <v>429</v>
      </c>
      <c r="L107" t="str">
        <f>HYPERLINK("https://www.commcarehq.org/a/demo-18/api/form/attachment/1bbe54a6-d19f-4374-9b87-683d4247d92f/1582097589618.jpg")</f>
        <v>https://www.commcarehq.org/a/demo-18/api/form/attachment/1bbe54a6-d19f-4374-9b87-683d4247d92f/1582097589618.jpg</v>
      </c>
      <c r="M107" t="str">
        <f>HYPERLINK("https://www.commcarehq.org/a/demo-18/api/form/attachment/1bbe54a6-d19f-4374-9b87-683d4247d92f/1582097602388.jpg")</f>
        <v>https://www.commcarehq.org/a/demo-18/api/form/attachment/1bbe54a6-d19f-4374-9b87-683d4247d92f/1582097602388.jpg</v>
      </c>
      <c r="N107" t="str">
        <f>HYPERLINK("https://www.commcarehq.org/a/demo-18/api/form/attachment/1bbe54a6-d19f-4374-9b87-683d4247d92f/1582097651110.jpg")</f>
        <v>https://www.commcarehq.org/a/demo-18/api/form/attachment/1bbe54a6-d19f-4374-9b87-683d4247d92f/1582097651110.jpg</v>
      </c>
      <c r="O107" t="str">
        <f>HYPERLINK("https://www.commcarehq.org/a/demo-18/api/form/attachment/1bbe54a6-d19f-4374-9b87-683d4247d92f/1582097659951.jpg")</f>
        <v>https://www.commcarehq.org/a/demo-18/api/form/attachment/1bbe54a6-d19f-4374-9b87-683d4247d92f/1582097659951.jpg</v>
      </c>
      <c r="P107" t="str">
        <f>HYPERLINK("https://www.commcarehq.org/a/demo-18/api/form/attachment/1bbe54a6-d19f-4374-9b87-683d4247d92f/1582097684362.jpg")</f>
        <v>https://www.commcarehq.org/a/demo-18/api/form/attachment/1bbe54a6-d19f-4374-9b87-683d4247d92f/1582097684362.jpg</v>
      </c>
      <c r="Q107" t="str">
        <f>HYPERLINK("https://www.commcarehq.org/a/demo-18/api/form/attachment/1bbe54a6-d19f-4374-9b87-683d4247d92f/1582097691827.jpg")</f>
        <v>https://www.commcarehq.org/a/demo-18/api/form/attachment/1bbe54a6-d19f-4374-9b87-683d4247d92f/1582097691827.jpg</v>
      </c>
      <c r="R107" s="2">
        <v>43880.315891203703</v>
      </c>
      <c r="S107" s="2">
        <v>43880.314398148148</v>
      </c>
      <c r="T107" t="s">
        <v>32</v>
      </c>
      <c r="U107" s="2">
        <v>43880.316134259258</v>
      </c>
      <c r="V107" t="s">
        <v>1521</v>
      </c>
      <c r="W107" t="s">
        <v>1522</v>
      </c>
    </row>
    <row r="108" spans="1:23" x14ac:dyDescent="0.45">
      <c r="A108" t="s">
        <v>313</v>
      </c>
      <c r="B108">
        <v>4.5</v>
      </c>
      <c r="C108" s="1">
        <v>43904</v>
      </c>
      <c r="D108" s="1">
        <v>43874</v>
      </c>
      <c r="E108" t="s">
        <v>428</v>
      </c>
      <c r="F108" t="s">
        <v>429</v>
      </c>
      <c r="G108" t="s">
        <v>429</v>
      </c>
      <c r="H108" t="s">
        <v>429</v>
      </c>
      <c r="I108" t="s">
        <v>498</v>
      </c>
      <c r="J108" t="s">
        <v>428</v>
      </c>
      <c r="K108" t="s">
        <v>429</v>
      </c>
      <c r="L108" t="str">
        <f>HYPERLINK("https://www.commcarehq.org/a/demo-18/api/form/attachment/dafd7a04-06eb-4ed3-b436-7b74fca226e2/1581576850069.jpg")</f>
        <v>https://www.commcarehq.org/a/demo-18/api/form/attachment/dafd7a04-06eb-4ed3-b436-7b74fca226e2/1581576850069.jpg</v>
      </c>
      <c r="M108" t="str">
        <f>HYPERLINK("https://www.commcarehq.org/a/demo-18/api/form/attachment/dafd7a04-06eb-4ed3-b436-7b74fca226e2/1581576871514.jpg")</f>
        <v>https://www.commcarehq.org/a/demo-18/api/form/attachment/dafd7a04-06eb-4ed3-b436-7b74fca226e2/1581576871514.jpg</v>
      </c>
      <c r="N108" t="str">
        <f>HYPERLINK("https://www.commcarehq.org/a/demo-18/api/form/attachment/dafd7a04-06eb-4ed3-b436-7b74fca226e2/1581576939774.jpg")</f>
        <v>https://www.commcarehq.org/a/demo-18/api/form/attachment/dafd7a04-06eb-4ed3-b436-7b74fca226e2/1581576939774.jpg</v>
      </c>
      <c r="O108" t="str">
        <f>HYPERLINK("https://www.commcarehq.org/a/demo-18/api/form/attachment/dafd7a04-06eb-4ed3-b436-7b74fca226e2/1581576948440.jpg")</f>
        <v>https://www.commcarehq.org/a/demo-18/api/form/attachment/dafd7a04-06eb-4ed3-b436-7b74fca226e2/1581576948440.jpg</v>
      </c>
      <c r="P108" t="str">
        <f>HYPERLINK("https://www.commcarehq.org/a/demo-18/api/form/attachment/dafd7a04-06eb-4ed3-b436-7b74fca226e2/1581576964571.jpg")</f>
        <v>https://www.commcarehq.org/a/demo-18/api/form/attachment/dafd7a04-06eb-4ed3-b436-7b74fca226e2/1581576964571.jpg</v>
      </c>
      <c r="Q108" t="str">
        <f>HYPERLINK("https://www.commcarehq.org/a/demo-18/api/form/attachment/dafd7a04-06eb-4ed3-b436-7b74fca226e2/1581576975746.jpg")</f>
        <v>https://www.commcarehq.org/a/demo-18/api/form/attachment/dafd7a04-06eb-4ed3-b436-7b74fca226e2/1581576975746.jpg</v>
      </c>
      <c r="R108" s="2">
        <v>43874.289085648146</v>
      </c>
      <c r="S108" s="2">
        <v>43874.286527777775</v>
      </c>
      <c r="T108" t="s">
        <v>32</v>
      </c>
      <c r="U108" s="2">
        <v>43874.289340277777</v>
      </c>
      <c r="V108" t="s">
        <v>1513</v>
      </c>
      <c r="W108" t="s">
        <v>1514</v>
      </c>
    </row>
  </sheetData>
  <autoFilter ref="A1:W108" xr:uid="{00000000-0009-0000-0000-000003000000}">
    <sortState xmlns:xlrd2="http://schemas.microsoft.com/office/spreadsheetml/2017/richdata2" ref="A2:W108">
      <sortCondition ref="A1:A108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51"/>
  <sheetViews>
    <sheetView topLeftCell="A156" workbookViewId="0">
      <selection activeCell="B1" sqref="B1:B1048576"/>
    </sheetView>
  </sheetViews>
  <sheetFormatPr defaultColWidth="8.796875" defaultRowHeight="14.25" x14ac:dyDescent="0.45"/>
  <cols>
    <col min="1" max="1" width="10" bestFit="1" customWidth="1"/>
    <col min="2" max="2" width="12.1328125" bestFit="1" customWidth="1"/>
    <col min="3" max="3" width="8.46484375" bestFit="1" customWidth="1"/>
    <col min="4" max="4" width="15.46484375" bestFit="1" customWidth="1"/>
    <col min="5" max="5" width="15.33203125" bestFit="1" customWidth="1"/>
    <col min="6" max="6" width="8" bestFit="1" customWidth="1"/>
    <col min="7" max="7" width="13.1328125" bestFit="1" customWidth="1"/>
    <col min="8" max="8" width="9" bestFit="1" customWidth="1"/>
    <col min="9" max="9" width="57.6640625" bestFit="1" customWidth="1"/>
    <col min="10" max="10" width="14.33203125" bestFit="1" customWidth="1"/>
    <col min="11" max="11" width="9" bestFit="1" customWidth="1"/>
    <col min="12" max="12" width="11.1328125" bestFit="1" customWidth="1"/>
    <col min="13" max="13" width="10.46484375" bestFit="1" customWidth="1"/>
    <col min="14" max="14" width="6.46484375" bestFit="1" customWidth="1"/>
    <col min="15" max="15" width="9.33203125" bestFit="1" customWidth="1"/>
    <col min="16" max="16" width="7.6640625" bestFit="1" customWidth="1"/>
    <col min="17" max="17" width="10.46484375" bestFit="1" customWidth="1"/>
    <col min="18" max="18" width="16" bestFit="1" customWidth="1"/>
    <col min="19" max="19" width="13.1328125" bestFit="1" customWidth="1"/>
    <col min="20" max="20" width="14.46484375" bestFit="1" customWidth="1"/>
    <col min="21" max="21" width="14.1328125" bestFit="1" customWidth="1"/>
    <col min="22" max="22" width="35.33203125" bestFit="1" customWidth="1"/>
    <col min="23" max="23" width="80.6640625" bestFit="1" customWidth="1"/>
  </cols>
  <sheetData>
    <row r="1" spans="1:23" x14ac:dyDescent="0.45">
      <c r="A1" t="s">
        <v>1</v>
      </c>
      <c r="B1" t="s">
        <v>6</v>
      </c>
      <c r="C1" t="s">
        <v>4</v>
      </c>
      <c r="D1" t="s">
        <v>3</v>
      </c>
      <c r="E1" t="s">
        <v>509</v>
      </c>
      <c r="F1" t="s">
        <v>423</v>
      </c>
      <c r="G1" t="s">
        <v>424</v>
      </c>
      <c r="H1" t="s">
        <v>427</v>
      </c>
      <c r="I1" t="s">
        <v>425</v>
      </c>
      <c r="J1" t="s">
        <v>426</v>
      </c>
      <c r="K1" t="s">
        <v>510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515</v>
      </c>
      <c r="V1" t="s">
        <v>18</v>
      </c>
      <c r="W1" t="s">
        <v>17</v>
      </c>
    </row>
    <row r="2" spans="1:23" x14ac:dyDescent="0.45">
      <c r="A2" t="s">
        <v>572</v>
      </c>
      <c r="B2">
        <v>6.5</v>
      </c>
      <c r="C2" s="1">
        <v>43806</v>
      </c>
      <c r="D2" s="1">
        <v>43776</v>
      </c>
      <c r="E2" t="s">
        <v>428</v>
      </c>
      <c r="F2" t="s">
        <v>429</v>
      </c>
      <c r="G2" t="s">
        <v>429</v>
      </c>
      <c r="H2" t="s">
        <v>429</v>
      </c>
      <c r="I2" t="s">
        <v>430</v>
      </c>
      <c r="J2" t="s">
        <v>429</v>
      </c>
      <c r="K2" t="s">
        <v>429</v>
      </c>
      <c r="L2" t="str">
        <f>HYPERLINK("https://www.commcarehq.org/a/demo-18/api/form/attachment/fa15e110-521a-4939-8906-0865d516223d/1573117809008.jpg")</f>
        <v>https://www.commcarehq.org/a/demo-18/api/form/attachment/fa15e110-521a-4939-8906-0865d516223d/1573117809008.jpg</v>
      </c>
      <c r="M2" t="str">
        <f>HYPERLINK("https://www.commcarehq.org/a/demo-18/api/form/attachment/fa15e110-521a-4939-8906-0865d516223d/1573117825953.jpg")</f>
        <v>https://www.commcarehq.org/a/demo-18/api/form/attachment/fa15e110-521a-4939-8906-0865d516223d/1573117825953.jpg</v>
      </c>
      <c r="N2" t="str">
        <f>HYPERLINK("https://www.commcarehq.org/a/demo-18/api/form/attachment/fa15e110-521a-4939-8906-0865d516223d/1573117877475.jpg")</f>
        <v>https://www.commcarehq.org/a/demo-18/api/form/attachment/fa15e110-521a-4939-8906-0865d516223d/1573117877475.jpg</v>
      </c>
      <c r="O2" t="str">
        <f>HYPERLINK("https://www.commcarehq.org/a/demo-18/api/form/attachment/fa15e110-521a-4939-8906-0865d516223d/1573117892220.jpg")</f>
        <v>https://www.commcarehq.org/a/demo-18/api/form/attachment/fa15e110-521a-4939-8906-0865d516223d/1573117892220.jpg</v>
      </c>
      <c r="P2" t="str">
        <f>HYPERLINK("https://www.commcarehq.org/a/demo-18/api/form/attachment/fa15e110-521a-4939-8906-0865d516223d/1573117914766.jpg")</f>
        <v>https://www.commcarehq.org/a/demo-18/api/form/attachment/fa15e110-521a-4939-8906-0865d516223d/1573117914766.jpg</v>
      </c>
      <c r="Q2" t="str">
        <f>HYPERLINK("https://www.commcarehq.org/a/demo-18/api/form/attachment/fa15e110-521a-4939-8906-0865d516223d/1573117927018.jpg")</f>
        <v>https://www.commcarehq.org/a/demo-18/api/form/attachment/fa15e110-521a-4939-8906-0865d516223d/1573117927018.jpg</v>
      </c>
      <c r="R2" s="2">
        <v>43776.383425925924</v>
      </c>
      <c r="S2" s="2">
        <v>43776.381342592591</v>
      </c>
      <c r="T2" t="s">
        <v>32</v>
      </c>
      <c r="U2" s="2">
        <v>43776.424791666665</v>
      </c>
      <c r="V2" t="s">
        <v>573</v>
      </c>
      <c r="W2" t="s">
        <v>574</v>
      </c>
    </row>
    <row r="3" spans="1:23" x14ac:dyDescent="0.45">
      <c r="A3" t="s">
        <v>519</v>
      </c>
      <c r="B3">
        <v>7.1</v>
      </c>
      <c r="C3" s="1">
        <v>43806</v>
      </c>
      <c r="D3" s="1">
        <v>43776</v>
      </c>
      <c r="E3" t="s">
        <v>428</v>
      </c>
      <c r="F3" t="s">
        <v>429</v>
      </c>
      <c r="G3" t="s">
        <v>429</v>
      </c>
      <c r="H3" t="s">
        <v>429</v>
      </c>
      <c r="I3" t="s">
        <v>430</v>
      </c>
      <c r="J3" t="s">
        <v>429</v>
      </c>
      <c r="K3" t="s">
        <v>429</v>
      </c>
      <c r="L3" t="str">
        <f>HYPERLINK("https://www.commcarehq.org/a/demo-18/api/form/attachment/7fb73889-eeab-4289-95fb-6e5abc958b16/1573118992066.jpg")</f>
        <v>https://www.commcarehq.org/a/demo-18/api/form/attachment/7fb73889-eeab-4289-95fb-6e5abc958b16/1573118992066.jpg</v>
      </c>
      <c r="M3" t="str">
        <f>HYPERLINK("https://www.commcarehq.org/a/demo-18/api/form/attachment/7fb73889-eeab-4289-95fb-6e5abc958b16/1573119030128.jpg")</f>
        <v>https://www.commcarehq.org/a/demo-18/api/form/attachment/7fb73889-eeab-4289-95fb-6e5abc958b16/1573119030128.jpg</v>
      </c>
      <c r="N3" t="str">
        <f>HYPERLINK("https://www.commcarehq.org/a/demo-18/api/form/attachment/7fb73889-eeab-4289-95fb-6e5abc958b16/1573119082139.jpg")</f>
        <v>https://www.commcarehq.org/a/demo-18/api/form/attachment/7fb73889-eeab-4289-95fb-6e5abc958b16/1573119082139.jpg</v>
      </c>
      <c r="O3" t="str">
        <f>HYPERLINK("https://www.commcarehq.org/a/demo-18/api/form/attachment/7fb73889-eeab-4289-95fb-6e5abc958b16/1573119096575.jpg")</f>
        <v>https://www.commcarehq.org/a/demo-18/api/form/attachment/7fb73889-eeab-4289-95fb-6e5abc958b16/1573119096575.jpg</v>
      </c>
      <c r="P3" t="str">
        <f>HYPERLINK("https://www.commcarehq.org/a/demo-18/api/form/attachment/7fb73889-eeab-4289-95fb-6e5abc958b16/1573119117078.jpg")</f>
        <v>https://www.commcarehq.org/a/demo-18/api/form/attachment/7fb73889-eeab-4289-95fb-6e5abc958b16/1573119117078.jpg</v>
      </c>
      <c r="Q3" t="str">
        <f>HYPERLINK("https://www.commcarehq.org/a/demo-18/api/form/attachment/7fb73889-eeab-4289-95fb-6e5abc958b16/1573119131668.jpg")</f>
        <v>https://www.commcarehq.org/a/demo-18/api/form/attachment/7fb73889-eeab-4289-95fb-6e5abc958b16/1573119131668.jpg</v>
      </c>
      <c r="R3" s="2">
        <v>43776.397372685184</v>
      </c>
      <c r="S3" s="2">
        <v>43776.395208333335</v>
      </c>
      <c r="T3" t="s">
        <v>32</v>
      </c>
      <c r="U3" s="2">
        <v>43776.425127314818</v>
      </c>
      <c r="V3" t="s">
        <v>520</v>
      </c>
      <c r="W3" t="s">
        <v>521</v>
      </c>
    </row>
    <row r="4" spans="1:23" x14ac:dyDescent="0.45">
      <c r="A4" t="s">
        <v>647</v>
      </c>
      <c r="B4">
        <v>6.6</v>
      </c>
      <c r="C4" s="1">
        <v>43806</v>
      </c>
      <c r="D4" s="1">
        <v>43776</v>
      </c>
      <c r="E4" t="s">
        <v>428</v>
      </c>
      <c r="F4" t="s">
        <v>429</v>
      </c>
      <c r="G4" t="s">
        <v>429</v>
      </c>
      <c r="H4" t="s">
        <v>429</v>
      </c>
      <c r="I4" t="s">
        <v>430</v>
      </c>
      <c r="J4" t="s">
        <v>429</v>
      </c>
      <c r="K4" t="s">
        <v>429</v>
      </c>
      <c r="L4" t="str">
        <f>HYPERLINK("https://www.commcarehq.org/a/demo-18/api/form/attachment/9c0d8362-8839-4177-a822-322c7d3490ae/1573119475056.jpg")</f>
        <v>https://www.commcarehq.org/a/demo-18/api/form/attachment/9c0d8362-8839-4177-a822-322c7d3490ae/1573119475056.jpg</v>
      </c>
      <c r="M4" t="str">
        <f>HYPERLINK("https://www.commcarehq.org/a/demo-18/api/form/attachment/9c0d8362-8839-4177-a822-322c7d3490ae/1573119496069.jpg")</f>
        <v>https://www.commcarehq.org/a/demo-18/api/form/attachment/9c0d8362-8839-4177-a822-322c7d3490ae/1573119496069.jpg</v>
      </c>
      <c r="N4" t="str">
        <f>HYPERLINK("https://www.commcarehq.org/a/demo-18/api/form/attachment/9c0d8362-8839-4177-a822-322c7d3490ae/1573119541670.jpg")</f>
        <v>https://www.commcarehq.org/a/demo-18/api/form/attachment/9c0d8362-8839-4177-a822-322c7d3490ae/1573119541670.jpg</v>
      </c>
      <c r="O4" t="str">
        <f>HYPERLINK("https://www.commcarehq.org/a/demo-18/api/form/attachment/9c0d8362-8839-4177-a822-322c7d3490ae/1573119552711.jpg")</f>
        <v>https://www.commcarehq.org/a/demo-18/api/form/attachment/9c0d8362-8839-4177-a822-322c7d3490ae/1573119552711.jpg</v>
      </c>
      <c r="P4" t="str">
        <f>HYPERLINK("https://www.commcarehq.org/a/demo-18/api/form/attachment/9c0d8362-8839-4177-a822-322c7d3490ae/1573119593229.jpg")</f>
        <v>https://www.commcarehq.org/a/demo-18/api/form/attachment/9c0d8362-8839-4177-a822-322c7d3490ae/1573119593229.jpg</v>
      </c>
      <c r="Q4" t="str">
        <f>HYPERLINK("https://www.commcarehq.org/a/demo-18/api/form/attachment/9c0d8362-8839-4177-a822-322c7d3490ae/1573119607159.jpg")</f>
        <v>https://www.commcarehq.org/a/demo-18/api/form/attachment/9c0d8362-8839-4177-a822-322c7d3490ae/1573119607159.jpg</v>
      </c>
      <c r="R4" s="2">
        <v>43776.402881944443</v>
      </c>
      <c r="S4" s="2">
        <v>43776.400775462964</v>
      </c>
      <c r="T4" t="s">
        <v>32</v>
      </c>
      <c r="U4" s="2">
        <v>43776.425358796296</v>
      </c>
      <c r="V4" t="s">
        <v>648</v>
      </c>
      <c r="W4" t="s">
        <v>649</v>
      </c>
    </row>
    <row r="5" spans="1:23" x14ac:dyDescent="0.45">
      <c r="A5" t="s">
        <v>575</v>
      </c>
      <c r="B5">
        <v>5.9</v>
      </c>
      <c r="C5" s="1">
        <v>43806</v>
      </c>
      <c r="D5" s="1">
        <v>43776</v>
      </c>
      <c r="E5" t="s">
        <v>428</v>
      </c>
      <c r="F5" t="s">
        <v>429</v>
      </c>
      <c r="G5" t="s">
        <v>429</v>
      </c>
      <c r="H5" t="s">
        <v>429</v>
      </c>
      <c r="I5" t="s">
        <v>447</v>
      </c>
      <c r="J5" t="s">
        <v>429</v>
      </c>
      <c r="K5" t="s">
        <v>429</v>
      </c>
      <c r="L5" t="str">
        <f>HYPERLINK("https://www.commcarehq.org/a/demo-18/api/form/attachment/e797c21b-ff5c-4fd0-85ba-3723c544a9bd/1573119989430.jpg")</f>
        <v>https://www.commcarehq.org/a/demo-18/api/form/attachment/e797c21b-ff5c-4fd0-85ba-3723c544a9bd/1573119989430.jpg</v>
      </c>
      <c r="M5" t="str">
        <f>HYPERLINK("https://www.commcarehq.org/a/demo-18/api/form/attachment/e797c21b-ff5c-4fd0-85ba-3723c544a9bd/1573120000644.jpg")</f>
        <v>https://www.commcarehq.org/a/demo-18/api/form/attachment/e797c21b-ff5c-4fd0-85ba-3723c544a9bd/1573120000644.jpg</v>
      </c>
      <c r="N5" t="str">
        <f>HYPERLINK("https://www.commcarehq.org/a/demo-18/api/form/attachment/e797c21b-ff5c-4fd0-85ba-3723c544a9bd/1573120045567.jpg")</f>
        <v>https://www.commcarehq.org/a/demo-18/api/form/attachment/e797c21b-ff5c-4fd0-85ba-3723c544a9bd/1573120045567.jpg</v>
      </c>
      <c r="O5" t="str">
        <f>HYPERLINK("https://www.commcarehq.org/a/demo-18/api/form/attachment/e797c21b-ff5c-4fd0-85ba-3723c544a9bd/1573120057261.jpg")</f>
        <v>https://www.commcarehq.org/a/demo-18/api/form/attachment/e797c21b-ff5c-4fd0-85ba-3723c544a9bd/1573120057261.jpg</v>
      </c>
      <c r="P5" t="str">
        <f>HYPERLINK("https://www.commcarehq.org/a/demo-18/api/form/attachment/e797c21b-ff5c-4fd0-85ba-3723c544a9bd/1573120076020.jpg")</f>
        <v>https://www.commcarehq.org/a/demo-18/api/form/attachment/e797c21b-ff5c-4fd0-85ba-3723c544a9bd/1573120076020.jpg</v>
      </c>
      <c r="Q5" t="str">
        <f>HYPERLINK("https://www.commcarehq.org/a/demo-18/api/form/attachment/e797c21b-ff5c-4fd0-85ba-3723c544a9bd/1573120089504.jpg")</f>
        <v>https://www.commcarehq.org/a/demo-18/api/form/attachment/e797c21b-ff5c-4fd0-85ba-3723c544a9bd/1573120089504.jpg</v>
      </c>
      <c r="R5" s="2">
        <v>43776.408460648148</v>
      </c>
      <c r="S5" s="2">
        <v>43776.4065162037</v>
      </c>
      <c r="T5" t="s">
        <v>32</v>
      </c>
      <c r="U5" s="2">
        <v>43776.425532407404</v>
      </c>
      <c r="V5" t="s">
        <v>576</v>
      </c>
      <c r="W5" t="s">
        <v>577</v>
      </c>
    </row>
    <row r="6" spans="1:23" x14ac:dyDescent="0.45">
      <c r="A6" t="s">
        <v>516</v>
      </c>
      <c r="B6">
        <v>6</v>
      </c>
      <c r="C6" s="1">
        <v>43807</v>
      </c>
      <c r="D6" s="1">
        <v>43777</v>
      </c>
      <c r="E6" t="s">
        <v>428</v>
      </c>
      <c r="F6" t="s">
        <v>429</v>
      </c>
      <c r="G6" t="s">
        <v>429</v>
      </c>
      <c r="H6" t="s">
        <v>429</v>
      </c>
      <c r="I6" t="s">
        <v>447</v>
      </c>
      <c r="J6" t="s">
        <v>429</v>
      </c>
      <c r="K6" t="s">
        <v>429</v>
      </c>
      <c r="L6" t="str">
        <f>HYPERLINK("https://www.commcarehq.org/a/demo-18/api/form/attachment/f3c6dda3-06b1-4cc5-9d9e-2252a15a5127/1573204511231.jpg")</f>
        <v>https://www.commcarehq.org/a/demo-18/api/form/attachment/f3c6dda3-06b1-4cc5-9d9e-2252a15a5127/1573204511231.jpg</v>
      </c>
      <c r="M6" t="str">
        <f>HYPERLINK("https://www.commcarehq.org/a/demo-18/api/form/attachment/f3c6dda3-06b1-4cc5-9d9e-2252a15a5127/1573204521535.jpg")</f>
        <v>https://www.commcarehq.org/a/demo-18/api/form/attachment/f3c6dda3-06b1-4cc5-9d9e-2252a15a5127/1573204521535.jpg</v>
      </c>
      <c r="N6" t="str">
        <f>HYPERLINK("https://www.commcarehq.org/a/demo-18/api/form/attachment/f3c6dda3-06b1-4cc5-9d9e-2252a15a5127/1573204585037.jpg")</f>
        <v>https://www.commcarehq.org/a/demo-18/api/form/attachment/f3c6dda3-06b1-4cc5-9d9e-2252a15a5127/1573204585037.jpg</v>
      </c>
      <c r="O6" t="str">
        <f>HYPERLINK("https://www.commcarehq.org/a/demo-18/api/form/attachment/f3c6dda3-06b1-4cc5-9d9e-2252a15a5127/1573204598935.jpg")</f>
        <v>https://www.commcarehq.org/a/demo-18/api/form/attachment/f3c6dda3-06b1-4cc5-9d9e-2252a15a5127/1573204598935.jpg</v>
      </c>
      <c r="P6" t="str">
        <f>HYPERLINK("https://www.commcarehq.org/a/demo-18/api/form/attachment/f3c6dda3-06b1-4cc5-9d9e-2252a15a5127/1573204639494.jpg")</f>
        <v>https://www.commcarehq.org/a/demo-18/api/form/attachment/f3c6dda3-06b1-4cc5-9d9e-2252a15a5127/1573204639494.jpg</v>
      </c>
      <c r="Q6" t="str">
        <f>HYPERLINK("https://www.commcarehq.org/a/demo-18/api/form/attachment/f3c6dda3-06b1-4cc5-9d9e-2252a15a5127/1573204653744.jpg")</f>
        <v>https://www.commcarehq.org/a/demo-18/api/form/attachment/f3c6dda3-06b1-4cc5-9d9e-2252a15a5127/1573204653744.jpg</v>
      </c>
      <c r="R6" s="2">
        <v>43777.38722222222</v>
      </c>
      <c r="S6" s="2">
        <v>43777.384814814817</v>
      </c>
      <c r="T6" t="s">
        <v>22</v>
      </c>
      <c r="U6" s="2">
        <v>43777.629166666666</v>
      </c>
      <c r="V6" t="s">
        <v>517</v>
      </c>
      <c r="W6" t="s">
        <v>518</v>
      </c>
    </row>
    <row r="7" spans="1:23" x14ac:dyDescent="0.45">
      <c r="A7" t="s">
        <v>578</v>
      </c>
      <c r="B7">
        <v>6</v>
      </c>
      <c r="C7" s="1">
        <v>43807</v>
      </c>
      <c r="D7" s="1">
        <v>43777</v>
      </c>
      <c r="E7" t="s">
        <v>428</v>
      </c>
      <c r="F7" t="s">
        <v>429</v>
      </c>
      <c r="G7" t="s">
        <v>429</v>
      </c>
      <c r="H7" t="s">
        <v>429</v>
      </c>
      <c r="I7" t="s">
        <v>579</v>
      </c>
      <c r="J7" t="s">
        <v>429</v>
      </c>
      <c r="K7" t="s">
        <v>429</v>
      </c>
      <c r="L7" t="str">
        <f>HYPERLINK("https://www.commcarehq.org/a/demo-18/api/form/attachment/3f2ed042-224d-45f3-9852-cd05590e97ef/1573205358584.jpg")</f>
        <v>https://www.commcarehq.org/a/demo-18/api/form/attachment/3f2ed042-224d-45f3-9852-cd05590e97ef/1573205358584.jpg</v>
      </c>
      <c r="M7" t="str">
        <f>HYPERLINK("https://www.commcarehq.org/a/demo-18/api/form/attachment/3f2ed042-224d-45f3-9852-cd05590e97ef/1573205375868.jpg")</f>
        <v>https://www.commcarehq.org/a/demo-18/api/form/attachment/3f2ed042-224d-45f3-9852-cd05590e97ef/1573205375868.jpg</v>
      </c>
      <c r="N7" t="str">
        <f>HYPERLINK("https://www.commcarehq.org/a/demo-18/api/form/attachment/3f2ed042-224d-45f3-9852-cd05590e97ef/1573205603861.jpg")</f>
        <v>https://www.commcarehq.org/a/demo-18/api/form/attachment/3f2ed042-224d-45f3-9852-cd05590e97ef/1573205603861.jpg</v>
      </c>
      <c r="O7" t="str">
        <f>HYPERLINK("https://www.commcarehq.org/a/demo-18/api/form/attachment/3f2ed042-224d-45f3-9852-cd05590e97ef/1573205635178.jpg")</f>
        <v>https://www.commcarehq.org/a/demo-18/api/form/attachment/3f2ed042-224d-45f3-9852-cd05590e97ef/1573205635178.jpg</v>
      </c>
      <c r="P7" t="str">
        <f>HYPERLINK("https://www.commcarehq.org/a/demo-18/api/form/attachment/3f2ed042-224d-45f3-9852-cd05590e97ef/1573205718021.jpg")</f>
        <v>https://www.commcarehq.org/a/demo-18/api/form/attachment/3f2ed042-224d-45f3-9852-cd05590e97ef/1573205718021.jpg</v>
      </c>
      <c r="Q7" t="str">
        <f>HYPERLINK("https://www.commcarehq.org/a/demo-18/api/form/attachment/3f2ed042-224d-45f3-9852-cd05590e97ef/1573205730602.jpg")</f>
        <v>https://www.commcarehq.org/a/demo-18/api/form/attachment/3f2ed042-224d-45f3-9852-cd05590e97ef/1573205730602.jpg</v>
      </c>
      <c r="R7" s="2">
        <v>43777.39980324074</v>
      </c>
      <c r="S7" s="2">
        <v>43777.394652777781</v>
      </c>
      <c r="T7" t="s">
        <v>22</v>
      </c>
      <c r="U7" s="2">
        <v>43777.629317129627</v>
      </c>
      <c r="V7" t="s">
        <v>580</v>
      </c>
      <c r="W7" t="s">
        <v>581</v>
      </c>
    </row>
    <row r="8" spans="1:23" x14ac:dyDescent="0.45">
      <c r="A8" t="s">
        <v>600</v>
      </c>
      <c r="B8">
        <v>5.2</v>
      </c>
      <c r="C8" s="1">
        <v>43807</v>
      </c>
      <c r="D8" s="1">
        <v>43777</v>
      </c>
      <c r="E8" t="s">
        <v>428</v>
      </c>
      <c r="F8" t="s">
        <v>429</v>
      </c>
      <c r="G8" t="s">
        <v>429</v>
      </c>
      <c r="H8" t="s">
        <v>429</v>
      </c>
      <c r="I8" t="s">
        <v>601</v>
      </c>
      <c r="J8" t="s">
        <v>429</v>
      </c>
      <c r="K8" t="s">
        <v>429</v>
      </c>
      <c r="L8" t="str">
        <f>HYPERLINK("https://www.commcarehq.org/a/demo-18/api/form/attachment/64e9dfbf-c5f4-48b1-a3ee-ec851da0731c/1573206413484.jpg")</f>
        <v>https://www.commcarehq.org/a/demo-18/api/form/attachment/64e9dfbf-c5f4-48b1-a3ee-ec851da0731c/1573206413484.jpg</v>
      </c>
      <c r="M8" t="str">
        <f>HYPERLINK("https://www.commcarehq.org/a/demo-18/api/form/attachment/64e9dfbf-c5f4-48b1-a3ee-ec851da0731c/1573206438011.jpg")</f>
        <v>https://www.commcarehq.org/a/demo-18/api/form/attachment/64e9dfbf-c5f4-48b1-a3ee-ec851da0731c/1573206438011.jpg</v>
      </c>
      <c r="N8" t="str">
        <f>HYPERLINK("https://www.commcarehq.org/a/demo-18/api/form/attachment/64e9dfbf-c5f4-48b1-a3ee-ec851da0731c/1573206538068.jpg")</f>
        <v>https://www.commcarehq.org/a/demo-18/api/form/attachment/64e9dfbf-c5f4-48b1-a3ee-ec851da0731c/1573206538068.jpg</v>
      </c>
      <c r="O8" t="str">
        <f>HYPERLINK("https://www.commcarehq.org/a/demo-18/api/form/attachment/64e9dfbf-c5f4-48b1-a3ee-ec851da0731c/1573206554180.jpg")</f>
        <v>https://www.commcarehq.org/a/demo-18/api/form/attachment/64e9dfbf-c5f4-48b1-a3ee-ec851da0731c/1573206554180.jpg</v>
      </c>
      <c r="P8" t="str">
        <f>HYPERLINK("https://www.commcarehq.org/a/demo-18/api/form/attachment/64e9dfbf-c5f4-48b1-a3ee-ec851da0731c/1573206610120.jpg")</f>
        <v>https://www.commcarehq.org/a/demo-18/api/form/attachment/64e9dfbf-c5f4-48b1-a3ee-ec851da0731c/1573206610120.jpg</v>
      </c>
      <c r="Q8" t="str">
        <f>HYPERLINK("https://www.commcarehq.org/a/demo-18/api/form/attachment/64e9dfbf-c5f4-48b1-a3ee-ec851da0731c/1573206635849.jpg")</f>
        <v>https://www.commcarehq.org/a/demo-18/api/form/attachment/64e9dfbf-c5f4-48b1-a3ee-ec851da0731c/1573206635849.jpg</v>
      </c>
      <c r="R8" s="2">
        <v>43777.41033564815</v>
      </c>
      <c r="S8" s="2">
        <v>43777.406805555554</v>
      </c>
      <c r="T8" t="s">
        <v>22</v>
      </c>
      <c r="U8" s="2">
        <v>43777.63013888889</v>
      </c>
      <c r="V8" t="s">
        <v>602</v>
      </c>
      <c r="W8" t="s">
        <v>603</v>
      </c>
    </row>
    <row r="9" spans="1:23" x14ac:dyDescent="0.45">
      <c r="A9" t="s">
        <v>604</v>
      </c>
      <c r="B9">
        <v>6.8</v>
      </c>
      <c r="C9" s="1">
        <v>43807</v>
      </c>
      <c r="D9" s="1">
        <v>43777</v>
      </c>
      <c r="E9" t="s">
        <v>428</v>
      </c>
      <c r="F9" t="s">
        <v>429</v>
      </c>
      <c r="G9" t="s">
        <v>429</v>
      </c>
      <c r="H9" t="s">
        <v>429</v>
      </c>
      <c r="I9" t="s">
        <v>447</v>
      </c>
      <c r="J9" t="s">
        <v>429</v>
      </c>
      <c r="K9" t="s">
        <v>429</v>
      </c>
      <c r="L9" t="str">
        <f>HYPERLINK("https://www.commcarehq.org/a/demo-18/api/form/attachment/e952ffe3-48f6-405d-844d-a928b12b62ad/1573206935714.jpg")</f>
        <v>https://www.commcarehq.org/a/demo-18/api/form/attachment/e952ffe3-48f6-405d-844d-a928b12b62ad/1573206935714.jpg</v>
      </c>
      <c r="M9" t="str">
        <f>HYPERLINK("https://www.commcarehq.org/a/demo-18/api/form/attachment/e952ffe3-48f6-405d-844d-a928b12b62ad/1573206954414.jpg")</f>
        <v>https://www.commcarehq.org/a/demo-18/api/form/attachment/e952ffe3-48f6-405d-844d-a928b12b62ad/1573206954414.jpg</v>
      </c>
      <c r="N9" t="str">
        <f>HYPERLINK("https://www.commcarehq.org/a/demo-18/api/form/attachment/e952ffe3-48f6-405d-844d-a928b12b62ad/1573207016133.jpg")</f>
        <v>https://www.commcarehq.org/a/demo-18/api/form/attachment/e952ffe3-48f6-405d-844d-a928b12b62ad/1573207016133.jpg</v>
      </c>
      <c r="O9" t="str">
        <f>HYPERLINK("https://www.commcarehq.org/a/demo-18/api/form/attachment/e952ffe3-48f6-405d-844d-a928b12b62ad/1573207031721.jpg")</f>
        <v>https://www.commcarehq.org/a/demo-18/api/form/attachment/e952ffe3-48f6-405d-844d-a928b12b62ad/1573207031721.jpg</v>
      </c>
      <c r="P9" t="str">
        <f>HYPERLINK("https://www.commcarehq.org/a/demo-18/api/form/attachment/e952ffe3-48f6-405d-844d-a928b12b62ad/1573207100206.jpg")</f>
        <v>https://www.commcarehq.org/a/demo-18/api/form/attachment/e952ffe3-48f6-405d-844d-a928b12b62ad/1573207100206.jpg</v>
      </c>
      <c r="Q9" t="str">
        <f>HYPERLINK("https://www.commcarehq.org/a/demo-18/api/form/attachment/e952ffe3-48f6-405d-844d-a928b12b62ad/1573207113822.jpg")</f>
        <v>https://www.commcarehq.org/a/demo-18/api/form/attachment/e952ffe3-48f6-405d-844d-a928b12b62ad/1573207113822.jpg</v>
      </c>
      <c r="R9" s="2">
        <v>43777.41609953704</v>
      </c>
      <c r="S9" s="2">
        <v>43777.412847222222</v>
      </c>
      <c r="T9" t="s">
        <v>22</v>
      </c>
      <c r="U9" s="2">
        <v>43777.630312499998</v>
      </c>
      <c r="V9" t="s">
        <v>605</v>
      </c>
      <c r="W9" t="s">
        <v>606</v>
      </c>
    </row>
    <row r="10" spans="1:23" x14ac:dyDescent="0.45">
      <c r="A10" t="s">
        <v>644</v>
      </c>
      <c r="B10">
        <v>6.1</v>
      </c>
      <c r="C10" s="1">
        <v>43810</v>
      </c>
      <c r="D10" s="1">
        <v>43780</v>
      </c>
      <c r="E10" t="s">
        <v>428</v>
      </c>
      <c r="F10" t="s">
        <v>429</v>
      </c>
      <c r="G10" t="s">
        <v>429</v>
      </c>
      <c r="H10" t="s">
        <v>429</v>
      </c>
      <c r="I10" t="s">
        <v>447</v>
      </c>
      <c r="J10" t="s">
        <v>429</v>
      </c>
      <c r="K10" t="s">
        <v>429</v>
      </c>
      <c r="L10" t="str">
        <f>HYPERLINK("https://www.commcarehq.org/a/demo-18/api/form/attachment/4b370091-4787-4f1a-bf3a-3923aa54e17a/1573464462751.jpg")</f>
        <v>https://www.commcarehq.org/a/demo-18/api/form/attachment/4b370091-4787-4f1a-bf3a-3923aa54e17a/1573464462751.jpg</v>
      </c>
      <c r="M10" t="str">
        <f>HYPERLINK("https://www.commcarehq.org/a/demo-18/api/form/attachment/4b370091-4787-4f1a-bf3a-3923aa54e17a/1573464479110.jpg")</f>
        <v>https://www.commcarehq.org/a/demo-18/api/form/attachment/4b370091-4787-4f1a-bf3a-3923aa54e17a/1573464479110.jpg</v>
      </c>
      <c r="N10" t="str">
        <f>HYPERLINK("https://www.commcarehq.org/a/demo-18/api/form/attachment/4b370091-4787-4f1a-bf3a-3923aa54e17a/1573464515597.jpg")</f>
        <v>https://www.commcarehq.org/a/demo-18/api/form/attachment/4b370091-4787-4f1a-bf3a-3923aa54e17a/1573464515597.jpg</v>
      </c>
      <c r="O10" t="str">
        <f>HYPERLINK("https://www.commcarehq.org/a/demo-18/api/form/attachment/4b370091-4787-4f1a-bf3a-3923aa54e17a/1573464528251.jpg")</f>
        <v>https://www.commcarehq.org/a/demo-18/api/form/attachment/4b370091-4787-4f1a-bf3a-3923aa54e17a/1573464528251.jpg</v>
      </c>
      <c r="P10" t="str">
        <f>HYPERLINK("https://www.commcarehq.org/a/demo-18/api/form/attachment/4b370091-4787-4f1a-bf3a-3923aa54e17a/1573464547713.jpg")</f>
        <v>https://www.commcarehq.org/a/demo-18/api/form/attachment/4b370091-4787-4f1a-bf3a-3923aa54e17a/1573464547713.jpg</v>
      </c>
      <c r="Q10" t="str">
        <f>HYPERLINK("https://www.commcarehq.org/a/demo-18/api/form/attachment/4b370091-4787-4f1a-bf3a-3923aa54e17a/1573464561669.jpg")</f>
        <v>https://www.commcarehq.org/a/demo-18/api/form/attachment/4b370091-4787-4f1a-bf3a-3923aa54e17a/1573464561669.jpg</v>
      </c>
      <c r="R10" s="2">
        <v>43780.395405092589</v>
      </c>
      <c r="S10" s="2">
        <v>43780.393599537034</v>
      </c>
      <c r="T10" t="s">
        <v>32</v>
      </c>
      <c r="U10" s="2">
        <v>43780.422743055555</v>
      </c>
      <c r="V10" t="s">
        <v>645</v>
      </c>
      <c r="W10" t="s">
        <v>646</v>
      </c>
    </row>
    <row r="11" spans="1:23" x14ac:dyDescent="0.45">
      <c r="A11" t="s">
        <v>562</v>
      </c>
      <c r="B11">
        <v>7.8</v>
      </c>
      <c r="C11" s="1">
        <v>43810</v>
      </c>
      <c r="D11" s="1">
        <v>43780</v>
      </c>
      <c r="E11" t="s">
        <v>428</v>
      </c>
      <c r="F11" t="s">
        <v>429</v>
      </c>
      <c r="G11" t="s">
        <v>429</v>
      </c>
      <c r="H11" t="s">
        <v>429</v>
      </c>
      <c r="I11" t="s">
        <v>430</v>
      </c>
      <c r="J11" t="s">
        <v>429</v>
      </c>
      <c r="K11" t="s">
        <v>429</v>
      </c>
      <c r="L11" t="str">
        <f>HYPERLINK("https://www.commcarehq.org/a/demo-18/api/form/attachment/2e70801f-b47a-4f80-abf8-6ef169cc727d/1573464870741.jpg")</f>
        <v>https://www.commcarehq.org/a/demo-18/api/form/attachment/2e70801f-b47a-4f80-abf8-6ef169cc727d/1573464870741.jpg</v>
      </c>
      <c r="M11" t="str">
        <f>HYPERLINK("https://www.commcarehq.org/a/demo-18/api/form/attachment/2e70801f-b47a-4f80-abf8-6ef169cc727d/1573464888073.jpg")</f>
        <v>https://www.commcarehq.org/a/demo-18/api/form/attachment/2e70801f-b47a-4f80-abf8-6ef169cc727d/1573464888073.jpg</v>
      </c>
      <c r="N11" t="str">
        <f>HYPERLINK("https://www.commcarehq.org/a/demo-18/api/form/attachment/2e70801f-b47a-4f80-abf8-6ef169cc727d/1573464928119.jpg")</f>
        <v>https://www.commcarehq.org/a/demo-18/api/form/attachment/2e70801f-b47a-4f80-abf8-6ef169cc727d/1573464928119.jpg</v>
      </c>
      <c r="O11" t="str">
        <f>HYPERLINK("https://www.commcarehq.org/a/demo-18/api/form/attachment/2e70801f-b47a-4f80-abf8-6ef169cc727d/1573464941251.jpg")</f>
        <v>https://www.commcarehq.org/a/demo-18/api/form/attachment/2e70801f-b47a-4f80-abf8-6ef169cc727d/1573464941251.jpg</v>
      </c>
      <c r="P11" t="str">
        <f>HYPERLINK("https://www.commcarehq.org/a/demo-18/api/form/attachment/2e70801f-b47a-4f80-abf8-6ef169cc727d/1573464970524.jpg")</f>
        <v>https://www.commcarehq.org/a/demo-18/api/form/attachment/2e70801f-b47a-4f80-abf8-6ef169cc727d/1573464970524.jpg</v>
      </c>
      <c r="Q11" t="str">
        <f>HYPERLINK("https://www.commcarehq.org/a/demo-18/api/form/attachment/2e70801f-b47a-4f80-abf8-6ef169cc727d/1573464989935.jpg")</f>
        <v>https://www.commcarehq.org/a/demo-18/api/form/attachment/2e70801f-b47a-4f80-abf8-6ef169cc727d/1573464989935.jpg</v>
      </c>
      <c r="R11" s="2">
        <v>43780.400370370371</v>
      </c>
      <c r="S11" s="2">
        <v>43780.398206018515</v>
      </c>
      <c r="T11" t="s">
        <v>32</v>
      </c>
      <c r="U11" s="2">
        <v>43780.42291666667</v>
      </c>
      <c r="V11" s="3" t="s">
        <v>563</v>
      </c>
      <c r="W11" t="s">
        <v>564</v>
      </c>
    </row>
    <row r="12" spans="1:23" x14ac:dyDescent="0.45">
      <c r="A12" t="s">
        <v>522</v>
      </c>
      <c r="B12">
        <v>6.5</v>
      </c>
      <c r="C12" s="1">
        <v>43810</v>
      </c>
      <c r="D12" s="1">
        <v>43780</v>
      </c>
      <c r="E12" t="s">
        <v>428</v>
      </c>
      <c r="F12" t="s">
        <v>429</v>
      </c>
      <c r="G12" t="s">
        <v>429</v>
      </c>
      <c r="H12" t="s">
        <v>429</v>
      </c>
      <c r="I12" t="s">
        <v>430</v>
      </c>
      <c r="J12" t="s">
        <v>429</v>
      </c>
      <c r="K12" t="s">
        <v>429</v>
      </c>
      <c r="L12" t="str">
        <f>HYPERLINK("https://www.commcarehq.org/a/demo-18/api/form/attachment/d093b333-336c-48a7-887f-ed8f619b3d10/1573465269503.jpg")</f>
        <v>https://www.commcarehq.org/a/demo-18/api/form/attachment/d093b333-336c-48a7-887f-ed8f619b3d10/1573465269503.jpg</v>
      </c>
      <c r="M12" t="str">
        <f>HYPERLINK("https://www.commcarehq.org/a/demo-18/api/form/attachment/d093b333-336c-48a7-887f-ed8f619b3d10/1573465289835.jpg")</f>
        <v>https://www.commcarehq.org/a/demo-18/api/form/attachment/d093b333-336c-48a7-887f-ed8f619b3d10/1573465289835.jpg</v>
      </c>
      <c r="N12" t="str">
        <f>HYPERLINK("https://www.commcarehq.org/a/demo-18/api/form/attachment/d093b333-336c-48a7-887f-ed8f619b3d10/1573465354117.jpg")</f>
        <v>https://www.commcarehq.org/a/demo-18/api/form/attachment/d093b333-336c-48a7-887f-ed8f619b3d10/1573465354117.jpg</v>
      </c>
      <c r="O12" t="str">
        <f>HYPERLINK("https://www.commcarehq.org/a/demo-18/api/form/attachment/d093b333-336c-48a7-887f-ed8f619b3d10/1573465367065.jpg")</f>
        <v>https://www.commcarehq.org/a/demo-18/api/form/attachment/d093b333-336c-48a7-887f-ed8f619b3d10/1573465367065.jpg</v>
      </c>
      <c r="P12" t="str">
        <f>HYPERLINK("https://www.commcarehq.org/a/demo-18/api/form/attachment/d093b333-336c-48a7-887f-ed8f619b3d10/1573465392681.jpg")</f>
        <v>https://www.commcarehq.org/a/demo-18/api/form/attachment/d093b333-336c-48a7-887f-ed8f619b3d10/1573465392681.jpg</v>
      </c>
      <c r="Q12" t="str">
        <f>HYPERLINK("https://www.commcarehq.org/a/demo-18/api/form/attachment/d093b333-336c-48a7-887f-ed8f619b3d10/1573465412710.jpg")</f>
        <v>https://www.commcarehq.org/a/demo-18/api/form/attachment/d093b333-336c-48a7-887f-ed8f619b3d10/1573465412710.jpg</v>
      </c>
      <c r="R12" s="2">
        <v>43780.405312499999</v>
      </c>
      <c r="S12" s="2">
        <v>43780.403124999997</v>
      </c>
      <c r="T12" t="s">
        <v>32</v>
      </c>
      <c r="U12" s="2">
        <v>43780.423113425924</v>
      </c>
      <c r="V12" t="s">
        <v>523</v>
      </c>
      <c r="W12" t="s">
        <v>524</v>
      </c>
    </row>
    <row r="13" spans="1:23" x14ac:dyDescent="0.45">
      <c r="A13" t="s">
        <v>619</v>
      </c>
      <c r="B13">
        <v>4.4000000000000004</v>
      </c>
      <c r="C13" s="1">
        <v>43817</v>
      </c>
      <c r="D13" s="1">
        <v>43787</v>
      </c>
      <c r="E13" t="s">
        <v>428</v>
      </c>
      <c r="F13" t="s">
        <v>429</v>
      </c>
      <c r="G13" t="s">
        <v>429</v>
      </c>
      <c r="H13" t="s">
        <v>429</v>
      </c>
      <c r="I13" t="s">
        <v>430</v>
      </c>
      <c r="J13" t="s">
        <v>429</v>
      </c>
      <c r="K13" t="s">
        <v>429</v>
      </c>
      <c r="L13" t="str">
        <f>HYPERLINK("https://www.commcarehq.org/a/demo-18/api/form/attachment/f9ba5ab4-5051-4314-9302-1c382c2b5335/1574064418104.jpg")</f>
        <v>https://www.commcarehq.org/a/demo-18/api/form/attachment/f9ba5ab4-5051-4314-9302-1c382c2b5335/1574064418104.jpg</v>
      </c>
      <c r="M13" t="str">
        <f>HYPERLINK("https://www.commcarehq.org/a/demo-18/api/form/attachment/f9ba5ab4-5051-4314-9302-1c382c2b5335/1574064440751.jpg")</f>
        <v>https://www.commcarehq.org/a/demo-18/api/form/attachment/f9ba5ab4-5051-4314-9302-1c382c2b5335/1574064440751.jpg</v>
      </c>
      <c r="N13" t="str">
        <f>HYPERLINK("https://www.commcarehq.org/a/demo-18/api/form/attachment/f9ba5ab4-5051-4314-9302-1c382c2b5335/1574064490430.jpg")</f>
        <v>https://www.commcarehq.org/a/demo-18/api/form/attachment/f9ba5ab4-5051-4314-9302-1c382c2b5335/1574064490430.jpg</v>
      </c>
      <c r="O13" t="str">
        <f>HYPERLINK("https://www.commcarehq.org/a/demo-18/api/form/attachment/f9ba5ab4-5051-4314-9302-1c382c2b5335/1574064501636.jpg")</f>
        <v>https://www.commcarehq.org/a/demo-18/api/form/attachment/f9ba5ab4-5051-4314-9302-1c382c2b5335/1574064501636.jpg</v>
      </c>
      <c r="P13" t="str">
        <f>HYPERLINK("https://www.commcarehq.org/a/demo-18/api/form/attachment/f9ba5ab4-5051-4314-9302-1c382c2b5335/1574064524012.jpg")</f>
        <v>https://www.commcarehq.org/a/demo-18/api/form/attachment/f9ba5ab4-5051-4314-9302-1c382c2b5335/1574064524012.jpg</v>
      </c>
      <c r="Q13" t="str">
        <f>HYPERLINK("https://www.commcarehq.org/a/demo-18/api/form/attachment/f9ba5ab4-5051-4314-9302-1c382c2b5335/1574064533275.jpg")</f>
        <v>https://www.commcarehq.org/a/demo-18/api/form/attachment/f9ba5ab4-5051-4314-9302-1c382c2b5335/1574064533275.jpg</v>
      </c>
      <c r="R13" s="2">
        <v>43787.33965277778</v>
      </c>
      <c r="S13" s="2">
        <v>43787.337523148148</v>
      </c>
      <c r="T13" t="s">
        <v>32</v>
      </c>
      <c r="U13" s="2">
        <v>43787.429872685185</v>
      </c>
      <c r="V13" s="3" t="s">
        <v>620</v>
      </c>
      <c r="W13" t="s">
        <v>621</v>
      </c>
    </row>
    <row r="14" spans="1:23" x14ac:dyDescent="0.45">
      <c r="A14" t="s">
        <v>543</v>
      </c>
      <c r="B14">
        <v>7</v>
      </c>
      <c r="C14" s="1">
        <v>43817</v>
      </c>
      <c r="D14" s="1">
        <v>43787</v>
      </c>
      <c r="E14" t="s">
        <v>428</v>
      </c>
      <c r="F14" t="s">
        <v>429</v>
      </c>
      <c r="G14" t="s">
        <v>429</v>
      </c>
      <c r="H14" t="s">
        <v>429</v>
      </c>
      <c r="I14" t="s">
        <v>544</v>
      </c>
      <c r="J14" t="s">
        <v>429</v>
      </c>
      <c r="K14" t="s">
        <v>429</v>
      </c>
      <c r="L14" t="str">
        <f>HYPERLINK("https://www.commcarehq.org/a/demo-18/api/form/attachment/1f8dfa3f-b246-46c4-805a-ab9d93c8994d/1574064956207.jpg")</f>
        <v>https://www.commcarehq.org/a/demo-18/api/form/attachment/1f8dfa3f-b246-46c4-805a-ab9d93c8994d/1574064956207.jpg</v>
      </c>
      <c r="M14" t="str">
        <f>HYPERLINK("https://www.commcarehq.org/a/demo-18/api/form/attachment/1f8dfa3f-b246-46c4-805a-ab9d93c8994d/1574064969758.jpg")</f>
        <v>https://www.commcarehq.org/a/demo-18/api/form/attachment/1f8dfa3f-b246-46c4-805a-ab9d93c8994d/1574064969758.jpg</v>
      </c>
      <c r="N14" t="str">
        <f>HYPERLINK("https://www.commcarehq.org/a/demo-18/api/form/attachment/1f8dfa3f-b246-46c4-805a-ab9d93c8994d/1574065025776.jpg")</f>
        <v>https://www.commcarehq.org/a/demo-18/api/form/attachment/1f8dfa3f-b246-46c4-805a-ab9d93c8994d/1574065025776.jpg</v>
      </c>
      <c r="O14" t="str">
        <f>HYPERLINK("https://www.commcarehq.org/a/demo-18/api/form/attachment/1f8dfa3f-b246-46c4-805a-ab9d93c8994d/1574065036766.jpg")</f>
        <v>https://www.commcarehq.org/a/demo-18/api/form/attachment/1f8dfa3f-b246-46c4-805a-ab9d93c8994d/1574065036766.jpg</v>
      </c>
      <c r="P14" t="str">
        <f>HYPERLINK("https://www.commcarehq.org/a/demo-18/api/form/attachment/1f8dfa3f-b246-46c4-805a-ab9d93c8994d/1574065059061.jpg")</f>
        <v>https://www.commcarehq.org/a/demo-18/api/form/attachment/1f8dfa3f-b246-46c4-805a-ab9d93c8994d/1574065059061.jpg</v>
      </c>
      <c r="Q14" t="str">
        <f>HYPERLINK("https://www.commcarehq.org/a/demo-18/api/form/attachment/1f8dfa3f-b246-46c4-805a-ab9d93c8994d/1574065070156.jpg")</f>
        <v>https://www.commcarehq.org/a/demo-18/api/form/attachment/1f8dfa3f-b246-46c4-805a-ab9d93c8994d/1574065070156.jpg</v>
      </c>
      <c r="R14" s="2">
        <v>43787.34579861111</v>
      </c>
      <c r="S14" s="2">
        <v>43787.343819444446</v>
      </c>
      <c r="T14" t="s">
        <v>32</v>
      </c>
      <c r="U14" s="2">
        <v>43787.430127314816</v>
      </c>
      <c r="V14" t="s">
        <v>545</v>
      </c>
      <c r="W14" t="s">
        <v>546</v>
      </c>
    </row>
    <row r="15" spans="1:23" x14ac:dyDescent="0.45">
      <c r="A15" t="s">
        <v>525</v>
      </c>
      <c r="B15">
        <v>6</v>
      </c>
      <c r="C15" s="1">
        <v>43817</v>
      </c>
      <c r="D15" s="1">
        <v>43787</v>
      </c>
      <c r="E15" t="s">
        <v>428</v>
      </c>
      <c r="F15" t="s">
        <v>429</v>
      </c>
      <c r="G15" t="s">
        <v>429</v>
      </c>
      <c r="H15" t="s">
        <v>429</v>
      </c>
      <c r="I15" t="s">
        <v>447</v>
      </c>
      <c r="J15" t="s">
        <v>429</v>
      </c>
      <c r="K15" t="s">
        <v>429</v>
      </c>
      <c r="L15" t="str">
        <f>HYPERLINK("https://www.commcarehq.org/a/demo-18/api/form/attachment/119937ed-0bb5-445b-8f68-ffcecbee7b5c/1574066904979.jpg")</f>
        <v>https://www.commcarehq.org/a/demo-18/api/form/attachment/119937ed-0bb5-445b-8f68-ffcecbee7b5c/1574066904979.jpg</v>
      </c>
      <c r="M15" t="str">
        <f>HYPERLINK("https://www.commcarehq.org/a/demo-18/api/form/attachment/119937ed-0bb5-445b-8f68-ffcecbee7b5c/1574066919974.jpg")</f>
        <v>https://www.commcarehq.org/a/demo-18/api/form/attachment/119937ed-0bb5-445b-8f68-ffcecbee7b5c/1574066919974.jpg</v>
      </c>
      <c r="N15" t="str">
        <f>HYPERLINK("https://www.commcarehq.org/a/demo-18/api/form/attachment/119937ed-0bb5-445b-8f68-ffcecbee7b5c/1574067278601.jpg")</f>
        <v>https://www.commcarehq.org/a/demo-18/api/form/attachment/119937ed-0bb5-445b-8f68-ffcecbee7b5c/1574067278601.jpg</v>
      </c>
      <c r="O15" t="str">
        <f>HYPERLINK("https://www.commcarehq.org/a/demo-18/api/form/attachment/119937ed-0bb5-445b-8f68-ffcecbee7b5c/1574067357793.jpg")</f>
        <v>https://www.commcarehq.org/a/demo-18/api/form/attachment/119937ed-0bb5-445b-8f68-ffcecbee7b5c/1574067357793.jpg</v>
      </c>
      <c r="P15" t="str">
        <f>HYPERLINK("https://www.commcarehq.org/a/demo-18/api/form/attachment/119937ed-0bb5-445b-8f68-ffcecbee7b5c/1574067376192.jpg")</f>
        <v>https://www.commcarehq.org/a/demo-18/api/form/attachment/119937ed-0bb5-445b-8f68-ffcecbee7b5c/1574067376192.jpg</v>
      </c>
      <c r="Q15" t="str">
        <f>HYPERLINK("https://www.commcarehq.org/a/demo-18/api/form/attachment/119937ed-0bb5-445b-8f68-ffcecbee7b5c/1574067392586.jpg")</f>
        <v>https://www.commcarehq.org/a/demo-18/api/form/attachment/119937ed-0bb5-445b-8f68-ffcecbee7b5c/1574067392586.jpg</v>
      </c>
      <c r="R15" s="2">
        <v>43787.372627314813</v>
      </c>
      <c r="S15" s="2">
        <v>43787.366481481484</v>
      </c>
      <c r="T15" t="s">
        <v>32</v>
      </c>
      <c r="U15" s="2">
        <v>43787.430555555555</v>
      </c>
      <c r="V15" s="3" t="s">
        <v>526</v>
      </c>
      <c r="W15" t="s">
        <v>527</v>
      </c>
    </row>
    <row r="16" spans="1:23" x14ac:dyDescent="0.45">
      <c r="A16" t="s">
        <v>653</v>
      </c>
      <c r="B16">
        <v>6</v>
      </c>
      <c r="C16" s="1">
        <v>43817</v>
      </c>
      <c r="D16" s="1">
        <v>43787</v>
      </c>
      <c r="E16" t="s">
        <v>428</v>
      </c>
      <c r="F16" t="s">
        <v>429</v>
      </c>
      <c r="G16" t="s">
        <v>429</v>
      </c>
      <c r="H16" t="s">
        <v>429</v>
      </c>
      <c r="I16" t="s">
        <v>601</v>
      </c>
      <c r="J16" t="s">
        <v>429</v>
      </c>
      <c r="K16" t="s">
        <v>429</v>
      </c>
      <c r="L16" t="str">
        <f>HYPERLINK("https://www.commcarehq.org/a/demo-18/api/form/attachment/6a5741dc-01a0-449e-89ab-ea65de227418/1574068724159.jpg")</f>
        <v>https://www.commcarehq.org/a/demo-18/api/form/attachment/6a5741dc-01a0-449e-89ab-ea65de227418/1574068724159.jpg</v>
      </c>
      <c r="M16" t="str">
        <f>HYPERLINK("https://www.commcarehq.org/a/demo-18/api/form/attachment/6a5741dc-01a0-449e-89ab-ea65de227418/1574068737147.jpg")</f>
        <v>https://www.commcarehq.org/a/demo-18/api/form/attachment/6a5741dc-01a0-449e-89ab-ea65de227418/1574068737147.jpg</v>
      </c>
      <c r="N16" t="str">
        <f>HYPERLINK("https://www.commcarehq.org/a/demo-18/api/form/attachment/6a5741dc-01a0-449e-89ab-ea65de227418/1574068770427.jpg")</f>
        <v>https://www.commcarehq.org/a/demo-18/api/form/attachment/6a5741dc-01a0-449e-89ab-ea65de227418/1574068770427.jpg</v>
      </c>
      <c r="O16" t="str">
        <f>HYPERLINK("https://www.commcarehq.org/a/demo-18/api/form/attachment/6a5741dc-01a0-449e-89ab-ea65de227418/1574068791151.jpg")</f>
        <v>https://www.commcarehq.org/a/demo-18/api/form/attachment/6a5741dc-01a0-449e-89ab-ea65de227418/1574068791151.jpg</v>
      </c>
      <c r="P16" t="str">
        <f>HYPERLINK("https://www.commcarehq.org/a/demo-18/api/form/attachment/6a5741dc-01a0-449e-89ab-ea65de227418/1574068835109.jpg")</f>
        <v>https://www.commcarehq.org/a/demo-18/api/form/attachment/6a5741dc-01a0-449e-89ab-ea65de227418/1574068835109.jpg</v>
      </c>
      <c r="Q16" t="str">
        <f>HYPERLINK("https://www.commcarehq.org/a/demo-18/api/form/attachment/6a5741dc-01a0-449e-89ab-ea65de227418/1574068844698.jpg")</f>
        <v>https://www.commcarehq.org/a/demo-18/api/form/attachment/6a5741dc-01a0-449e-89ab-ea65de227418/1574068844698.jpg</v>
      </c>
      <c r="R16" s="2">
        <v>43787.389421296299</v>
      </c>
      <c r="S16" s="2">
        <v>43787.387349537035</v>
      </c>
      <c r="T16" t="s">
        <v>32</v>
      </c>
      <c r="U16" s="2">
        <v>43787.431030092594</v>
      </c>
      <c r="V16" t="s">
        <v>654</v>
      </c>
      <c r="W16" t="s">
        <v>655</v>
      </c>
    </row>
    <row r="17" spans="1:23" x14ac:dyDescent="0.45">
      <c r="A17" t="s">
        <v>650</v>
      </c>
      <c r="B17">
        <v>7.7</v>
      </c>
      <c r="C17" s="1">
        <v>43817</v>
      </c>
      <c r="D17" s="1">
        <v>43787</v>
      </c>
      <c r="E17" t="s">
        <v>428</v>
      </c>
      <c r="F17" t="s">
        <v>429</v>
      </c>
      <c r="G17" t="s">
        <v>429</v>
      </c>
      <c r="H17" t="s">
        <v>429</v>
      </c>
      <c r="I17" t="s">
        <v>447</v>
      </c>
      <c r="J17" t="s">
        <v>429</v>
      </c>
      <c r="K17" t="s">
        <v>429</v>
      </c>
      <c r="L17" t="str">
        <f>HYPERLINK("https://www.commcarehq.org/a/demo-18/api/form/attachment/142e0f94-098e-448e-b3d4-1e05913f9dc6/1574069261364.jpg")</f>
        <v>https://www.commcarehq.org/a/demo-18/api/form/attachment/142e0f94-098e-448e-b3d4-1e05913f9dc6/1574069261364.jpg</v>
      </c>
      <c r="M17" t="str">
        <f>HYPERLINK("https://www.commcarehq.org/a/demo-18/api/form/attachment/142e0f94-098e-448e-b3d4-1e05913f9dc6/1574069278339.jpg")</f>
        <v>https://www.commcarehq.org/a/demo-18/api/form/attachment/142e0f94-098e-448e-b3d4-1e05913f9dc6/1574069278339.jpg</v>
      </c>
      <c r="N17" t="str">
        <f>HYPERLINK("https://www.commcarehq.org/a/demo-18/api/form/attachment/142e0f94-098e-448e-b3d4-1e05913f9dc6/1574069333531.jpg")</f>
        <v>https://www.commcarehq.org/a/demo-18/api/form/attachment/142e0f94-098e-448e-b3d4-1e05913f9dc6/1574069333531.jpg</v>
      </c>
      <c r="O17" t="str">
        <f>HYPERLINK("https://www.commcarehq.org/a/demo-18/api/form/attachment/142e0f94-098e-448e-b3d4-1e05913f9dc6/1574069343626.jpg")</f>
        <v>https://www.commcarehq.org/a/demo-18/api/form/attachment/142e0f94-098e-448e-b3d4-1e05913f9dc6/1574069343626.jpg</v>
      </c>
      <c r="P17" t="str">
        <f>HYPERLINK("https://www.commcarehq.org/a/demo-18/api/form/attachment/142e0f94-098e-448e-b3d4-1e05913f9dc6/1574069363749.jpg")</f>
        <v>https://www.commcarehq.org/a/demo-18/api/form/attachment/142e0f94-098e-448e-b3d4-1e05913f9dc6/1574069363749.jpg</v>
      </c>
      <c r="Q17" t="str">
        <f>HYPERLINK("https://www.commcarehq.org/a/demo-18/api/form/attachment/142e0f94-098e-448e-b3d4-1e05913f9dc6/1574069374300.jpg")</f>
        <v>https://www.commcarehq.org/a/demo-18/api/form/attachment/142e0f94-098e-448e-b3d4-1e05913f9dc6/1574069374300.jpg</v>
      </c>
      <c r="R17" s="2">
        <v>43787.395567129628</v>
      </c>
      <c r="S17" s="2">
        <v>43787.393680555557</v>
      </c>
      <c r="T17" t="s">
        <v>32</v>
      </c>
      <c r="U17" s="2">
        <v>43787.431284722225</v>
      </c>
      <c r="V17" t="s">
        <v>651</v>
      </c>
      <c r="W17" t="s">
        <v>652</v>
      </c>
    </row>
    <row r="18" spans="1:23" x14ac:dyDescent="0.45">
      <c r="A18" t="s">
        <v>547</v>
      </c>
      <c r="B18">
        <v>7.7</v>
      </c>
      <c r="C18" s="1">
        <v>43817</v>
      </c>
      <c r="D18" s="1">
        <v>43787</v>
      </c>
      <c r="E18" t="s">
        <v>428</v>
      </c>
      <c r="F18" t="s">
        <v>429</v>
      </c>
      <c r="G18" t="s">
        <v>429</v>
      </c>
      <c r="H18" t="s">
        <v>429</v>
      </c>
      <c r="I18" t="s">
        <v>484</v>
      </c>
      <c r="J18" t="s">
        <v>429</v>
      </c>
      <c r="K18" t="s">
        <v>429</v>
      </c>
      <c r="L18" t="str">
        <f>HYPERLINK("https://www.commcarehq.org/a/demo-18/api/form/attachment/ac419d6b-6a3e-48c8-be17-4c50aa70037a/1574069814540.jpg")</f>
        <v>https://www.commcarehq.org/a/demo-18/api/form/attachment/ac419d6b-6a3e-48c8-be17-4c50aa70037a/1574069814540.jpg</v>
      </c>
      <c r="M18" t="str">
        <f>HYPERLINK("https://www.commcarehq.org/a/demo-18/api/form/attachment/ac419d6b-6a3e-48c8-be17-4c50aa70037a/1574069839963.jpg")</f>
        <v>https://www.commcarehq.org/a/demo-18/api/form/attachment/ac419d6b-6a3e-48c8-be17-4c50aa70037a/1574069839963.jpg</v>
      </c>
      <c r="N18" t="str">
        <f>HYPERLINK("https://www.commcarehq.org/a/demo-18/api/form/attachment/ac419d6b-6a3e-48c8-be17-4c50aa70037a/1574069933953.jpg")</f>
        <v>https://www.commcarehq.org/a/demo-18/api/form/attachment/ac419d6b-6a3e-48c8-be17-4c50aa70037a/1574069933953.jpg</v>
      </c>
      <c r="O18" t="str">
        <f>HYPERLINK("https://www.commcarehq.org/a/demo-18/api/form/attachment/ac419d6b-6a3e-48c8-be17-4c50aa70037a/1574069945154.jpg")</f>
        <v>https://www.commcarehq.org/a/demo-18/api/form/attachment/ac419d6b-6a3e-48c8-be17-4c50aa70037a/1574069945154.jpg</v>
      </c>
      <c r="P18" t="str">
        <f>HYPERLINK("https://www.commcarehq.org/a/demo-18/api/form/attachment/ac419d6b-6a3e-48c8-be17-4c50aa70037a/1574069975559.jpg")</f>
        <v>https://www.commcarehq.org/a/demo-18/api/form/attachment/ac419d6b-6a3e-48c8-be17-4c50aa70037a/1574069975559.jpg</v>
      </c>
      <c r="Q18" t="str">
        <f>HYPERLINK("https://www.commcarehq.org/a/demo-18/api/form/attachment/ac419d6b-6a3e-48c8-be17-4c50aa70037a/1574069987840.jpg")</f>
        <v>https://www.commcarehq.org/a/demo-18/api/form/attachment/ac419d6b-6a3e-48c8-be17-4c50aa70037a/1574069987840.jpg</v>
      </c>
      <c r="R18" s="2">
        <v>43787.402650462966</v>
      </c>
      <c r="S18" s="2">
        <v>43787.400127314817</v>
      </c>
      <c r="T18" t="s">
        <v>32</v>
      </c>
      <c r="U18" s="2">
        <v>43787.431516203702</v>
      </c>
      <c r="V18" t="s">
        <v>548</v>
      </c>
      <c r="W18" t="s">
        <v>549</v>
      </c>
    </row>
    <row r="19" spans="1:23" x14ac:dyDescent="0.45">
      <c r="A19" t="s">
        <v>622</v>
      </c>
      <c r="B19">
        <v>6</v>
      </c>
      <c r="C19" s="1">
        <v>43817</v>
      </c>
      <c r="D19" s="1">
        <v>43787</v>
      </c>
      <c r="E19" t="s">
        <v>428</v>
      </c>
      <c r="F19" t="s">
        <v>429</v>
      </c>
      <c r="G19" t="s">
        <v>429</v>
      </c>
      <c r="H19" t="s">
        <v>429</v>
      </c>
      <c r="I19" t="s">
        <v>484</v>
      </c>
      <c r="J19" t="s">
        <v>429</v>
      </c>
      <c r="K19" t="s">
        <v>429</v>
      </c>
      <c r="L19" t="str">
        <f>HYPERLINK("https://www.commcarehq.org/a/demo-18/api/form/attachment/de3314aa-edf5-4ec8-9d4d-0641039e62fd/1574070289502.jpg")</f>
        <v>https://www.commcarehq.org/a/demo-18/api/form/attachment/de3314aa-edf5-4ec8-9d4d-0641039e62fd/1574070289502.jpg</v>
      </c>
      <c r="M19" t="str">
        <f>HYPERLINK("https://www.commcarehq.org/a/demo-18/api/form/attachment/de3314aa-edf5-4ec8-9d4d-0641039e62fd/1574070305130.jpg")</f>
        <v>https://www.commcarehq.org/a/demo-18/api/form/attachment/de3314aa-edf5-4ec8-9d4d-0641039e62fd/1574070305130.jpg</v>
      </c>
      <c r="N19" t="str">
        <f>HYPERLINK("https://www.commcarehq.org/a/demo-18/api/form/attachment/de3314aa-edf5-4ec8-9d4d-0641039e62fd/1574070400484.jpg")</f>
        <v>https://www.commcarehq.org/a/demo-18/api/form/attachment/de3314aa-edf5-4ec8-9d4d-0641039e62fd/1574070400484.jpg</v>
      </c>
      <c r="O19" t="str">
        <f>HYPERLINK("https://www.commcarehq.org/a/demo-18/api/form/attachment/de3314aa-edf5-4ec8-9d4d-0641039e62fd/1574070413531.jpg")</f>
        <v>https://www.commcarehq.org/a/demo-18/api/form/attachment/de3314aa-edf5-4ec8-9d4d-0641039e62fd/1574070413531.jpg</v>
      </c>
      <c r="P19" t="str">
        <f>HYPERLINK("https://www.commcarehq.org/a/demo-18/api/form/attachment/de3314aa-edf5-4ec8-9d4d-0641039e62fd/1574070434706.jpg")</f>
        <v>https://www.commcarehq.org/a/demo-18/api/form/attachment/de3314aa-edf5-4ec8-9d4d-0641039e62fd/1574070434706.jpg</v>
      </c>
      <c r="Q19" t="str">
        <f>HYPERLINK("https://www.commcarehq.org/a/demo-18/api/form/attachment/de3314aa-edf5-4ec8-9d4d-0641039e62fd/1574070452571.jpg")</f>
        <v>https://www.commcarehq.org/a/demo-18/api/form/attachment/de3314aa-edf5-4ec8-9d4d-0641039e62fd/1574070452571.jpg</v>
      </c>
      <c r="R19" s="2">
        <v>43787.408032407409</v>
      </c>
      <c r="S19" s="2">
        <v>43787.405486111114</v>
      </c>
      <c r="T19" t="s">
        <v>32</v>
      </c>
      <c r="U19" s="2">
        <v>43787.431898148148</v>
      </c>
      <c r="V19" t="s">
        <v>623</v>
      </c>
      <c r="W19" t="s">
        <v>624</v>
      </c>
    </row>
    <row r="20" spans="1:23" x14ac:dyDescent="0.45">
      <c r="A20" t="s">
        <v>528</v>
      </c>
      <c r="B20">
        <v>6.5</v>
      </c>
      <c r="C20" s="1">
        <v>43820</v>
      </c>
      <c r="D20" s="1">
        <v>43790</v>
      </c>
      <c r="E20" t="s">
        <v>428</v>
      </c>
      <c r="F20" t="s">
        <v>429</v>
      </c>
      <c r="G20" t="s">
        <v>429</v>
      </c>
      <c r="H20" t="s">
        <v>429</v>
      </c>
      <c r="I20" t="s">
        <v>447</v>
      </c>
      <c r="J20" t="s">
        <v>429</v>
      </c>
      <c r="K20" t="s">
        <v>429</v>
      </c>
      <c r="L20" t="str">
        <f>HYPERLINK("https://www.commcarehq.org/a/demo-18/api/form/attachment/8792b0e6-c863-4d45-a7f1-d7ef7bc9d205/1574320895834.jpg")</f>
        <v>https://www.commcarehq.org/a/demo-18/api/form/attachment/8792b0e6-c863-4d45-a7f1-d7ef7bc9d205/1574320895834.jpg</v>
      </c>
      <c r="M20" t="str">
        <f>HYPERLINK("https://www.commcarehq.org/a/demo-18/api/form/attachment/8792b0e6-c863-4d45-a7f1-d7ef7bc9d205/1574320915934.jpg")</f>
        <v>https://www.commcarehq.org/a/demo-18/api/form/attachment/8792b0e6-c863-4d45-a7f1-d7ef7bc9d205/1574320915934.jpg</v>
      </c>
      <c r="N20" t="str">
        <f>HYPERLINK("https://www.commcarehq.org/a/demo-18/api/form/attachment/8792b0e6-c863-4d45-a7f1-d7ef7bc9d205/1574320981009.jpg")</f>
        <v>https://www.commcarehq.org/a/demo-18/api/form/attachment/8792b0e6-c863-4d45-a7f1-d7ef7bc9d205/1574320981009.jpg</v>
      </c>
      <c r="O20" t="str">
        <f>HYPERLINK("https://www.commcarehq.org/a/demo-18/api/form/attachment/8792b0e6-c863-4d45-a7f1-d7ef7bc9d205/1574320991660.jpg")</f>
        <v>https://www.commcarehq.org/a/demo-18/api/form/attachment/8792b0e6-c863-4d45-a7f1-d7ef7bc9d205/1574320991660.jpg</v>
      </c>
      <c r="P20" t="str">
        <f>HYPERLINK("https://www.commcarehq.org/a/demo-18/api/form/attachment/8792b0e6-c863-4d45-a7f1-d7ef7bc9d205/1574321010124.jpg")</f>
        <v>https://www.commcarehq.org/a/demo-18/api/form/attachment/8792b0e6-c863-4d45-a7f1-d7ef7bc9d205/1574321010124.jpg</v>
      </c>
      <c r="Q20" t="str">
        <f>HYPERLINK("https://www.commcarehq.org/a/demo-18/api/form/attachment/8792b0e6-c863-4d45-a7f1-d7ef7bc9d205/1574321020877.jpg")</f>
        <v>https://www.commcarehq.org/a/demo-18/api/form/attachment/8792b0e6-c863-4d45-a7f1-d7ef7bc9d205/1574321020877.jpg</v>
      </c>
      <c r="R20" s="2">
        <v>43790.308136574073</v>
      </c>
      <c r="S20" s="2">
        <v>43790.30605324074</v>
      </c>
      <c r="T20" t="s">
        <v>32</v>
      </c>
      <c r="U20" s="2">
        <v>43790.308275462965</v>
      </c>
      <c r="V20" t="s">
        <v>529</v>
      </c>
      <c r="W20" t="s">
        <v>530</v>
      </c>
    </row>
    <row r="21" spans="1:23" x14ac:dyDescent="0.45">
      <c r="A21" t="s">
        <v>553</v>
      </c>
      <c r="B21">
        <v>5.7</v>
      </c>
      <c r="C21" s="1">
        <v>43820</v>
      </c>
      <c r="D21" s="1">
        <v>43790</v>
      </c>
      <c r="E21" t="s">
        <v>428</v>
      </c>
      <c r="F21" t="s">
        <v>429</v>
      </c>
      <c r="G21" t="s">
        <v>429</v>
      </c>
      <c r="H21" t="s">
        <v>429</v>
      </c>
      <c r="I21" t="s">
        <v>430</v>
      </c>
      <c r="J21" t="s">
        <v>429</v>
      </c>
      <c r="K21" t="s">
        <v>429</v>
      </c>
      <c r="L21" t="str">
        <f>HYPERLINK("https://www.commcarehq.org/a/demo-18/api/form/attachment/33fb7ac3-612d-4d9d-8027-90b0cb88e382/1574321339826.jpg")</f>
        <v>https://www.commcarehq.org/a/demo-18/api/form/attachment/33fb7ac3-612d-4d9d-8027-90b0cb88e382/1574321339826.jpg</v>
      </c>
      <c r="M21" t="str">
        <f>HYPERLINK("https://www.commcarehq.org/a/demo-18/api/form/attachment/33fb7ac3-612d-4d9d-8027-90b0cb88e382/1574321356292.jpg")</f>
        <v>https://www.commcarehq.org/a/demo-18/api/form/attachment/33fb7ac3-612d-4d9d-8027-90b0cb88e382/1574321356292.jpg</v>
      </c>
      <c r="N21" t="str">
        <f>HYPERLINK("https://www.commcarehq.org/a/demo-18/api/form/attachment/33fb7ac3-612d-4d9d-8027-90b0cb88e382/1574321400979.jpg")</f>
        <v>https://www.commcarehq.org/a/demo-18/api/form/attachment/33fb7ac3-612d-4d9d-8027-90b0cb88e382/1574321400979.jpg</v>
      </c>
      <c r="O21" t="str">
        <f>HYPERLINK("https://www.commcarehq.org/a/demo-18/api/form/attachment/33fb7ac3-612d-4d9d-8027-90b0cb88e382/1574321410220.jpg")</f>
        <v>https://www.commcarehq.org/a/demo-18/api/form/attachment/33fb7ac3-612d-4d9d-8027-90b0cb88e382/1574321410220.jpg</v>
      </c>
      <c r="P21" t="str">
        <f>HYPERLINK("https://www.commcarehq.org/a/demo-18/api/form/attachment/33fb7ac3-612d-4d9d-8027-90b0cb88e382/1574321428479.jpg")</f>
        <v>https://www.commcarehq.org/a/demo-18/api/form/attachment/33fb7ac3-612d-4d9d-8027-90b0cb88e382/1574321428479.jpg</v>
      </c>
      <c r="Q21" t="str">
        <f>HYPERLINK("https://www.commcarehq.org/a/demo-18/api/form/attachment/33fb7ac3-612d-4d9d-8027-90b0cb88e382/1574321442224.jpg")</f>
        <v>https://www.commcarehq.org/a/demo-18/api/form/attachment/33fb7ac3-612d-4d9d-8027-90b0cb88e382/1574321442224.jpg</v>
      </c>
      <c r="R21" s="2">
        <v>43790.313032407408</v>
      </c>
      <c r="S21" s="2">
        <v>43790.310972222222</v>
      </c>
      <c r="T21" t="s">
        <v>32</v>
      </c>
      <c r="U21" s="2">
        <v>43790.313194444447</v>
      </c>
      <c r="V21" t="s">
        <v>554</v>
      </c>
      <c r="W21" t="s">
        <v>555</v>
      </c>
    </row>
    <row r="22" spans="1:23" x14ac:dyDescent="0.45">
      <c r="A22" t="s">
        <v>638</v>
      </c>
      <c r="B22">
        <v>5.8</v>
      </c>
      <c r="C22" s="1">
        <v>43820</v>
      </c>
      <c r="D22" s="1">
        <v>43790</v>
      </c>
      <c r="E22" t="s">
        <v>428</v>
      </c>
      <c r="F22" t="s">
        <v>429</v>
      </c>
      <c r="G22" t="s">
        <v>429</v>
      </c>
      <c r="H22" t="s">
        <v>429</v>
      </c>
      <c r="I22" t="s">
        <v>447</v>
      </c>
      <c r="J22" t="s">
        <v>429</v>
      </c>
      <c r="K22" t="s">
        <v>429</v>
      </c>
      <c r="L22" t="str">
        <f>HYPERLINK("https://www.commcarehq.org/a/demo-18/api/form/attachment/8ab59151-5d88-4a78-9490-6ff5e29bc0c3/1574321874589.jpg")</f>
        <v>https://www.commcarehq.org/a/demo-18/api/form/attachment/8ab59151-5d88-4a78-9490-6ff5e29bc0c3/1574321874589.jpg</v>
      </c>
      <c r="M22" t="str">
        <f>HYPERLINK("https://www.commcarehq.org/a/demo-18/api/form/attachment/8ab59151-5d88-4a78-9490-6ff5e29bc0c3/1574321887154.jpg")</f>
        <v>https://www.commcarehq.org/a/demo-18/api/form/attachment/8ab59151-5d88-4a78-9490-6ff5e29bc0c3/1574321887154.jpg</v>
      </c>
      <c r="N22" t="str">
        <f>HYPERLINK("https://www.commcarehq.org/a/demo-18/api/form/attachment/8ab59151-5d88-4a78-9490-6ff5e29bc0c3/1574321925802.jpg")</f>
        <v>https://www.commcarehq.org/a/demo-18/api/form/attachment/8ab59151-5d88-4a78-9490-6ff5e29bc0c3/1574321925802.jpg</v>
      </c>
      <c r="O22" t="str">
        <f>HYPERLINK("https://www.commcarehq.org/a/demo-18/api/form/attachment/8ab59151-5d88-4a78-9490-6ff5e29bc0c3/1574321947623.jpg")</f>
        <v>https://www.commcarehq.org/a/demo-18/api/form/attachment/8ab59151-5d88-4a78-9490-6ff5e29bc0c3/1574321947623.jpg</v>
      </c>
      <c r="P22" t="str">
        <f>HYPERLINK("https://www.commcarehq.org/a/demo-18/api/form/attachment/8ab59151-5d88-4a78-9490-6ff5e29bc0c3/1574321959817.jpg")</f>
        <v>https://www.commcarehq.org/a/demo-18/api/form/attachment/8ab59151-5d88-4a78-9490-6ff5e29bc0c3/1574321959817.jpg</v>
      </c>
      <c r="Q22" t="str">
        <f>HYPERLINK("https://www.commcarehq.org/a/demo-18/api/form/attachment/8ab59151-5d88-4a78-9490-6ff5e29bc0c3/1574321968827.jpg")</f>
        <v>https://www.commcarehq.org/a/demo-18/api/form/attachment/8ab59151-5d88-4a78-9490-6ff5e29bc0c3/1574321968827.jpg</v>
      </c>
      <c r="R22" s="2">
        <v>43790.319097222222</v>
      </c>
      <c r="S22" s="2">
        <v>43790.317361111112</v>
      </c>
      <c r="T22" t="s">
        <v>32</v>
      </c>
      <c r="U22" s="2">
        <v>43790.31925925926</v>
      </c>
      <c r="V22" t="s">
        <v>639</v>
      </c>
      <c r="W22" t="s">
        <v>640</v>
      </c>
    </row>
    <row r="23" spans="1:23" x14ac:dyDescent="0.45">
      <c r="A23" t="s">
        <v>656</v>
      </c>
      <c r="B23">
        <v>5.6</v>
      </c>
      <c r="C23" s="1">
        <v>43820</v>
      </c>
      <c r="D23" s="1">
        <v>43790</v>
      </c>
      <c r="E23" t="s">
        <v>428</v>
      </c>
      <c r="F23" t="s">
        <v>429</v>
      </c>
      <c r="G23" t="s">
        <v>429</v>
      </c>
      <c r="H23" t="s">
        <v>429</v>
      </c>
      <c r="I23" t="s">
        <v>430</v>
      </c>
      <c r="J23" t="s">
        <v>429</v>
      </c>
      <c r="K23" t="s">
        <v>429</v>
      </c>
      <c r="L23" t="str">
        <f>HYPERLINK("https://www.commcarehq.org/a/demo-18/api/form/attachment/de6034dd-ec23-409c-a107-bba9cf4ad3cb/1574322192847.jpg")</f>
        <v>https://www.commcarehq.org/a/demo-18/api/form/attachment/de6034dd-ec23-409c-a107-bba9cf4ad3cb/1574322192847.jpg</v>
      </c>
      <c r="M23" t="str">
        <f>HYPERLINK("https://www.commcarehq.org/a/demo-18/api/form/attachment/de6034dd-ec23-409c-a107-bba9cf4ad3cb/1574322209593.jpg")</f>
        <v>https://www.commcarehq.org/a/demo-18/api/form/attachment/de6034dd-ec23-409c-a107-bba9cf4ad3cb/1574322209593.jpg</v>
      </c>
      <c r="N23" t="str">
        <f>HYPERLINK("https://www.commcarehq.org/a/demo-18/api/form/attachment/de6034dd-ec23-409c-a107-bba9cf4ad3cb/1574322251606.jpg")</f>
        <v>https://www.commcarehq.org/a/demo-18/api/form/attachment/de6034dd-ec23-409c-a107-bba9cf4ad3cb/1574322251606.jpg</v>
      </c>
      <c r="O23" t="str">
        <f>HYPERLINK("https://www.commcarehq.org/a/demo-18/api/form/attachment/de6034dd-ec23-409c-a107-bba9cf4ad3cb/1574322260632.jpg")</f>
        <v>https://www.commcarehq.org/a/demo-18/api/form/attachment/de6034dd-ec23-409c-a107-bba9cf4ad3cb/1574322260632.jpg</v>
      </c>
      <c r="P23" t="str">
        <f>HYPERLINK("https://www.commcarehq.org/a/demo-18/api/form/attachment/de6034dd-ec23-409c-a107-bba9cf4ad3cb/1574322280793.jpg")</f>
        <v>https://www.commcarehq.org/a/demo-18/api/form/attachment/de6034dd-ec23-409c-a107-bba9cf4ad3cb/1574322280793.jpg</v>
      </c>
      <c r="Q23" t="str">
        <f>HYPERLINK("https://www.commcarehq.org/a/demo-18/api/form/attachment/de6034dd-ec23-409c-a107-bba9cf4ad3cb/1574322289197.jpg")</f>
        <v>https://www.commcarehq.org/a/demo-18/api/form/attachment/de6034dd-ec23-409c-a107-bba9cf4ad3cb/1574322289197.jpg</v>
      </c>
      <c r="R23" s="2">
        <v>43790.322812500002</v>
      </c>
      <c r="S23" s="2">
        <v>43790.321319444447</v>
      </c>
      <c r="T23" t="s">
        <v>32</v>
      </c>
      <c r="U23" s="2">
        <v>43790.32298611111</v>
      </c>
      <c r="V23" t="s">
        <v>657</v>
      </c>
      <c r="W23" t="s">
        <v>658</v>
      </c>
    </row>
    <row r="24" spans="1:23" x14ac:dyDescent="0.45">
      <c r="A24" t="s">
        <v>665</v>
      </c>
      <c r="B24">
        <v>7.5</v>
      </c>
      <c r="C24" s="1">
        <v>43820</v>
      </c>
      <c r="D24" s="1">
        <v>43790</v>
      </c>
      <c r="E24" t="s">
        <v>428</v>
      </c>
      <c r="F24" t="s">
        <v>429</v>
      </c>
      <c r="G24" t="s">
        <v>429</v>
      </c>
      <c r="H24" t="s">
        <v>429</v>
      </c>
      <c r="I24" t="s">
        <v>484</v>
      </c>
      <c r="J24" t="s">
        <v>429</v>
      </c>
      <c r="K24" t="s">
        <v>429</v>
      </c>
      <c r="L24" t="str">
        <f>HYPERLINK("https://www.commcarehq.org/a/demo-18/api/form/attachment/a3920f2d-95b3-4aeb-ac52-c98ac657bd8b/1574326381169.jpg")</f>
        <v>https://www.commcarehq.org/a/demo-18/api/form/attachment/a3920f2d-95b3-4aeb-ac52-c98ac657bd8b/1574326381169.jpg</v>
      </c>
      <c r="M24" t="str">
        <f>HYPERLINK("https://www.commcarehq.org/a/demo-18/api/form/attachment/a3920f2d-95b3-4aeb-ac52-c98ac657bd8b/1574326396559.jpg")</f>
        <v>https://www.commcarehq.org/a/demo-18/api/form/attachment/a3920f2d-95b3-4aeb-ac52-c98ac657bd8b/1574326396559.jpg</v>
      </c>
      <c r="N24" t="str">
        <f>HYPERLINK("https://www.commcarehq.org/a/demo-18/api/form/attachment/a3920f2d-95b3-4aeb-ac52-c98ac657bd8b/1574326445178.jpg")</f>
        <v>https://www.commcarehq.org/a/demo-18/api/form/attachment/a3920f2d-95b3-4aeb-ac52-c98ac657bd8b/1574326445178.jpg</v>
      </c>
      <c r="O24" t="str">
        <f>HYPERLINK("https://www.commcarehq.org/a/demo-18/api/form/attachment/a3920f2d-95b3-4aeb-ac52-c98ac657bd8b/1574326456219.jpg")</f>
        <v>https://www.commcarehq.org/a/demo-18/api/form/attachment/a3920f2d-95b3-4aeb-ac52-c98ac657bd8b/1574326456219.jpg</v>
      </c>
      <c r="P24" t="str">
        <f>HYPERLINK("https://www.commcarehq.org/a/demo-18/api/form/attachment/a3920f2d-95b3-4aeb-ac52-c98ac657bd8b/1574326478635.jpg")</f>
        <v>https://www.commcarehq.org/a/demo-18/api/form/attachment/a3920f2d-95b3-4aeb-ac52-c98ac657bd8b/1574326478635.jpg</v>
      </c>
      <c r="Q24" t="str">
        <f>HYPERLINK("https://www.commcarehq.org/a/demo-18/api/form/attachment/a3920f2d-95b3-4aeb-ac52-c98ac657bd8b/1574326491276.jpg")</f>
        <v>https://www.commcarehq.org/a/demo-18/api/form/attachment/a3920f2d-95b3-4aeb-ac52-c98ac657bd8b/1574326491276.jpg</v>
      </c>
      <c r="R24" s="2">
        <v>43790.371458333335</v>
      </c>
      <c r="S24" s="2">
        <v>43790.369513888887</v>
      </c>
      <c r="T24" t="s">
        <v>32</v>
      </c>
      <c r="U24" s="2">
        <v>43790.371655092589</v>
      </c>
      <c r="V24" t="s">
        <v>666</v>
      </c>
      <c r="W24" t="s">
        <v>667</v>
      </c>
    </row>
    <row r="25" spans="1:23" x14ac:dyDescent="0.45">
      <c r="A25" t="s">
        <v>556</v>
      </c>
      <c r="B25">
        <v>7.8</v>
      </c>
      <c r="C25" s="1">
        <v>43824</v>
      </c>
      <c r="D25" s="1">
        <v>43794</v>
      </c>
      <c r="E25" t="s">
        <v>428</v>
      </c>
      <c r="F25" t="s">
        <v>429</v>
      </c>
      <c r="G25" t="s">
        <v>429</v>
      </c>
      <c r="H25" t="s">
        <v>429</v>
      </c>
      <c r="I25" t="s">
        <v>484</v>
      </c>
      <c r="J25" t="s">
        <v>429</v>
      </c>
      <c r="K25" t="s">
        <v>429</v>
      </c>
      <c r="L25" t="str">
        <f>HYPERLINK("https://www.commcarehq.org/a/demo-18/api/form/attachment/f00f76d6-a81e-4119-936e-71504e09d534/1574668267568.jpg")</f>
        <v>https://www.commcarehq.org/a/demo-18/api/form/attachment/f00f76d6-a81e-4119-936e-71504e09d534/1574668267568.jpg</v>
      </c>
      <c r="M25" t="str">
        <f>HYPERLINK("https://www.commcarehq.org/a/demo-18/api/form/attachment/f00f76d6-a81e-4119-936e-71504e09d534/1574668281845.jpg")</f>
        <v>https://www.commcarehq.org/a/demo-18/api/form/attachment/f00f76d6-a81e-4119-936e-71504e09d534/1574668281845.jpg</v>
      </c>
      <c r="N25" t="str">
        <f>HYPERLINK("https://www.commcarehq.org/a/demo-18/api/form/attachment/f00f76d6-a81e-4119-936e-71504e09d534/1574668336810.jpg")</f>
        <v>https://www.commcarehq.org/a/demo-18/api/form/attachment/f00f76d6-a81e-4119-936e-71504e09d534/1574668336810.jpg</v>
      </c>
      <c r="O25" t="str">
        <f>HYPERLINK("https://www.commcarehq.org/a/demo-18/api/form/attachment/f00f76d6-a81e-4119-936e-71504e09d534/1574668347107.jpg")</f>
        <v>https://www.commcarehq.org/a/demo-18/api/form/attachment/f00f76d6-a81e-4119-936e-71504e09d534/1574668347107.jpg</v>
      </c>
      <c r="P25" t="str">
        <f>HYPERLINK("https://www.commcarehq.org/a/demo-18/api/form/attachment/f00f76d6-a81e-4119-936e-71504e09d534/1574668368223.jpg")</f>
        <v>https://www.commcarehq.org/a/demo-18/api/form/attachment/f00f76d6-a81e-4119-936e-71504e09d534/1574668368223.jpg</v>
      </c>
      <c r="Q25" t="str">
        <f>HYPERLINK("https://www.commcarehq.org/a/demo-18/api/form/attachment/f00f76d6-a81e-4119-936e-71504e09d534/1574668383257.jpg")</f>
        <v>https://www.commcarehq.org/a/demo-18/api/form/attachment/f00f76d6-a81e-4119-936e-71504e09d534/1574668383257.jpg</v>
      </c>
      <c r="R25" s="2">
        <v>43794.328530092593</v>
      </c>
      <c r="S25" s="2">
        <v>43794.326562499999</v>
      </c>
      <c r="T25" t="s">
        <v>32</v>
      </c>
      <c r="U25" s="2">
        <v>43794.328680555554</v>
      </c>
      <c r="V25" t="s">
        <v>557</v>
      </c>
      <c r="W25" t="s">
        <v>558</v>
      </c>
    </row>
    <row r="26" spans="1:23" x14ac:dyDescent="0.45">
      <c r="A26" t="s">
        <v>668</v>
      </c>
      <c r="B26">
        <v>6.2</v>
      </c>
      <c r="C26" s="1">
        <v>43824</v>
      </c>
      <c r="D26" s="1">
        <v>43794</v>
      </c>
      <c r="E26" t="s">
        <v>428</v>
      </c>
      <c r="F26" t="s">
        <v>429</v>
      </c>
      <c r="G26" t="s">
        <v>429</v>
      </c>
      <c r="H26" t="s">
        <v>429</v>
      </c>
      <c r="I26" t="s">
        <v>498</v>
      </c>
      <c r="J26" t="s">
        <v>429</v>
      </c>
      <c r="K26" t="s">
        <v>429</v>
      </c>
      <c r="L26" t="str">
        <f>HYPERLINK("https://www.commcarehq.org/a/demo-18/api/form/attachment/76c5f8b0-af9c-431b-a687-e520a9a4e515/1574669701773.jpg")</f>
        <v>https://www.commcarehq.org/a/demo-18/api/form/attachment/76c5f8b0-af9c-431b-a687-e520a9a4e515/1574669701773.jpg</v>
      </c>
      <c r="M26" t="str">
        <f>HYPERLINK("https://www.commcarehq.org/a/demo-18/api/form/attachment/76c5f8b0-af9c-431b-a687-e520a9a4e515/1574669716176.jpg")</f>
        <v>https://www.commcarehq.org/a/demo-18/api/form/attachment/76c5f8b0-af9c-431b-a687-e520a9a4e515/1574669716176.jpg</v>
      </c>
      <c r="N26" t="str">
        <f>HYPERLINK("https://www.commcarehq.org/a/demo-18/api/form/attachment/76c5f8b0-af9c-431b-a687-e520a9a4e515/1574669745357.jpg")</f>
        <v>https://www.commcarehq.org/a/demo-18/api/form/attachment/76c5f8b0-af9c-431b-a687-e520a9a4e515/1574669745357.jpg</v>
      </c>
      <c r="O26" t="str">
        <f>HYPERLINK("https://www.commcarehq.org/a/demo-18/api/form/attachment/76c5f8b0-af9c-431b-a687-e520a9a4e515/1574669753557.jpg")</f>
        <v>https://www.commcarehq.org/a/demo-18/api/form/attachment/76c5f8b0-af9c-431b-a687-e520a9a4e515/1574669753557.jpg</v>
      </c>
      <c r="P26" t="str">
        <f>HYPERLINK("https://www.commcarehq.org/a/demo-18/api/form/attachment/76c5f8b0-af9c-431b-a687-e520a9a4e515/1574669778418.jpg")</f>
        <v>https://www.commcarehq.org/a/demo-18/api/form/attachment/76c5f8b0-af9c-431b-a687-e520a9a4e515/1574669778418.jpg</v>
      </c>
      <c r="Q26" t="str">
        <f>HYPERLINK("https://www.commcarehq.org/a/demo-18/api/form/attachment/76c5f8b0-af9c-431b-a687-e520a9a4e515/1574669787833.jpg")</f>
        <v>https://www.commcarehq.org/a/demo-18/api/form/attachment/76c5f8b0-af9c-431b-a687-e520a9a4e515/1574669787833.jpg</v>
      </c>
      <c r="R26" s="2">
        <v>43794.34479166667</v>
      </c>
      <c r="S26" s="2">
        <v>43794.343194444446</v>
      </c>
      <c r="T26" t="s">
        <v>32</v>
      </c>
      <c r="U26" s="2">
        <v>43794.344942129632</v>
      </c>
      <c r="V26" t="s">
        <v>669</v>
      </c>
      <c r="W26" t="s">
        <v>670</v>
      </c>
    </row>
    <row r="27" spans="1:23" x14ac:dyDescent="0.45">
      <c r="A27" t="s">
        <v>625</v>
      </c>
      <c r="B27">
        <v>6.3</v>
      </c>
      <c r="C27" s="1">
        <v>43824</v>
      </c>
      <c r="D27" s="1">
        <v>43794</v>
      </c>
      <c r="E27" t="s">
        <v>428</v>
      </c>
      <c r="F27" t="s">
        <v>429</v>
      </c>
      <c r="G27" t="s">
        <v>429</v>
      </c>
      <c r="H27" t="s">
        <v>429</v>
      </c>
      <c r="I27" t="s">
        <v>626</v>
      </c>
      <c r="J27" t="s">
        <v>429</v>
      </c>
      <c r="K27" t="s">
        <v>429</v>
      </c>
      <c r="L27" t="str">
        <f>HYPERLINK("https://www.commcarehq.org/a/demo-18/api/form/attachment/be978f70-4e84-4e8c-8d77-596139fe5728/1574672501750.jpg")</f>
        <v>https://www.commcarehq.org/a/demo-18/api/form/attachment/be978f70-4e84-4e8c-8d77-596139fe5728/1574672501750.jpg</v>
      </c>
      <c r="M27" t="str">
        <f>HYPERLINK("https://www.commcarehq.org/a/demo-18/api/form/attachment/be978f70-4e84-4e8c-8d77-596139fe5728/1574672512427.jpg")</f>
        <v>https://www.commcarehq.org/a/demo-18/api/form/attachment/be978f70-4e84-4e8c-8d77-596139fe5728/1574672512427.jpg</v>
      </c>
      <c r="N27" t="str">
        <f>HYPERLINK("https://www.commcarehq.org/a/demo-18/api/form/attachment/be978f70-4e84-4e8c-8d77-596139fe5728/1574672549863.jpg")</f>
        <v>https://www.commcarehq.org/a/demo-18/api/form/attachment/be978f70-4e84-4e8c-8d77-596139fe5728/1574672549863.jpg</v>
      </c>
      <c r="O27" t="str">
        <f>HYPERLINK("https://www.commcarehq.org/a/demo-18/api/form/attachment/be978f70-4e84-4e8c-8d77-596139fe5728/1574672558167.jpg")</f>
        <v>https://www.commcarehq.org/a/demo-18/api/form/attachment/be978f70-4e84-4e8c-8d77-596139fe5728/1574672558167.jpg</v>
      </c>
      <c r="P27" t="str">
        <f>HYPERLINK("https://www.commcarehq.org/a/demo-18/api/form/attachment/be978f70-4e84-4e8c-8d77-596139fe5728/1574672605202.jpg")</f>
        <v>https://www.commcarehq.org/a/demo-18/api/form/attachment/be978f70-4e84-4e8c-8d77-596139fe5728/1574672605202.jpg</v>
      </c>
      <c r="Q27" t="str">
        <f>HYPERLINK("https://www.commcarehq.org/a/demo-18/api/form/attachment/be978f70-4e84-4e8c-8d77-596139fe5728/1574672624802.jpg")</f>
        <v>https://www.commcarehq.org/a/demo-18/api/form/attachment/be978f70-4e84-4e8c-8d77-596139fe5728/1574672624802.jpg</v>
      </c>
      <c r="R27" s="2">
        <v>43794.377627314818</v>
      </c>
      <c r="S27" s="2">
        <v>43794.375555555554</v>
      </c>
      <c r="T27" t="s">
        <v>32</v>
      </c>
      <c r="U27" s="2">
        <v>43794.378171296295</v>
      </c>
      <c r="V27" t="s">
        <v>627</v>
      </c>
      <c r="W27" t="s">
        <v>628</v>
      </c>
    </row>
    <row r="28" spans="1:23" x14ac:dyDescent="0.45">
      <c r="A28" t="s">
        <v>550</v>
      </c>
      <c r="B28">
        <v>6.1</v>
      </c>
      <c r="C28" s="1">
        <v>43824</v>
      </c>
      <c r="D28" s="1">
        <v>43794</v>
      </c>
      <c r="E28" t="s">
        <v>428</v>
      </c>
      <c r="F28" t="s">
        <v>429</v>
      </c>
      <c r="G28" t="s">
        <v>429</v>
      </c>
      <c r="H28" t="s">
        <v>429</v>
      </c>
      <c r="I28" t="s">
        <v>430</v>
      </c>
      <c r="J28" t="s">
        <v>429</v>
      </c>
      <c r="K28" t="s">
        <v>429</v>
      </c>
      <c r="L28" t="str">
        <f>HYPERLINK("https://www.commcarehq.org/a/demo-18/api/form/attachment/bbb5249b-b2cd-46c8-9452-49fbc6683083/1574672915525.jpg")</f>
        <v>https://www.commcarehq.org/a/demo-18/api/form/attachment/bbb5249b-b2cd-46c8-9452-49fbc6683083/1574672915525.jpg</v>
      </c>
      <c r="M28" t="str">
        <f>HYPERLINK("https://www.commcarehq.org/a/demo-18/api/form/attachment/bbb5249b-b2cd-46c8-9452-49fbc6683083/1574672934109.jpg")</f>
        <v>https://www.commcarehq.org/a/demo-18/api/form/attachment/bbb5249b-b2cd-46c8-9452-49fbc6683083/1574672934109.jpg</v>
      </c>
      <c r="N28" t="str">
        <f>HYPERLINK("https://www.commcarehq.org/a/demo-18/api/form/attachment/bbb5249b-b2cd-46c8-9452-49fbc6683083/1574672977522.jpg")</f>
        <v>https://www.commcarehq.org/a/demo-18/api/form/attachment/bbb5249b-b2cd-46c8-9452-49fbc6683083/1574672977522.jpg</v>
      </c>
      <c r="O28" t="str">
        <f>HYPERLINK("https://www.commcarehq.org/a/demo-18/api/form/attachment/bbb5249b-b2cd-46c8-9452-49fbc6683083/1574672985489.jpg")</f>
        <v>https://www.commcarehq.org/a/demo-18/api/form/attachment/bbb5249b-b2cd-46c8-9452-49fbc6683083/1574672985489.jpg</v>
      </c>
      <c r="P28" t="str">
        <f>HYPERLINK("https://www.commcarehq.org/a/demo-18/api/form/attachment/bbb5249b-b2cd-46c8-9452-49fbc6683083/1574673017565.jpg")</f>
        <v>https://www.commcarehq.org/a/demo-18/api/form/attachment/bbb5249b-b2cd-46c8-9452-49fbc6683083/1574673017565.jpg</v>
      </c>
      <c r="Q28" t="str">
        <f>HYPERLINK("https://www.commcarehq.org/a/demo-18/api/form/attachment/bbb5249b-b2cd-46c8-9452-49fbc6683083/1574673026142.jpg")</f>
        <v>https://www.commcarehq.org/a/demo-18/api/form/attachment/bbb5249b-b2cd-46c8-9452-49fbc6683083/1574673026142.jpg</v>
      </c>
      <c r="R28" s="2">
        <v>43794.382268518515</v>
      </c>
      <c r="S28" s="2">
        <v>43794.380462962959</v>
      </c>
      <c r="T28" t="s">
        <v>32</v>
      </c>
      <c r="U28" s="2">
        <v>43794.382581018515</v>
      </c>
      <c r="V28" t="s">
        <v>551</v>
      </c>
      <c r="W28" t="s">
        <v>552</v>
      </c>
    </row>
    <row r="29" spans="1:23" x14ac:dyDescent="0.45">
      <c r="A29" t="s">
        <v>635</v>
      </c>
      <c r="B29">
        <v>7.3</v>
      </c>
      <c r="C29" s="1">
        <v>43827</v>
      </c>
      <c r="D29" s="1">
        <v>43797</v>
      </c>
      <c r="E29" t="s">
        <v>428</v>
      </c>
      <c r="F29" t="s">
        <v>429</v>
      </c>
      <c r="G29" t="s">
        <v>429</v>
      </c>
      <c r="H29" t="s">
        <v>429</v>
      </c>
      <c r="I29" t="s">
        <v>430</v>
      </c>
      <c r="J29" t="s">
        <v>429</v>
      </c>
      <c r="K29" t="s">
        <v>429</v>
      </c>
      <c r="L29" t="str">
        <f>HYPERLINK("https://www.commcarehq.org/a/demo-18/api/form/attachment/39a72a4c-2ea9-4886-bc53-9842d8416b14/1574928752447.jpg")</f>
        <v>https://www.commcarehq.org/a/demo-18/api/form/attachment/39a72a4c-2ea9-4886-bc53-9842d8416b14/1574928752447.jpg</v>
      </c>
      <c r="M29" t="str">
        <f>HYPERLINK("https://www.commcarehq.org/a/demo-18/api/form/attachment/39a72a4c-2ea9-4886-bc53-9842d8416b14/1574928783112.jpg")</f>
        <v>https://www.commcarehq.org/a/demo-18/api/form/attachment/39a72a4c-2ea9-4886-bc53-9842d8416b14/1574928783112.jpg</v>
      </c>
      <c r="N29" t="str">
        <f>HYPERLINK("https://www.commcarehq.org/a/demo-18/api/form/attachment/39a72a4c-2ea9-4886-bc53-9842d8416b14/1574928817496.jpg")</f>
        <v>https://www.commcarehq.org/a/demo-18/api/form/attachment/39a72a4c-2ea9-4886-bc53-9842d8416b14/1574928817496.jpg</v>
      </c>
      <c r="O29" t="str">
        <f>HYPERLINK("https://www.commcarehq.org/a/demo-18/api/form/attachment/39a72a4c-2ea9-4886-bc53-9842d8416b14/1574928827197.jpg")</f>
        <v>https://www.commcarehq.org/a/demo-18/api/form/attachment/39a72a4c-2ea9-4886-bc53-9842d8416b14/1574928827197.jpg</v>
      </c>
      <c r="P29" t="str">
        <f>HYPERLINK("https://www.commcarehq.org/a/demo-18/api/form/attachment/39a72a4c-2ea9-4886-bc53-9842d8416b14/1574928855085.jpg")</f>
        <v>https://www.commcarehq.org/a/demo-18/api/form/attachment/39a72a4c-2ea9-4886-bc53-9842d8416b14/1574928855085.jpg</v>
      </c>
      <c r="Q29" t="str">
        <f>HYPERLINK("https://www.commcarehq.org/a/demo-18/api/form/attachment/39a72a4c-2ea9-4886-bc53-9842d8416b14/1574928865264.jpg")</f>
        <v>https://www.commcarehq.org/a/demo-18/api/form/attachment/39a72a4c-2ea9-4886-bc53-9842d8416b14/1574928865264.jpg</v>
      </c>
      <c r="R29" s="2">
        <v>43797.34337962963</v>
      </c>
      <c r="S29" s="2">
        <v>43797.341435185182</v>
      </c>
      <c r="T29" t="s">
        <v>32</v>
      </c>
      <c r="U29" s="2">
        <v>43797.343622685185</v>
      </c>
      <c r="V29" t="s">
        <v>636</v>
      </c>
      <c r="W29" t="s">
        <v>637</v>
      </c>
    </row>
    <row r="30" spans="1:23" x14ac:dyDescent="0.45">
      <c r="A30" t="s">
        <v>565</v>
      </c>
      <c r="B30">
        <v>6.1</v>
      </c>
      <c r="C30" s="1">
        <v>43827</v>
      </c>
      <c r="D30" s="1">
        <v>43797</v>
      </c>
      <c r="E30" t="s">
        <v>428</v>
      </c>
      <c r="F30" t="s">
        <v>429</v>
      </c>
      <c r="G30" t="s">
        <v>429</v>
      </c>
      <c r="H30" t="s">
        <v>429</v>
      </c>
      <c r="I30" t="s">
        <v>430</v>
      </c>
      <c r="J30" t="s">
        <v>429</v>
      </c>
      <c r="K30" t="s">
        <v>429</v>
      </c>
      <c r="L30" t="str">
        <f>HYPERLINK("https://www.commcarehq.org/a/demo-18/api/form/attachment/a2e56cab-088e-41ee-9f57-20cd8bab17c4/1574932782820.jpg")</f>
        <v>https://www.commcarehq.org/a/demo-18/api/form/attachment/a2e56cab-088e-41ee-9f57-20cd8bab17c4/1574932782820.jpg</v>
      </c>
      <c r="M30" t="str">
        <f>HYPERLINK("https://www.commcarehq.org/a/demo-18/api/form/attachment/a2e56cab-088e-41ee-9f57-20cd8bab17c4/1574932799455.jpg")</f>
        <v>https://www.commcarehq.org/a/demo-18/api/form/attachment/a2e56cab-088e-41ee-9f57-20cd8bab17c4/1574932799455.jpg</v>
      </c>
      <c r="N30" t="str">
        <f>HYPERLINK("https://www.commcarehq.org/a/demo-18/api/form/attachment/a2e56cab-088e-41ee-9f57-20cd8bab17c4/1574932842271.jpg")</f>
        <v>https://www.commcarehq.org/a/demo-18/api/form/attachment/a2e56cab-088e-41ee-9f57-20cd8bab17c4/1574932842271.jpg</v>
      </c>
      <c r="O30" t="str">
        <f>HYPERLINK("https://www.commcarehq.org/a/demo-18/api/form/attachment/a2e56cab-088e-41ee-9f57-20cd8bab17c4/1574932852764.jpg")</f>
        <v>https://www.commcarehq.org/a/demo-18/api/form/attachment/a2e56cab-088e-41ee-9f57-20cd8bab17c4/1574932852764.jpg</v>
      </c>
      <c r="P30" t="str">
        <f>HYPERLINK("https://www.commcarehq.org/a/demo-18/api/form/attachment/a2e56cab-088e-41ee-9f57-20cd8bab17c4/1574932887381.jpg")</f>
        <v>https://www.commcarehq.org/a/demo-18/api/form/attachment/a2e56cab-088e-41ee-9f57-20cd8bab17c4/1574932887381.jpg</v>
      </c>
      <c r="Q30" t="str">
        <f>HYPERLINK("https://www.commcarehq.org/a/demo-18/api/form/attachment/a2e56cab-088e-41ee-9f57-20cd8bab17c4/1574932897730.jpg")</f>
        <v>https://www.commcarehq.org/a/demo-18/api/form/attachment/a2e56cab-088e-41ee-9f57-20cd8bab17c4/1574932897730.jpg</v>
      </c>
      <c r="R30" s="2">
        <v>43797.390034722222</v>
      </c>
      <c r="S30" s="2">
        <v>43797.387997685182</v>
      </c>
      <c r="T30" t="s">
        <v>32</v>
      </c>
      <c r="U30" s="2">
        <v>43797.390208333331</v>
      </c>
      <c r="V30" t="s">
        <v>566</v>
      </c>
      <c r="W30" t="s">
        <v>567</v>
      </c>
    </row>
    <row r="31" spans="1:23" x14ac:dyDescent="0.45">
      <c r="A31" t="s">
        <v>632</v>
      </c>
      <c r="B31">
        <v>6.9</v>
      </c>
      <c r="C31" s="1">
        <v>43827</v>
      </c>
      <c r="D31" s="1">
        <v>43797</v>
      </c>
      <c r="E31" t="s">
        <v>428</v>
      </c>
      <c r="F31" t="s">
        <v>429</v>
      </c>
      <c r="G31" t="s">
        <v>429</v>
      </c>
      <c r="H31" t="s">
        <v>429</v>
      </c>
      <c r="I31" t="s">
        <v>447</v>
      </c>
      <c r="J31" t="s">
        <v>429</v>
      </c>
      <c r="K31" t="s">
        <v>429</v>
      </c>
      <c r="L31" t="str">
        <f>HYPERLINK("https://www.commcarehq.org/a/demo-18/api/form/attachment/2810c849-8abe-4c83-9810-f3fb99b9595c/1574933182503.jpg")</f>
        <v>https://www.commcarehq.org/a/demo-18/api/form/attachment/2810c849-8abe-4c83-9810-f3fb99b9595c/1574933182503.jpg</v>
      </c>
      <c r="M31" t="str">
        <f>HYPERLINK("https://www.commcarehq.org/a/demo-18/api/form/attachment/2810c849-8abe-4c83-9810-f3fb99b9595c/1574933200225.jpg")</f>
        <v>https://www.commcarehq.org/a/demo-18/api/form/attachment/2810c849-8abe-4c83-9810-f3fb99b9595c/1574933200225.jpg</v>
      </c>
      <c r="N31" t="str">
        <f>HYPERLINK("https://www.commcarehq.org/a/demo-18/api/form/attachment/2810c849-8abe-4c83-9810-f3fb99b9595c/1574933237529.jpg")</f>
        <v>https://www.commcarehq.org/a/demo-18/api/form/attachment/2810c849-8abe-4c83-9810-f3fb99b9595c/1574933237529.jpg</v>
      </c>
      <c r="O31" t="str">
        <f>HYPERLINK("https://www.commcarehq.org/a/demo-18/api/form/attachment/2810c849-8abe-4c83-9810-f3fb99b9595c/1574933245919.jpg")</f>
        <v>https://www.commcarehq.org/a/demo-18/api/form/attachment/2810c849-8abe-4c83-9810-f3fb99b9595c/1574933245919.jpg</v>
      </c>
      <c r="P31" t="str">
        <f>HYPERLINK("https://www.commcarehq.org/a/demo-18/api/form/attachment/2810c849-8abe-4c83-9810-f3fb99b9595c/1574933264995.jpg")</f>
        <v>https://www.commcarehq.org/a/demo-18/api/form/attachment/2810c849-8abe-4c83-9810-f3fb99b9595c/1574933264995.jpg</v>
      </c>
      <c r="Q31" t="str">
        <f>HYPERLINK("https://www.commcarehq.org/a/demo-18/api/form/attachment/2810c849-8abe-4c83-9810-f3fb99b9595c/1574933273356.jpg")</f>
        <v>https://www.commcarehq.org/a/demo-18/api/form/attachment/2810c849-8abe-4c83-9810-f3fb99b9595c/1574933273356.jpg</v>
      </c>
      <c r="R31" s="2">
        <v>43797.394386574073</v>
      </c>
      <c r="S31" s="2">
        <v>43797.392881944441</v>
      </c>
      <c r="T31" t="s">
        <v>32</v>
      </c>
      <c r="U31" s="2">
        <v>43797.394571759258</v>
      </c>
      <c r="V31" t="s">
        <v>633</v>
      </c>
      <c r="W31" t="s">
        <v>634</v>
      </c>
    </row>
    <row r="32" spans="1:23" x14ac:dyDescent="0.45">
      <c r="A32" t="s">
        <v>493</v>
      </c>
      <c r="B32">
        <v>5.4</v>
      </c>
      <c r="C32" s="1">
        <v>43897</v>
      </c>
      <c r="D32" s="1">
        <v>43867</v>
      </c>
      <c r="E32" t="s">
        <v>428</v>
      </c>
      <c r="F32" t="s">
        <v>429</v>
      </c>
      <c r="G32" t="s">
        <v>429</v>
      </c>
      <c r="H32" t="s">
        <v>429</v>
      </c>
      <c r="I32" t="s">
        <v>498</v>
      </c>
      <c r="J32" t="s">
        <v>428</v>
      </c>
      <c r="K32" t="s">
        <v>429</v>
      </c>
      <c r="L32" t="str">
        <f>HYPERLINK("https://www.commcarehq.org/a/demo-18/api/form/attachment/56a647c7-759d-40e2-8c9e-3da99f441f42/1580971562231.jpg")</f>
        <v>https://www.commcarehq.org/a/demo-18/api/form/attachment/56a647c7-759d-40e2-8c9e-3da99f441f42/1580971562231.jpg</v>
      </c>
      <c r="M32" t="str">
        <f>HYPERLINK("https://www.commcarehq.org/a/demo-18/api/form/attachment/56a647c7-759d-40e2-8c9e-3da99f441f42/1580971579658.jpg")</f>
        <v>https://www.commcarehq.org/a/demo-18/api/form/attachment/56a647c7-759d-40e2-8c9e-3da99f441f42/1580971579658.jpg</v>
      </c>
      <c r="N32" t="str">
        <f>HYPERLINK("https://www.commcarehq.org/a/demo-18/api/form/attachment/56a647c7-759d-40e2-8c9e-3da99f441f42/1580971647653.jpg")</f>
        <v>https://www.commcarehq.org/a/demo-18/api/form/attachment/56a647c7-759d-40e2-8c9e-3da99f441f42/1580971647653.jpg</v>
      </c>
      <c r="O32" t="str">
        <f>HYPERLINK("https://www.commcarehq.org/a/demo-18/api/form/attachment/56a647c7-759d-40e2-8c9e-3da99f441f42/1580971655798.jpg")</f>
        <v>https://www.commcarehq.org/a/demo-18/api/form/attachment/56a647c7-759d-40e2-8c9e-3da99f441f42/1580971655798.jpg</v>
      </c>
      <c r="P32" t="str">
        <f>HYPERLINK("https://www.commcarehq.org/a/demo-18/api/form/attachment/56a647c7-759d-40e2-8c9e-3da99f441f42/1580971671673.jpg")</f>
        <v>https://www.commcarehq.org/a/demo-18/api/form/attachment/56a647c7-759d-40e2-8c9e-3da99f441f42/1580971671673.jpg</v>
      </c>
      <c r="Q32" t="str">
        <f>HYPERLINK("https://www.commcarehq.org/a/demo-18/api/form/attachment/56a647c7-759d-40e2-8c9e-3da99f441f42/1580971699974.jpg")</f>
        <v>https://www.commcarehq.org/a/demo-18/api/form/attachment/56a647c7-759d-40e2-8c9e-3da99f441f42/1580971699974.jpg</v>
      </c>
      <c r="R32" s="2">
        <v>43867.283576388887</v>
      </c>
      <c r="S32" s="2">
        <v>43867.28087962963</v>
      </c>
      <c r="T32" t="s">
        <v>32</v>
      </c>
      <c r="U32" s="2">
        <v>43867.283819444441</v>
      </c>
      <c r="V32" t="s">
        <v>1361</v>
      </c>
      <c r="W32" t="s">
        <v>1362</v>
      </c>
    </row>
    <row r="33" spans="1:23" x14ac:dyDescent="0.45">
      <c r="A33" t="s">
        <v>659</v>
      </c>
      <c r="B33">
        <v>6.5</v>
      </c>
      <c r="C33" s="1">
        <v>43828</v>
      </c>
      <c r="D33" s="1">
        <v>43798</v>
      </c>
      <c r="E33" t="s">
        <v>428</v>
      </c>
      <c r="F33" t="s">
        <v>429</v>
      </c>
      <c r="G33" t="s">
        <v>429</v>
      </c>
      <c r="H33" t="s">
        <v>429</v>
      </c>
      <c r="I33" t="s">
        <v>484</v>
      </c>
      <c r="J33" t="s">
        <v>429</v>
      </c>
      <c r="K33" t="s">
        <v>429</v>
      </c>
      <c r="L33" t="str">
        <f>HYPERLINK("https://www.commcarehq.org/a/demo-18/api/form/attachment/a848b48c-294c-4d6b-af6a-0edae8e60555/1575007988784.jpg")</f>
        <v>https://www.commcarehq.org/a/demo-18/api/form/attachment/a848b48c-294c-4d6b-af6a-0edae8e60555/1575007988784.jpg</v>
      </c>
      <c r="M33" t="str">
        <f>HYPERLINK("https://www.commcarehq.org/a/demo-18/api/form/attachment/a848b48c-294c-4d6b-af6a-0edae8e60555/1575008002350.jpg")</f>
        <v>https://www.commcarehq.org/a/demo-18/api/form/attachment/a848b48c-294c-4d6b-af6a-0edae8e60555/1575008002350.jpg</v>
      </c>
      <c r="N33" t="str">
        <f>HYPERLINK("https://www.commcarehq.org/a/demo-18/api/form/attachment/a848b48c-294c-4d6b-af6a-0edae8e60555/1575008055364.jpg")</f>
        <v>https://www.commcarehq.org/a/demo-18/api/form/attachment/a848b48c-294c-4d6b-af6a-0edae8e60555/1575008055364.jpg</v>
      </c>
      <c r="O33" t="str">
        <f>HYPERLINK("https://www.commcarehq.org/a/demo-18/api/form/attachment/a848b48c-294c-4d6b-af6a-0edae8e60555/1575008064902.jpg")</f>
        <v>https://www.commcarehq.org/a/demo-18/api/form/attachment/a848b48c-294c-4d6b-af6a-0edae8e60555/1575008064902.jpg</v>
      </c>
      <c r="P33" t="str">
        <f>HYPERLINK("https://www.commcarehq.org/a/demo-18/api/form/attachment/a848b48c-294c-4d6b-af6a-0edae8e60555/1575008084456.jpg")</f>
        <v>https://www.commcarehq.org/a/demo-18/api/form/attachment/a848b48c-294c-4d6b-af6a-0edae8e60555/1575008084456.jpg</v>
      </c>
      <c r="Q33" t="str">
        <f>HYPERLINK("https://www.commcarehq.org/a/demo-18/api/form/attachment/a848b48c-294c-4d6b-af6a-0edae8e60555/1575008118710.jpg")</f>
        <v>https://www.commcarehq.org/a/demo-18/api/form/attachment/a848b48c-294c-4d6b-af6a-0edae8e60555/1575008118710.jpg</v>
      </c>
      <c r="R33" s="2">
        <v>43798.260648148149</v>
      </c>
      <c r="S33" s="2">
        <v>43798.258506944447</v>
      </c>
      <c r="T33" t="s">
        <v>32</v>
      </c>
      <c r="U33" s="2">
        <v>43798.364930555559</v>
      </c>
      <c r="V33" t="s">
        <v>660</v>
      </c>
      <c r="W33" t="s">
        <v>661</v>
      </c>
    </row>
    <row r="34" spans="1:23" x14ac:dyDescent="0.45">
      <c r="A34" t="s">
        <v>662</v>
      </c>
      <c r="B34">
        <v>6.5</v>
      </c>
      <c r="C34" s="1">
        <v>43828</v>
      </c>
      <c r="D34" s="1">
        <v>43798</v>
      </c>
      <c r="E34" t="s">
        <v>428</v>
      </c>
      <c r="F34" t="s">
        <v>429</v>
      </c>
      <c r="G34" t="s">
        <v>429</v>
      </c>
      <c r="H34" t="s">
        <v>429</v>
      </c>
      <c r="I34" t="s">
        <v>447</v>
      </c>
      <c r="J34" t="s">
        <v>429</v>
      </c>
      <c r="K34" t="s">
        <v>429</v>
      </c>
      <c r="L34" t="str">
        <f>HYPERLINK("https://www.commcarehq.org/a/demo-18/api/form/attachment/7062a084-e77b-4040-8039-39776b18c10d/1575012159934.jpg")</f>
        <v>https://www.commcarehq.org/a/demo-18/api/form/attachment/7062a084-e77b-4040-8039-39776b18c10d/1575012159934.jpg</v>
      </c>
      <c r="M34" t="str">
        <f>HYPERLINK("https://www.commcarehq.org/a/demo-18/api/form/attachment/7062a084-e77b-4040-8039-39776b18c10d/1575012177365.jpg")</f>
        <v>https://www.commcarehq.org/a/demo-18/api/form/attachment/7062a084-e77b-4040-8039-39776b18c10d/1575012177365.jpg</v>
      </c>
      <c r="N34" t="str">
        <f>HYPERLINK("https://www.commcarehq.org/a/demo-18/api/form/attachment/7062a084-e77b-4040-8039-39776b18c10d/1575012220233.jpg")</f>
        <v>https://www.commcarehq.org/a/demo-18/api/form/attachment/7062a084-e77b-4040-8039-39776b18c10d/1575012220233.jpg</v>
      </c>
      <c r="O34" t="str">
        <f>HYPERLINK("https://www.commcarehq.org/a/demo-18/api/form/attachment/7062a084-e77b-4040-8039-39776b18c10d/1575012228767.jpg")</f>
        <v>https://www.commcarehq.org/a/demo-18/api/form/attachment/7062a084-e77b-4040-8039-39776b18c10d/1575012228767.jpg</v>
      </c>
      <c r="P34" t="str">
        <f>HYPERLINK("https://www.commcarehq.org/a/demo-18/api/form/attachment/7062a084-e77b-4040-8039-39776b18c10d/1575012251198.jpg")</f>
        <v>https://www.commcarehq.org/a/demo-18/api/form/attachment/7062a084-e77b-4040-8039-39776b18c10d/1575012251198.jpg</v>
      </c>
      <c r="Q34" t="str">
        <f>HYPERLINK("https://www.commcarehq.org/a/demo-18/api/form/attachment/7062a084-e77b-4040-8039-39776b18c10d/1575012260119.jpg")</f>
        <v>https://www.commcarehq.org/a/demo-18/api/form/attachment/7062a084-e77b-4040-8039-39776b18c10d/1575012260119.jpg</v>
      </c>
      <c r="R34" s="2">
        <v>43798.308576388888</v>
      </c>
      <c r="S34" s="2">
        <v>43798.306655092594</v>
      </c>
      <c r="T34" t="s">
        <v>32</v>
      </c>
      <c r="U34" s="2">
        <v>43798.366006944445</v>
      </c>
      <c r="V34" t="s">
        <v>663</v>
      </c>
      <c r="W34" t="s">
        <v>664</v>
      </c>
    </row>
    <row r="35" spans="1:23" x14ac:dyDescent="0.45">
      <c r="A35" t="s">
        <v>594</v>
      </c>
      <c r="B35">
        <v>7.8</v>
      </c>
      <c r="C35" s="1">
        <v>43833</v>
      </c>
      <c r="D35" s="1">
        <v>43803</v>
      </c>
      <c r="E35" t="s">
        <v>428</v>
      </c>
      <c r="F35" t="s">
        <v>429</v>
      </c>
      <c r="G35" t="s">
        <v>429</v>
      </c>
      <c r="H35" t="s">
        <v>429</v>
      </c>
      <c r="I35" t="s">
        <v>447</v>
      </c>
      <c r="J35" t="s">
        <v>429</v>
      </c>
      <c r="K35" t="s">
        <v>429</v>
      </c>
      <c r="L35" t="str">
        <f>HYPERLINK("https://www.commcarehq.org/a/demo-18/api/form/attachment/562ed7d0-f227-4daf-b667-45d2336c19f6/1575445592518.jpg")</f>
        <v>https://www.commcarehq.org/a/demo-18/api/form/attachment/562ed7d0-f227-4daf-b667-45d2336c19f6/1575445592518.jpg</v>
      </c>
      <c r="M35" t="str">
        <f>HYPERLINK("https://www.commcarehq.org/a/demo-18/api/form/attachment/562ed7d0-f227-4daf-b667-45d2336c19f6/1575445616316.jpg")</f>
        <v>https://www.commcarehq.org/a/demo-18/api/form/attachment/562ed7d0-f227-4daf-b667-45d2336c19f6/1575445616316.jpg</v>
      </c>
      <c r="N35" t="str">
        <f>HYPERLINK("https://www.commcarehq.org/a/demo-18/api/form/attachment/562ed7d0-f227-4daf-b667-45d2336c19f6/1575445656246.jpg")</f>
        <v>https://www.commcarehq.org/a/demo-18/api/form/attachment/562ed7d0-f227-4daf-b667-45d2336c19f6/1575445656246.jpg</v>
      </c>
      <c r="O35" t="str">
        <f>HYPERLINK("https://www.commcarehq.org/a/demo-18/api/form/attachment/562ed7d0-f227-4daf-b667-45d2336c19f6/1575445665328.jpg")</f>
        <v>https://www.commcarehq.org/a/demo-18/api/form/attachment/562ed7d0-f227-4daf-b667-45d2336c19f6/1575445665328.jpg</v>
      </c>
      <c r="P35" t="str">
        <f>HYPERLINK("https://www.commcarehq.org/a/demo-18/api/form/attachment/562ed7d0-f227-4daf-b667-45d2336c19f6/1575445677909.jpg")</f>
        <v>https://www.commcarehq.org/a/demo-18/api/form/attachment/562ed7d0-f227-4daf-b667-45d2336c19f6/1575445677909.jpg</v>
      </c>
      <c r="Q35" t="str">
        <f>HYPERLINK("https://www.commcarehq.org/a/demo-18/api/form/attachment/562ed7d0-f227-4daf-b667-45d2336c19f6/1575445685468.jpg")</f>
        <v>https://www.commcarehq.org/a/demo-18/api/form/attachment/562ed7d0-f227-4daf-b667-45d2336c19f6/1575445685468.jpg</v>
      </c>
      <c r="R35" s="2">
        <v>43803.32508101852</v>
      </c>
      <c r="S35" s="2">
        <v>43803.323518518519</v>
      </c>
      <c r="T35" t="s">
        <v>32</v>
      </c>
      <c r="U35" s="2">
        <v>43803.325266203705</v>
      </c>
      <c r="V35" s="3" t="s">
        <v>595</v>
      </c>
      <c r="W35" t="s">
        <v>596</v>
      </c>
    </row>
    <row r="36" spans="1:23" x14ac:dyDescent="0.45">
      <c r="A36" t="s">
        <v>559</v>
      </c>
      <c r="B36">
        <v>6</v>
      </c>
      <c r="C36" s="1">
        <v>43833</v>
      </c>
      <c r="D36" s="1">
        <v>43803</v>
      </c>
      <c r="E36" t="s">
        <v>428</v>
      </c>
      <c r="F36" t="s">
        <v>429</v>
      </c>
      <c r="G36" t="s">
        <v>429</v>
      </c>
      <c r="H36" t="s">
        <v>429</v>
      </c>
      <c r="I36" t="s">
        <v>430</v>
      </c>
      <c r="J36" t="s">
        <v>429</v>
      </c>
      <c r="K36" t="s">
        <v>429</v>
      </c>
      <c r="L36" t="str">
        <f>HYPERLINK("https://www.commcarehq.org/a/demo-18/api/form/attachment/b96017b8-db8a-4f68-a6d2-4915978b4581/1575446333936.jpg")</f>
        <v>https://www.commcarehq.org/a/demo-18/api/form/attachment/b96017b8-db8a-4f68-a6d2-4915978b4581/1575446333936.jpg</v>
      </c>
      <c r="M36" t="str">
        <f>HYPERLINK("https://www.commcarehq.org/a/demo-18/api/form/attachment/b96017b8-db8a-4f68-a6d2-4915978b4581/1575446361772.jpg")</f>
        <v>https://www.commcarehq.org/a/demo-18/api/form/attachment/b96017b8-db8a-4f68-a6d2-4915978b4581/1575446361772.jpg</v>
      </c>
      <c r="N36" t="str">
        <f>HYPERLINK("https://www.commcarehq.org/a/demo-18/api/form/attachment/b96017b8-db8a-4f68-a6d2-4915978b4581/1575446421237.jpg")</f>
        <v>https://www.commcarehq.org/a/demo-18/api/form/attachment/b96017b8-db8a-4f68-a6d2-4915978b4581/1575446421237.jpg</v>
      </c>
      <c r="O36" t="str">
        <f>HYPERLINK("https://www.commcarehq.org/a/demo-18/api/form/attachment/b96017b8-db8a-4f68-a6d2-4915978b4581/1575446429563.jpg")</f>
        <v>https://www.commcarehq.org/a/demo-18/api/form/attachment/b96017b8-db8a-4f68-a6d2-4915978b4581/1575446429563.jpg</v>
      </c>
      <c r="P36" t="str">
        <f>HYPERLINK("https://www.commcarehq.org/a/demo-18/api/form/attachment/b96017b8-db8a-4f68-a6d2-4915978b4581/1575446455143.jpg")</f>
        <v>https://www.commcarehq.org/a/demo-18/api/form/attachment/b96017b8-db8a-4f68-a6d2-4915978b4581/1575446455143.jpg</v>
      </c>
      <c r="Q36" t="str">
        <f>HYPERLINK("https://www.commcarehq.org/a/demo-18/api/form/attachment/b96017b8-db8a-4f68-a6d2-4915978b4581/1575446465029.jpg")</f>
        <v>https://www.commcarehq.org/a/demo-18/api/form/attachment/b96017b8-db8a-4f68-a6d2-4915978b4581/1575446465029.jpg</v>
      </c>
      <c r="R36" s="2">
        <v>43803.334097222221</v>
      </c>
      <c r="S36" s="2">
        <v>43803.332083333335</v>
      </c>
      <c r="T36" t="s">
        <v>32</v>
      </c>
      <c r="U36" s="2">
        <v>43803.334282407406</v>
      </c>
      <c r="V36" t="s">
        <v>560</v>
      </c>
      <c r="W36" t="s">
        <v>561</v>
      </c>
    </row>
    <row r="37" spans="1:23" x14ac:dyDescent="0.45">
      <c r="A37" t="s">
        <v>537</v>
      </c>
      <c r="B37">
        <v>6.4</v>
      </c>
      <c r="C37" s="1">
        <v>43838</v>
      </c>
      <c r="D37" s="1">
        <v>43808</v>
      </c>
      <c r="E37" t="s">
        <v>428</v>
      </c>
      <c r="F37" t="s">
        <v>429</v>
      </c>
      <c r="G37" t="s">
        <v>429</v>
      </c>
      <c r="H37" t="s">
        <v>429</v>
      </c>
      <c r="I37" t="s">
        <v>430</v>
      </c>
      <c r="J37" t="s">
        <v>429</v>
      </c>
      <c r="K37" t="s">
        <v>429</v>
      </c>
      <c r="L37" t="str">
        <f>HYPERLINK("https://www.commcarehq.org/a/demo-18/api/form/attachment/cef89f28-ba35-4186-b1be-71dc51b3e0a9/1575879637600.jpg")</f>
        <v>https://www.commcarehq.org/a/demo-18/api/form/attachment/cef89f28-ba35-4186-b1be-71dc51b3e0a9/1575879637600.jpg</v>
      </c>
      <c r="M37" t="str">
        <f>HYPERLINK("https://www.commcarehq.org/a/demo-18/api/form/attachment/cef89f28-ba35-4186-b1be-71dc51b3e0a9/1575879654163.jpg")</f>
        <v>https://www.commcarehq.org/a/demo-18/api/form/attachment/cef89f28-ba35-4186-b1be-71dc51b3e0a9/1575879654163.jpg</v>
      </c>
      <c r="N37" t="str">
        <f>HYPERLINK("https://www.commcarehq.org/a/demo-18/api/form/attachment/cef89f28-ba35-4186-b1be-71dc51b3e0a9/1575879698415.jpg")</f>
        <v>https://www.commcarehq.org/a/demo-18/api/form/attachment/cef89f28-ba35-4186-b1be-71dc51b3e0a9/1575879698415.jpg</v>
      </c>
      <c r="O37" t="str">
        <f>HYPERLINK("https://www.commcarehq.org/a/demo-18/api/form/attachment/cef89f28-ba35-4186-b1be-71dc51b3e0a9/1575879707301.jpg")</f>
        <v>https://www.commcarehq.org/a/demo-18/api/form/attachment/cef89f28-ba35-4186-b1be-71dc51b3e0a9/1575879707301.jpg</v>
      </c>
      <c r="P37" t="str">
        <f>HYPERLINK("https://www.commcarehq.org/a/demo-18/api/form/attachment/cef89f28-ba35-4186-b1be-71dc51b3e0a9/1575879726182.jpg")</f>
        <v>https://www.commcarehq.org/a/demo-18/api/form/attachment/cef89f28-ba35-4186-b1be-71dc51b3e0a9/1575879726182.jpg</v>
      </c>
      <c r="Q37" t="str">
        <f>HYPERLINK("https://www.commcarehq.org/a/demo-18/api/form/attachment/cef89f28-ba35-4186-b1be-71dc51b3e0a9/1575879734680.jpg")</f>
        <v>https://www.commcarehq.org/a/demo-18/api/form/attachment/cef89f28-ba35-4186-b1be-71dc51b3e0a9/1575879734680.jpg</v>
      </c>
      <c r="R37" s="2">
        <v>43808.348796296297</v>
      </c>
      <c r="S37" s="2">
        <v>43808.34715277778</v>
      </c>
      <c r="T37" t="s">
        <v>32</v>
      </c>
      <c r="U37" s="2">
        <v>43808.421030092592</v>
      </c>
      <c r="V37" t="s">
        <v>538</v>
      </c>
      <c r="W37" t="s">
        <v>539</v>
      </c>
    </row>
    <row r="38" spans="1:23" x14ac:dyDescent="0.45">
      <c r="A38" t="s">
        <v>629</v>
      </c>
      <c r="B38">
        <v>6.2</v>
      </c>
      <c r="C38" s="1">
        <v>43838</v>
      </c>
      <c r="D38" s="1">
        <v>43808</v>
      </c>
      <c r="E38" t="s">
        <v>428</v>
      </c>
      <c r="F38" t="s">
        <v>429</v>
      </c>
      <c r="G38" t="s">
        <v>429</v>
      </c>
      <c r="H38" t="s">
        <v>429</v>
      </c>
      <c r="I38" t="s">
        <v>447</v>
      </c>
      <c r="J38" t="s">
        <v>429</v>
      </c>
      <c r="K38" t="s">
        <v>429</v>
      </c>
      <c r="L38" t="str">
        <f>HYPERLINK("https://www.commcarehq.org/a/demo-18/api/form/attachment/6113e8b5-1ba4-451e-891e-a5d630392ce2/1575884062914.jpg")</f>
        <v>https://www.commcarehq.org/a/demo-18/api/form/attachment/6113e8b5-1ba4-451e-891e-a5d630392ce2/1575884062914.jpg</v>
      </c>
      <c r="M38" t="str">
        <f>HYPERLINK("https://www.commcarehq.org/a/demo-18/api/form/attachment/6113e8b5-1ba4-451e-891e-a5d630392ce2/1575884078678.jpg")</f>
        <v>https://www.commcarehq.org/a/demo-18/api/form/attachment/6113e8b5-1ba4-451e-891e-a5d630392ce2/1575884078678.jpg</v>
      </c>
      <c r="N38" t="str">
        <f>HYPERLINK("https://www.commcarehq.org/a/demo-18/api/form/attachment/6113e8b5-1ba4-451e-891e-a5d630392ce2/1575884107449.jpg")</f>
        <v>https://www.commcarehq.org/a/demo-18/api/form/attachment/6113e8b5-1ba4-451e-891e-a5d630392ce2/1575884107449.jpg</v>
      </c>
      <c r="O38" t="str">
        <f>HYPERLINK("https://www.commcarehq.org/a/demo-18/api/form/attachment/6113e8b5-1ba4-451e-891e-a5d630392ce2/1575884120135.jpg")</f>
        <v>https://www.commcarehq.org/a/demo-18/api/form/attachment/6113e8b5-1ba4-451e-891e-a5d630392ce2/1575884120135.jpg</v>
      </c>
      <c r="P38" t="str">
        <f>HYPERLINK("https://www.commcarehq.org/a/demo-18/api/form/attachment/6113e8b5-1ba4-451e-891e-a5d630392ce2/1575884133501.jpg")</f>
        <v>https://www.commcarehq.org/a/demo-18/api/form/attachment/6113e8b5-1ba4-451e-891e-a5d630392ce2/1575884133501.jpg</v>
      </c>
      <c r="Q38" t="str">
        <f>HYPERLINK("https://www.commcarehq.org/a/demo-18/api/form/attachment/6113e8b5-1ba4-451e-891e-a5d630392ce2/1575884143814.jpg")</f>
        <v>https://www.commcarehq.org/a/demo-18/api/form/attachment/6113e8b5-1ba4-451e-891e-a5d630392ce2/1575884143814.jpg</v>
      </c>
      <c r="R38" s="2">
        <v>43808.399826388886</v>
      </c>
      <c r="S38" s="2">
        <v>43808.398344907408</v>
      </c>
      <c r="T38" t="s">
        <v>32</v>
      </c>
      <c r="U38" s="2">
        <v>43808.423275462963</v>
      </c>
      <c r="V38" t="s">
        <v>630</v>
      </c>
      <c r="W38" t="s">
        <v>631</v>
      </c>
    </row>
    <row r="39" spans="1:23" x14ac:dyDescent="0.45">
      <c r="A39" t="s">
        <v>641</v>
      </c>
      <c r="B39">
        <v>4.5</v>
      </c>
      <c r="C39" s="1">
        <v>43805</v>
      </c>
      <c r="D39" s="1">
        <v>43775</v>
      </c>
      <c r="E39" t="s">
        <v>428</v>
      </c>
      <c r="F39" t="s">
        <v>429</v>
      </c>
      <c r="G39" t="s">
        <v>429</v>
      </c>
      <c r="H39" t="s">
        <v>429</v>
      </c>
      <c r="I39" t="s">
        <v>447</v>
      </c>
      <c r="J39" t="s">
        <v>429</v>
      </c>
      <c r="K39" t="s">
        <v>429</v>
      </c>
      <c r="L39" t="str">
        <f>HYPERLINK("https://www.commcarehq.org/a/demo-18/api/form/attachment/a5ba3342-b797-414a-8407-682fa71a9039/1573031671164.jpg")</f>
        <v>https://www.commcarehq.org/a/demo-18/api/form/attachment/a5ba3342-b797-414a-8407-682fa71a9039/1573031671164.jpg</v>
      </c>
      <c r="M39" t="str">
        <f>HYPERLINK("https://www.commcarehq.org/a/demo-18/api/form/attachment/a5ba3342-b797-414a-8407-682fa71a9039/1573031722082.jpg")</f>
        <v>https://www.commcarehq.org/a/demo-18/api/form/attachment/a5ba3342-b797-414a-8407-682fa71a9039/1573031722082.jpg</v>
      </c>
      <c r="N39" t="str">
        <f>HYPERLINK("https://www.commcarehq.org/a/demo-18/api/form/attachment/a5ba3342-b797-414a-8407-682fa71a9039/1573031767108.jpg")</f>
        <v>https://www.commcarehq.org/a/demo-18/api/form/attachment/a5ba3342-b797-414a-8407-682fa71a9039/1573031767108.jpg</v>
      </c>
      <c r="O39" t="str">
        <f>HYPERLINK("https://www.commcarehq.org/a/demo-18/api/form/attachment/a5ba3342-b797-414a-8407-682fa71a9039/1573031794971.jpg")</f>
        <v>https://www.commcarehq.org/a/demo-18/api/form/attachment/a5ba3342-b797-414a-8407-682fa71a9039/1573031794971.jpg</v>
      </c>
      <c r="P39" t="str">
        <f>HYPERLINK("https://www.commcarehq.org/a/demo-18/api/form/attachment/a5ba3342-b797-414a-8407-682fa71a9039/1573031815407.jpg")</f>
        <v>https://www.commcarehq.org/a/demo-18/api/form/attachment/a5ba3342-b797-414a-8407-682fa71a9039/1573031815407.jpg</v>
      </c>
      <c r="Q39" t="str">
        <f>HYPERLINK("https://www.commcarehq.org/a/demo-18/api/form/attachment/a5ba3342-b797-414a-8407-682fa71a9039/1573031832876.jpg")</f>
        <v>https://www.commcarehq.org/a/demo-18/api/form/attachment/a5ba3342-b797-414a-8407-682fa71a9039/1573031832876.jpg</v>
      </c>
      <c r="R39" s="2">
        <v>43775.386979166666</v>
      </c>
      <c r="S39" s="2">
        <v>43775.384004629632</v>
      </c>
      <c r="T39" t="s">
        <v>22</v>
      </c>
      <c r="U39" s="2">
        <v>43775.387164351851</v>
      </c>
      <c r="V39" t="s">
        <v>642</v>
      </c>
      <c r="W39" t="s">
        <v>643</v>
      </c>
    </row>
    <row r="40" spans="1:23" x14ac:dyDescent="0.45">
      <c r="A40" t="s">
        <v>674</v>
      </c>
      <c r="B40">
        <v>7.2</v>
      </c>
      <c r="C40" s="1">
        <v>43840</v>
      </c>
      <c r="D40" s="1">
        <v>43810</v>
      </c>
      <c r="E40" t="s">
        <v>428</v>
      </c>
      <c r="F40" t="s">
        <v>429</v>
      </c>
      <c r="G40" t="s">
        <v>429</v>
      </c>
      <c r="H40" t="s">
        <v>429</v>
      </c>
      <c r="I40" t="s">
        <v>569</v>
      </c>
      <c r="J40" t="s">
        <v>429</v>
      </c>
      <c r="K40" t="s">
        <v>429</v>
      </c>
      <c r="L40" t="str">
        <f>HYPERLINK("https://www.commcarehq.org/a/demo-18/api/form/attachment/92723197-401f-4791-96f7-8d432d64f7cd/1576049891326.jpg")</f>
        <v>https://www.commcarehq.org/a/demo-18/api/form/attachment/92723197-401f-4791-96f7-8d432d64f7cd/1576049891326.jpg</v>
      </c>
      <c r="M40" t="str">
        <f>HYPERLINK("https://www.commcarehq.org/a/demo-18/api/form/attachment/92723197-401f-4791-96f7-8d432d64f7cd/1576049908020.jpg")</f>
        <v>https://www.commcarehq.org/a/demo-18/api/form/attachment/92723197-401f-4791-96f7-8d432d64f7cd/1576049908020.jpg</v>
      </c>
      <c r="N40" t="str">
        <f>HYPERLINK("https://www.commcarehq.org/a/demo-18/api/form/attachment/92723197-401f-4791-96f7-8d432d64f7cd/1576049945127.jpg")</f>
        <v>https://www.commcarehq.org/a/demo-18/api/form/attachment/92723197-401f-4791-96f7-8d432d64f7cd/1576049945127.jpg</v>
      </c>
      <c r="O40" t="str">
        <f>HYPERLINK("https://www.commcarehq.org/a/demo-18/api/form/attachment/92723197-401f-4791-96f7-8d432d64f7cd/1576049963240.jpg")</f>
        <v>https://www.commcarehq.org/a/demo-18/api/form/attachment/92723197-401f-4791-96f7-8d432d64f7cd/1576049963240.jpg</v>
      </c>
      <c r="P40" t="str">
        <f>HYPERLINK("https://www.commcarehq.org/a/demo-18/api/form/attachment/92723197-401f-4791-96f7-8d432d64f7cd/1576049977691.jpg")</f>
        <v>https://www.commcarehq.org/a/demo-18/api/form/attachment/92723197-401f-4791-96f7-8d432d64f7cd/1576049977691.jpg</v>
      </c>
      <c r="Q40" t="str">
        <f>HYPERLINK("https://www.commcarehq.org/a/demo-18/api/form/attachment/92723197-401f-4791-96f7-8d432d64f7cd/1576049987518.jpg")</f>
        <v>https://www.commcarehq.org/a/demo-18/api/form/attachment/92723197-401f-4791-96f7-8d432d64f7cd/1576049987518.jpg</v>
      </c>
      <c r="R40" s="2">
        <v>43810.31931712963</v>
      </c>
      <c r="S40" s="2">
        <v>43810.317673611113</v>
      </c>
      <c r="T40" t="s">
        <v>32</v>
      </c>
      <c r="U40" s="2">
        <v>43810.43849537037</v>
      </c>
      <c r="V40" t="s">
        <v>675</v>
      </c>
      <c r="W40" t="s">
        <v>676</v>
      </c>
    </row>
    <row r="41" spans="1:23" x14ac:dyDescent="0.45">
      <c r="A41" t="s">
        <v>671</v>
      </c>
      <c r="B41">
        <v>5.5</v>
      </c>
      <c r="C41" s="1">
        <v>43840</v>
      </c>
      <c r="D41" s="1">
        <v>43810</v>
      </c>
      <c r="E41" t="s">
        <v>428</v>
      </c>
      <c r="F41" t="s">
        <v>429</v>
      </c>
      <c r="G41" t="s">
        <v>429</v>
      </c>
      <c r="H41" t="s">
        <v>429</v>
      </c>
      <c r="I41" t="s">
        <v>447</v>
      </c>
      <c r="J41" t="s">
        <v>429</v>
      </c>
      <c r="K41" t="s">
        <v>429</v>
      </c>
      <c r="L41" t="str">
        <f>HYPERLINK("https://www.commcarehq.org/a/demo-18/api/form/attachment/e3ba910c-c158-42b2-996d-68b259bd794a/1576050337998.jpg")</f>
        <v>https://www.commcarehq.org/a/demo-18/api/form/attachment/e3ba910c-c158-42b2-996d-68b259bd794a/1576050337998.jpg</v>
      </c>
      <c r="M41" t="str">
        <f>HYPERLINK("https://www.commcarehq.org/a/demo-18/api/form/attachment/e3ba910c-c158-42b2-996d-68b259bd794a/1576050355144.jpg")</f>
        <v>https://www.commcarehq.org/a/demo-18/api/form/attachment/e3ba910c-c158-42b2-996d-68b259bd794a/1576050355144.jpg</v>
      </c>
      <c r="N41" t="str">
        <f>HYPERLINK("https://www.commcarehq.org/a/demo-18/api/form/attachment/e3ba910c-c158-42b2-996d-68b259bd794a/1576050429899.jpg")</f>
        <v>https://www.commcarehq.org/a/demo-18/api/form/attachment/e3ba910c-c158-42b2-996d-68b259bd794a/1576050429899.jpg</v>
      </c>
      <c r="O41" t="str">
        <f>HYPERLINK("https://www.commcarehq.org/a/demo-18/api/form/attachment/e3ba910c-c158-42b2-996d-68b259bd794a/1576050438069.jpg")</f>
        <v>https://www.commcarehq.org/a/demo-18/api/form/attachment/e3ba910c-c158-42b2-996d-68b259bd794a/1576050438069.jpg</v>
      </c>
      <c r="P41" t="str">
        <f>HYPERLINK("https://www.commcarehq.org/a/demo-18/api/form/attachment/e3ba910c-c158-42b2-996d-68b259bd794a/1576050463375.jpg")</f>
        <v>https://www.commcarehq.org/a/demo-18/api/form/attachment/e3ba910c-c158-42b2-996d-68b259bd794a/1576050463375.jpg</v>
      </c>
      <c r="Q41" t="str">
        <f>HYPERLINK("https://www.commcarehq.org/a/demo-18/api/form/attachment/e3ba910c-c158-42b2-996d-68b259bd794a/1576050472053.jpg")</f>
        <v>https://www.commcarehq.org/a/demo-18/api/form/attachment/e3ba910c-c158-42b2-996d-68b259bd794a/1576050472053.jpg</v>
      </c>
      <c r="R41" s="2">
        <v>43810.324918981481</v>
      </c>
      <c r="S41" s="2">
        <v>43810.322870370372</v>
      </c>
      <c r="T41" t="s">
        <v>32</v>
      </c>
      <c r="U41" s="2">
        <v>43810.438761574071</v>
      </c>
      <c r="V41" t="s">
        <v>672</v>
      </c>
      <c r="W41" t="s">
        <v>673</v>
      </c>
    </row>
    <row r="42" spans="1:23" x14ac:dyDescent="0.45">
      <c r="A42" t="s">
        <v>613</v>
      </c>
      <c r="B42">
        <v>6.9</v>
      </c>
      <c r="C42" s="1">
        <v>43840</v>
      </c>
      <c r="D42" s="1">
        <v>43810</v>
      </c>
      <c r="E42" t="s">
        <v>428</v>
      </c>
      <c r="F42" t="s">
        <v>429</v>
      </c>
      <c r="G42" t="s">
        <v>429</v>
      </c>
      <c r="H42" t="s">
        <v>429</v>
      </c>
      <c r="I42" t="s">
        <v>430</v>
      </c>
      <c r="J42" t="s">
        <v>429</v>
      </c>
      <c r="K42" t="s">
        <v>429</v>
      </c>
      <c r="L42" t="str">
        <f>HYPERLINK("https://www.commcarehq.org/a/demo-18/api/form/attachment/37846413-e297-485c-811b-e060c3b46e7c/1576054497379.jpg")</f>
        <v>https://www.commcarehq.org/a/demo-18/api/form/attachment/37846413-e297-485c-811b-e060c3b46e7c/1576054497379.jpg</v>
      </c>
      <c r="M42" t="str">
        <f>HYPERLINK("https://www.commcarehq.org/a/demo-18/api/form/attachment/37846413-e297-485c-811b-e060c3b46e7c/1576054511447.jpg")</f>
        <v>https://www.commcarehq.org/a/demo-18/api/form/attachment/37846413-e297-485c-811b-e060c3b46e7c/1576054511447.jpg</v>
      </c>
      <c r="N42" t="str">
        <f>HYPERLINK("https://www.commcarehq.org/a/demo-18/api/form/attachment/37846413-e297-485c-811b-e060c3b46e7c/1576054561797.jpg")</f>
        <v>https://www.commcarehq.org/a/demo-18/api/form/attachment/37846413-e297-485c-811b-e060c3b46e7c/1576054561797.jpg</v>
      </c>
      <c r="O42" t="str">
        <f>HYPERLINK("https://www.commcarehq.org/a/demo-18/api/form/attachment/37846413-e297-485c-811b-e060c3b46e7c/1576054577168.jpg")</f>
        <v>https://www.commcarehq.org/a/demo-18/api/form/attachment/37846413-e297-485c-811b-e060c3b46e7c/1576054577168.jpg</v>
      </c>
      <c r="P42" t="str">
        <f>HYPERLINK("https://www.commcarehq.org/a/demo-18/api/form/attachment/37846413-e297-485c-811b-e060c3b46e7c/1576054607229.jpg")</f>
        <v>https://www.commcarehq.org/a/demo-18/api/form/attachment/37846413-e297-485c-811b-e060c3b46e7c/1576054607229.jpg</v>
      </c>
      <c r="Q42" t="str">
        <f>HYPERLINK("https://www.commcarehq.org/a/demo-18/api/form/attachment/37846413-e297-485c-811b-e060c3b46e7c/1576054619868.jpg")</f>
        <v>https://www.commcarehq.org/a/demo-18/api/form/attachment/37846413-e297-485c-811b-e060c3b46e7c/1576054619868.jpg</v>
      </c>
      <c r="R42" s="2">
        <v>43810.372928240744</v>
      </c>
      <c r="S42" s="2">
        <v>43810.371041666665</v>
      </c>
      <c r="T42" t="s">
        <v>32</v>
      </c>
      <c r="U42" s="2">
        <v>43810.441319444442</v>
      </c>
      <c r="V42" s="3" t="s">
        <v>614</v>
      </c>
      <c r="W42" t="s">
        <v>615</v>
      </c>
    </row>
    <row r="43" spans="1:23" x14ac:dyDescent="0.45">
      <c r="A43" t="s">
        <v>534</v>
      </c>
      <c r="B43">
        <v>6.5</v>
      </c>
      <c r="C43" s="1">
        <v>43840</v>
      </c>
      <c r="D43" s="1">
        <v>43810</v>
      </c>
      <c r="E43" t="s">
        <v>428</v>
      </c>
      <c r="F43" t="s">
        <v>429</v>
      </c>
      <c r="G43" t="s">
        <v>429</v>
      </c>
      <c r="H43" t="s">
        <v>429</v>
      </c>
      <c r="I43" t="s">
        <v>430</v>
      </c>
      <c r="J43" t="s">
        <v>429</v>
      </c>
      <c r="K43" t="s">
        <v>429</v>
      </c>
      <c r="L43" t="str">
        <f>HYPERLINK("https://www.commcarehq.org/a/demo-18/api/form/attachment/8fe9acc6-14a6-479d-bfc1-f9d5368e2ff9/1576054907515.jpg")</f>
        <v>https://www.commcarehq.org/a/demo-18/api/form/attachment/8fe9acc6-14a6-479d-bfc1-f9d5368e2ff9/1576054907515.jpg</v>
      </c>
      <c r="M43" t="str">
        <f>HYPERLINK("https://www.commcarehq.org/a/demo-18/api/form/attachment/8fe9acc6-14a6-479d-bfc1-f9d5368e2ff9/1576054929907.jpg")</f>
        <v>https://www.commcarehq.org/a/demo-18/api/form/attachment/8fe9acc6-14a6-479d-bfc1-f9d5368e2ff9/1576054929907.jpg</v>
      </c>
      <c r="N43" t="str">
        <f>HYPERLINK("https://www.commcarehq.org/a/demo-18/api/form/attachment/8fe9acc6-14a6-479d-bfc1-f9d5368e2ff9/1576054990725.jpg")</f>
        <v>https://www.commcarehq.org/a/demo-18/api/form/attachment/8fe9acc6-14a6-479d-bfc1-f9d5368e2ff9/1576054990725.jpg</v>
      </c>
      <c r="O43" t="str">
        <f>HYPERLINK("https://www.commcarehq.org/a/demo-18/api/form/attachment/8fe9acc6-14a6-479d-bfc1-f9d5368e2ff9/1576055000461.jpg")</f>
        <v>https://www.commcarehq.org/a/demo-18/api/form/attachment/8fe9acc6-14a6-479d-bfc1-f9d5368e2ff9/1576055000461.jpg</v>
      </c>
      <c r="P43" t="str">
        <f>HYPERLINK("https://www.commcarehq.org/a/demo-18/api/form/attachment/8fe9acc6-14a6-479d-bfc1-f9d5368e2ff9/1576055027633.jpg")</f>
        <v>https://www.commcarehq.org/a/demo-18/api/form/attachment/8fe9acc6-14a6-479d-bfc1-f9d5368e2ff9/1576055027633.jpg</v>
      </c>
      <c r="Q43" t="str">
        <f>HYPERLINK("https://www.commcarehq.org/a/demo-18/api/form/attachment/8fe9acc6-14a6-479d-bfc1-f9d5368e2ff9/1576055041080.jpg")</f>
        <v>https://www.commcarehq.org/a/demo-18/api/form/attachment/8fe9acc6-14a6-479d-bfc1-f9d5368e2ff9/1576055041080.jpg</v>
      </c>
      <c r="R43" s="2">
        <v>43810.377824074072</v>
      </c>
      <c r="S43" s="2">
        <v>43810.375821759262</v>
      </c>
      <c r="T43" t="s">
        <v>32</v>
      </c>
      <c r="U43" s="2">
        <v>43810.441620370373</v>
      </c>
      <c r="V43" t="s">
        <v>535</v>
      </c>
      <c r="W43" t="s">
        <v>536</v>
      </c>
    </row>
    <row r="44" spans="1:23" x14ac:dyDescent="0.45">
      <c r="A44" t="s">
        <v>591</v>
      </c>
      <c r="B44">
        <v>5.6</v>
      </c>
      <c r="C44" s="1">
        <v>43840</v>
      </c>
      <c r="D44" s="1">
        <v>43810</v>
      </c>
      <c r="E44" t="s">
        <v>428</v>
      </c>
      <c r="F44" t="s">
        <v>429</v>
      </c>
      <c r="G44" t="s">
        <v>429</v>
      </c>
      <c r="H44" t="s">
        <v>429</v>
      </c>
      <c r="I44" t="s">
        <v>447</v>
      </c>
      <c r="J44" t="s">
        <v>429</v>
      </c>
      <c r="K44" t="s">
        <v>429</v>
      </c>
      <c r="L44" t="str">
        <f>HYPERLINK("https://www.commcarehq.org/a/demo-18/api/form/attachment/593e1b16-d820-49a0-b953-f759618ba8d1/1576058430084.jpg")</f>
        <v>https://www.commcarehq.org/a/demo-18/api/form/attachment/593e1b16-d820-49a0-b953-f759618ba8d1/1576058430084.jpg</v>
      </c>
      <c r="M44" t="str">
        <f>HYPERLINK("https://www.commcarehq.org/a/demo-18/api/form/attachment/593e1b16-d820-49a0-b953-f759618ba8d1/1576058462702.jpg")</f>
        <v>https://www.commcarehq.org/a/demo-18/api/form/attachment/593e1b16-d820-49a0-b953-f759618ba8d1/1576058462702.jpg</v>
      </c>
      <c r="N44" t="str">
        <f>HYPERLINK("https://www.commcarehq.org/a/demo-18/api/form/attachment/593e1b16-d820-49a0-b953-f759618ba8d1/1576058530000.jpg")</f>
        <v>https://www.commcarehq.org/a/demo-18/api/form/attachment/593e1b16-d820-49a0-b953-f759618ba8d1/1576058530000.jpg</v>
      </c>
      <c r="O44" t="str">
        <f>HYPERLINK("https://www.commcarehq.org/a/demo-18/api/form/attachment/593e1b16-d820-49a0-b953-f759618ba8d1/1576058539749.jpg")</f>
        <v>https://www.commcarehq.org/a/demo-18/api/form/attachment/593e1b16-d820-49a0-b953-f759618ba8d1/1576058539749.jpg</v>
      </c>
      <c r="P44" t="str">
        <f>HYPERLINK("https://www.commcarehq.org/a/demo-18/api/form/attachment/593e1b16-d820-49a0-b953-f759618ba8d1/1576058566688.jpg")</f>
        <v>https://www.commcarehq.org/a/demo-18/api/form/attachment/593e1b16-d820-49a0-b953-f759618ba8d1/1576058566688.jpg</v>
      </c>
      <c r="Q44" t="str">
        <f>HYPERLINK("https://www.commcarehq.org/a/demo-18/api/form/attachment/593e1b16-d820-49a0-b953-f759618ba8d1/1576058575885.jpg")</f>
        <v>https://www.commcarehq.org/a/demo-18/api/form/attachment/593e1b16-d820-49a0-b953-f759618ba8d1/1576058575885.jpg</v>
      </c>
      <c r="R44" s="2">
        <v>43810.418715277781</v>
      </c>
      <c r="S44" s="2">
        <v>43810.416296296295</v>
      </c>
      <c r="T44" t="s">
        <v>32</v>
      </c>
      <c r="U44" s="2">
        <v>43810.443240740744</v>
      </c>
      <c r="V44" t="s">
        <v>592</v>
      </c>
      <c r="W44" t="s">
        <v>593</v>
      </c>
    </row>
    <row r="45" spans="1:23" x14ac:dyDescent="0.45">
      <c r="A45" t="s">
        <v>582</v>
      </c>
      <c r="B45">
        <v>5.0999999999999996</v>
      </c>
      <c r="C45" s="1">
        <v>43841</v>
      </c>
      <c r="D45" s="1">
        <v>43811</v>
      </c>
      <c r="E45" t="s">
        <v>428</v>
      </c>
      <c r="F45" t="s">
        <v>429</v>
      </c>
      <c r="G45" t="s">
        <v>429</v>
      </c>
      <c r="H45" t="s">
        <v>429</v>
      </c>
      <c r="I45" t="s">
        <v>430</v>
      </c>
      <c r="J45" t="s">
        <v>429</v>
      </c>
      <c r="K45" t="s">
        <v>429</v>
      </c>
      <c r="L45" t="str">
        <f>HYPERLINK("https://www.commcarehq.org/a/demo-18/api/form/attachment/379ecb8a-255d-48c2-83b8-cd04b4758eee/1576136504195.jpg")</f>
        <v>https://www.commcarehq.org/a/demo-18/api/form/attachment/379ecb8a-255d-48c2-83b8-cd04b4758eee/1576136504195.jpg</v>
      </c>
      <c r="M45" t="str">
        <f>HYPERLINK("https://www.commcarehq.org/a/demo-18/api/form/attachment/379ecb8a-255d-48c2-83b8-cd04b4758eee/1576136530854.jpg")</f>
        <v>https://www.commcarehq.org/a/demo-18/api/form/attachment/379ecb8a-255d-48c2-83b8-cd04b4758eee/1576136530854.jpg</v>
      </c>
      <c r="N45" t="str">
        <f>HYPERLINK("https://www.commcarehq.org/a/demo-18/api/form/attachment/379ecb8a-255d-48c2-83b8-cd04b4758eee/1576136656075.jpg")</f>
        <v>https://www.commcarehq.org/a/demo-18/api/form/attachment/379ecb8a-255d-48c2-83b8-cd04b4758eee/1576136656075.jpg</v>
      </c>
      <c r="O45" t="str">
        <f>HYPERLINK("https://www.commcarehq.org/a/demo-18/api/form/attachment/379ecb8a-255d-48c2-83b8-cd04b4758eee/1576136673365.jpg")</f>
        <v>https://www.commcarehq.org/a/demo-18/api/form/attachment/379ecb8a-255d-48c2-83b8-cd04b4758eee/1576136673365.jpg</v>
      </c>
      <c r="P45" t="str">
        <f>HYPERLINK("https://www.commcarehq.org/a/demo-18/api/form/attachment/379ecb8a-255d-48c2-83b8-cd04b4758eee/1576136701932.jpg")</f>
        <v>https://www.commcarehq.org/a/demo-18/api/form/attachment/379ecb8a-255d-48c2-83b8-cd04b4758eee/1576136701932.jpg</v>
      </c>
      <c r="Q45" t="str">
        <f>HYPERLINK("https://www.commcarehq.org/a/demo-18/api/form/attachment/379ecb8a-255d-48c2-83b8-cd04b4758eee/1576136721001.jpg")</f>
        <v>https://www.commcarehq.org/a/demo-18/api/form/attachment/379ecb8a-255d-48c2-83b8-cd04b4758eee/1576136721001.jpg</v>
      </c>
      <c r="R45" s="2">
        <v>43811.323171296295</v>
      </c>
      <c r="S45" s="2">
        <v>43811.320023148146</v>
      </c>
      <c r="T45" t="s">
        <v>32</v>
      </c>
      <c r="U45" s="2">
        <v>43811.327476851853</v>
      </c>
      <c r="V45" t="s">
        <v>583</v>
      </c>
      <c r="W45" t="s">
        <v>584</v>
      </c>
    </row>
    <row r="46" spans="1:23" x14ac:dyDescent="0.45">
      <c r="A46" t="s">
        <v>607</v>
      </c>
      <c r="B46">
        <v>7.1</v>
      </c>
      <c r="C46" s="1">
        <v>43841</v>
      </c>
      <c r="D46" s="1">
        <v>43811</v>
      </c>
      <c r="E46" t="s">
        <v>428</v>
      </c>
      <c r="F46" t="s">
        <v>429</v>
      </c>
      <c r="G46" t="s">
        <v>429</v>
      </c>
      <c r="H46" t="s">
        <v>429</v>
      </c>
      <c r="I46" t="s">
        <v>430</v>
      </c>
      <c r="J46" t="s">
        <v>429</v>
      </c>
      <c r="K46" t="s">
        <v>429</v>
      </c>
      <c r="L46" t="str">
        <f>HYPERLINK("https://www.commcarehq.org/a/demo-18/api/form/attachment/e8a63110-9c07-430c-a1a8-5a467b8d4dd0/1576137130817.jpg")</f>
        <v>https://www.commcarehq.org/a/demo-18/api/form/attachment/e8a63110-9c07-430c-a1a8-5a467b8d4dd0/1576137130817.jpg</v>
      </c>
      <c r="M46" t="str">
        <f>HYPERLINK("https://www.commcarehq.org/a/demo-18/api/form/attachment/e8a63110-9c07-430c-a1a8-5a467b8d4dd0/1576137141460.jpg")</f>
        <v>https://www.commcarehq.org/a/demo-18/api/form/attachment/e8a63110-9c07-430c-a1a8-5a467b8d4dd0/1576137141460.jpg</v>
      </c>
      <c r="N46" t="str">
        <f>HYPERLINK("https://www.commcarehq.org/a/demo-18/api/form/attachment/e8a63110-9c07-430c-a1a8-5a467b8d4dd0/1576137242383.jpg")</f>
        <v>https://www.commcarehq.org/a/demo-18/api/form/attachment/e8a63110-9c07-430c-a1a8-5a467b8d4dd0/1576137242383.jpg</v>
      </c>
      <c r="O46" t="str">
        <f>HYPERLINK("https://www.commcarehq.org/a/demo-18/api/form/attachment/e8a63110-9c07-430c-a1a8-5a467b8d4dd0/1576137250704.jpg")</f>
        <v>https://www.commcarehq.org/a/demo-18/api/form/attachment/e8a63110-9c07-430c-a1a8-5a467b8d4dd0/1576137250704.jpg</v>
      </c>
      <c r="P46" t="str">
        <f>HYPERLINK("https://www.commcarehq.org/a/demo-18/api/form/attachment/e8a63110-9c07-430c-a1a8-5a467b8d4dd0/1576137288930.jpg")</f>
        <v>https://www.commcarehq.org/a/demo-18/api/form/attachment/e8a63110-9c07-430c-a1a8-5a467b8d4dd0/1576137288930.jpg</v>
      </c>
      <c r="Q46" t="str">
        <f>HYPERLINK("https://www.commcarehq.org/a/demo-18/api/form/attachment/e8a63110-9c07-430c-a1a8-5a467b8d4dd0/1576137299093.jpg")</f>
        <v>https://www.commcarehq.org/a/demo-18/api/form/attachment/e8a63110-9c07-430c-a1a8-5a467b8d4dd0/1576137299093.jpg</v>
      </c>
      <c r="R46" s="2">
        <v>43811.329872685186</v>
      </c>
      <c r="S46" s="2">
        <v>43811.327256944445</v>
      </c>
      <c r="T46" t="s">
        <v>32</v>
      </c>
      <c r="U46" s="2">
        <v>43811.330393518518</v>
      </c>
      <c r="V46" t="s">
        <v>608</v>
      </c>
      <c r="W46" t="s">
        <v>609</v>
      </c>
    </row>
    <row r="47" spans="1:23" x14ac:dyDescent="0.45">
      <c r="A47" t="s">
        <v>531</v>
      </c>
      <c r="B47">
        <v>6.1</v>
      </c>
      <c r="C47" s="1">
        <v>43841</v>
      </c>
      <c r="D47" s="1">
        <v>43811</v>
      </c>
      <c r="E47" t="s">
        <v>428</v>
      </c>
      <c r="F47" t="s">
        <v>429</v>
      </c>
      <c r="G47" t="s">
        <v>429</v>
      </c>
      <c r="H47" t="s">
        <v>429</v>
      </c>
      <c r="I47" t="s">
        <v>447</v>
      </c>
      <c r="J47" t="s">
        <v>429</v>
      </c>
      <c r="K47" t="s">
        <v>429</v>
      </c>
      <c r="L47" t="str">
        <f>HYPERLINK("https://www.commcarehq.org/a/demo-18/api/form/attachment/c67f89fe-2e0b-4700-8524-61fa6e1f7a44/1576137912491.jpg")</f>
        <v>https://www.commcarehq.org/a/demo-18/api/form/attachment/c67f89fe-2e0b-4700-8524-61fa6e1f7a44/1576137912491.jpg</v>
      </c>
      <c r="M47" t="str">
        <f>HYPERLINK("https://www.commcarehq.org/a/demo-18/api/form/attachment/c67f89fe-2e0b-4700-8524-61fa6e1f7a44/1576137930709.jpg")</f>
        <v>https://www.commcarehq.org/a/demo-18/api/form/attachment/c67f89fe-2e0b-4700-8524-61fa6e1f7a44/1576137930709.jpg</v>
      </c>
      <c r="N47" t="str">
        <f>HYPERLINK("https://www.commcarehq.org/a/demo-18/api/form/attachment/c67f89fe-2e0b-4700-8524-61fa6e1f7a44/1576137992508.jpg")</f>
        <v>https://www.commcarehq.org/a/demo-18/api/form/attachment/c67f89fe-2e0b-4700-8524-61fa6e1f7a44/1576137992508.jpg</v>
      </c>
      <c r="O47" t="str">
        <f>HYPERLINK("https://www.commcarehq.org/a/demo-18/api/form/attachment/c67f89fe-2e0b-4700-8524-61fa6e1f7a44/1576138002853.jpg")</f>
        <v>https://www.commcarehq.org/a/demo-18/api/form/attachment/c67f89fe-2e0b-4700-8524-61fa6e1f7a44/1576138002853.jpg</v>
      </c>
      <c r="P47" t="str">
        <f>HYPERLINK("https://www.commcarehq.org/a/demo-18/api/form/attachment/c67f89fe-2e0b-4700-8524-61fa6e1f7a44/1576138021818.jpg")</f>
        <v>https://www.commcarehq.org/a/demo-18/api/form/attachment/c67f89fe-2e0b-4700-8524-61fa6e1f7a44/1576138021818.jpg</v>
      </c>
      <c r="Q47" t="str">
        <f>HYPERLINK("https://www.commcarehq.org/a/demo-18/api/form/attachment/c67f89fe-2e0b-4700-8524-61fa6e1f7a44/1576138030443.jpg")</f>
        <v>https://www.commcarehq.org/a/demo-18/api/form/attachment/c67f89fe-2e0b-4700-8524-61fa6e1f7a44/1576138030443.jpg</v>
      </c>
      <c r="R47" s="2">
        <v>43811.338333333333</v>
      </c>
      <c r="S47" s="2">
        <v>43811.336122685185</v>
      </c>
      <c r="T47" t="s">
        <v>32</v>
      </c>
      <c r="U47" s="2">
        <v>43811.338703703703</v>
      </c>
      <c r="V47" t="s">
        <v>532</v>
      </c>
      <c r="W47" t="s">
        <v>533</v>
      </c>
    </row>
    <row r="48" spans="1:23" x14ac:dyDescent="0.45">
      <c r="A48" t="s">
        <v>677</v>
      </c>
      <c r="B48">
        <v>6.6</v>
      </c>
      <c r="C48" s="1">
        <v>43842</v>
      </c>
      <c r="D48" s="1">
        <v>43812</v>
      </c>
      <c r="E48" t="s">
        <v>428</v>
      </c>
      <c r="F48" t="s">
        <v>429</v>
      </c>
      <c r="G48" t="s">
        <v>429</v>
      </c>
      <c r="H48" t="s">
        <v>429</v>
      </c>
      <c r="I48" t="s">
        <v>544</v>
      </c>
      <c r="J48" t="s">
        <v>429</v>
      </c>
      <c r="K48" t="s">
        <v>429</v>
      </c>
      <c r="L48" t="str">
        <f>HYPERLINK("https://www.commcarehq.org/a/demo-18/api/form/attachment/4ec164f0-46fb-4e23-a3a9-9d1ecce2fe51/1576222110904.jpg")</f>
        <v>https://www.commcarehq.org/a/demo-18/api/form/attachment/4ec164f0-46fb-4e23-a3a9-9d1ecce2fe51/1576222110904.jpg</v>
      </c>
      <c r="M48" t="str">
        <f>HYPERLINK("https://www.commcarehq.org/a/demo-18/api/form/attachment/4ec164f0-46fb-4e23-a3a9-9d1ecce2fe51/1576222133889.jpg")</f>
        <v>https://www.commcarehq.org/a/demo-18/api/form/attachment/4ec164f0-46fb-4e23-a3a9-9d1ecce2fe51/1576222133889.jpg</v>
      </c>
      <c r="N48" t="str">
        <f>HYPERLINK("https://www.commcarehq.org/a/demo-18/api/form/attachment/4ec164f0-46fb-4e23-a3a9-9d1ecce2fe51/1576222234874.jpg")</f>
        <v>https://www.commcarehq.org/a/demo-18/api/form/attachment/4ec164f0-46fb-4e23-a3a9-9d1ecce2fe51/1576222234874.jpg</v>
      </c>
      <c r="O48" t="str">
        <f>HYPERLINK("https://www.commcarehq.org/a/demo-18/api/form/attachment/4ec164f0-46fb-4e23-a3a9-9d1ecce2fe51/1576222248933.jpg")</f>
        <v>https://www.commcarehq.org/a/demo-18/api/form/attachment/4ec164f0-46fb-4e23-a3a9-9d1ecce2fe51/1576222248933.jpg</v>
      </c>
      <c r="P48" t="str">
        <f>HYPERLINK("https://www.commcarehq.org/a/demo-18/api/form/attachment/4ec164f0-46fb-4e23-a3a9-9d1ecce2fe51/1576222266337.jpg")</f>
        <v>https://www.commcarehq.org/a/demo-18/api/form/attachment/4ec164f0-46fb-4e23-a3a9-9d1ecce2fe51/1576222266337.jpg</v>
      </c>
      <c r="Q48" t="str">
        <f>HYPERLINK("https://www.commcarehq.org/a/demo-18/api/form/attachment/4ec164f0-46fb-4e23-a3a9-9d1ecce2fe51/1576222275193.jpg")</f>
        <v>https://www.commcarehq.org/a/demo-18/api/form/attachment/4ec164f0-46fb-4e23-a3a9-9d1ecce2fe51/1576222275193.jpg</v>
      </c>
      <c r="R48" s="2">
        <v>43812.313379629632</v>
      </c>
      <c r="S48" s="2">
        <v>43812.311157407406</v>
      </c>
      <c r="T48" t="s">
        <v>32</v>
      </c>
      <c r="U48" s="2">
        <v>43812.313611111109</v>
      </c>
      <c r="V48" t="s">
        <v>678</v>
      </c>
      <c r="W48" t="s">
        <v>679</v>
      </c>
    </row>
    <row r="49" spans="1:23" x14ac:dyDescent="0.45">
      <c r="A49" t="s">
        <v>585</v>
      </c>
      <c r="B49">
        <v>6.2</v>
      </c>
      <c r="C49" s="1">
        <v>43842</v>
      </c>
      <c r="D49" s="1">
        <v>43812</v>
      </c>
      <c r="E49" t="s">
        <v>428</v>
      </c>
      <c r="F49" t="s">
        <v>429</v>
      </c>
      <c r="G49" t="s">
        <v>429</v>
      </c>
      <c r="H49" t="s">
        <v>429</v>
      </c>
      <c r="I49" t="s">
        <v>447</v>
      </c>
      <c r="J49" t="s">
        <v>429</v>
      </c>
      <c r="K49" t="s">
        <v>429</v>
      </c>
      <c r="L49" t="str">
        <f>HYPERLINK("https://www.commcarehq.org/a/demo-18/api/form/attachment/34e68453-df2c-45ed-9166-baa65e8e3a9c/1576222610988.jpg")</f>
        <v>https://www.commcarehq.org/a/demo-18/api/form/attachment/34e68453-df2c-45ed-9166-baa65e8e3a9c/1576222610988.jpg</v>
      </c>
      <c r="M49" t="str">
        <f>HYPERLINK("https://www.commcarehq.org/a/demo-18/api/form/attachment/34e68453-df2c-45ed-9166-baa65e8e3a9c/1576222630001.jpg")</f>
        <v>https://www.commcarehq.org/a/demo-18/api/form/attachment/34e68453-df2c-45ed-9166-baa65e8e3a9c/1576222630001.jpg</v>
      </c>
      <c r="N49" t="str">
        <f>HYPERLINK("https://www.commcarehq.org/a/demo-18/api/form/attachment/34e68453-df2c-45ed-9166-baa65e8e3a9c/1576222712522.jpg")</f>
        <v>https://www.commcarehq.org/a/demo-18/api/form/attachment/34e68453-df2c-45ed-9166-baa65e8e3a9c/1576222712522.jpg</v>
      </c>
      <c r="O49" t="str">
        <f>HYPERLINK("https://www.commcarehq.org/a/demo-18/api/form/attachment/34e68453-df2c-45ed-9166-baa65e8e3a9c/1576222720772.jpg")</f>
        <v>https://www.commcarehq.org/a/demo-18/api/form/attachment/34e68453-df2c-45ed-9166-baa65e8e3a9c/1576222720772.jpg</v>
      </c>
      <c r="P49" t="str">
        <f>HYPERLINK("https://www.commcarehq.org/a/demo-18/api/form/attachment/34e68453-df2c-45ed-9166-baa65e8e3a9c/1576222737301.jpg")</f>
        <v>https://www.commcarehq.org/a/demo-18/api/form/attachment/34e68453-df2c-45ed-9166-baa65e8e3a9c/1576222737301.jpg</v>
      </c>
      <c r="Q49" t="str">
        <f>HYPERLINK("https://www.commcarehq.org/a/demo-18/api/form/attachment/34e68453-df2c-45ed-9166-baa65e8e3a9c/1576222764739.jpg")</f>
        <v>https://www.commcarehq.org/a/demo-18/api/form/attachment/34e68453-df2c-45ed-9166-baa65e8e3a9c/1576222764739.jpg</v>
      </c>
      <c r="R49" s="2">
        <v>43812.319050925929</v>
      </c>
      <c r="S49" s="2">
        <v>43812.316631944443</v>
      </c>
      <c r="T49" t="s">
        <v>32</v>
      </c>
      <c r="U49" s="2">
        <v>43812.31925925926</v>
      </c>
      <c r="V49" s="3" t="s">
        <v>586</v>
      </c>
      <c r="W49" t="s">
        <v>587</v>
      </c>
    </row>
    <row r="50" spans="1:23" x14ac:dyDescent="0.45">
      <c r="A50" t="s">
        <v>610</v>
      </c>
      <c r="B50">
        <v>7.8</v>
      </c>
      <c r="C50" s="1">
        <v>43842</v>
      </c>
      <c r="D50" s="1">
        <v>43812</v>
      </c>
      <c r="E50" t="s">
        <v>428</v>
      </c>
      <c r="F50" t="s">
        <v>429</v>
      </c>
      <c r="G50" t="s">
        <v>429</v>
      </c>
      <c r="H50" t="s">
        <v>429</v>
      </c>
      <c r="I50" t="s">
        <v>430</v>
      </c>
      <c r="J50" t="s">
        <v>429</v>
      </c>
      <c r="K50" t="s">
        <v>429</v>
      </c>
      <c r="L50" t="str">
        <f>HYPERLINK("https://www.commcarehq.org/a/demo-18/api/form/attachment/9c13519e-eb92-4916-be01-f132b98c2057/1576223113473.jpg")</f>
        <v>https://www.commcarehq.org/a/demo-18/api/form/attachment/9c13519e-eb92-4916-be01-f132b98c2057/1576223113473.jpg</v>
      </c>
      <c r="M50" t="str">
        <f>HYPERLINK("https://www.commcarehq.org/a/demo-18/api/form/attachment/9c13519e-eb92-4916-be01-f132b98c2057/1576223128566.jpg")</f>
        <v>https://www.commcarehq.org/a/demo-18/api/form/attachment/9c13519e-eb92-4916-be01-f132b98c2057/1576223128566.jpg</v>
      </c>
      <c r="N50" t="str">
        <f>HYPERLINK("https://www.commcarehq.org/a/demo-18/api/form/attachment/9c13519e-eb92-4916-be01-f132b98c2057/1576223225083.jpg")</f>
        <v>https://www.commcarehq.org/a/demo-18/api/form/attachment/9c13519e-eb92-4916-be01-f132b98c2057/1576223225083.jpg</v>
      </c>
      <c r="O50" t="str">
        <f>HYPERLINK("https://www.commcarehq.org/a/demo-18/api/form/attachment/9c13519e-eb92-4916-be01-f132b98c2057/1576223234766.jpg")</f>
        <v>https://www.commcarehq.org/a/demo-18/api/form/attachment/9c13519e-eb92-4916-be01-f132b98c2057/1576223234766.jpg</v>
      </c>
      <c r="P50" t="str">
        <f>HYPERLINK("https://www.commcarehq.org/a/demo-18/api/form/attachment/9c13519e-eb92-4916-be01-f132b98c2057/1576223253209.jpg")</f>
        <v>https://www.commcarehq.org/a/demo-18/api/form/attachment/9c13519e-eb92-4916-be01-f132b98c2057/1576223253209.jpg</v>
      </c>
      <c r="Q50" t="str">
        <f>HYPERLINK("https://www.commcarehq.org/a/demo-18/api/form/attachment/9c13519e-eb92-4916-be01-f132b98c2057/1576223264489.jpg")</f>
        <v>https://www.commcarehq.org/a/demo-18/api/form/attachment/9c13519e-eb92-4916-be01-f132b98c2057/1576223264489.jpg</v>
      </c>
      <c r="R50" s="2">
        <v>43812.324849537035</v>
      </c>
      <c r="S50" s="2">
        <v>43812.322187500002</v>
      </c>
      <c r="T50" t="s">
        <v>32</v>
      </c>
      <c r="U50" s="2">
        <v>43812.325057870374</v>
      </c>
      <c r="V50" t="s">
        <v>611</v>
      </c>
      <c r="W50" t="s">
        <v>612</v>
      </c>
    </row>
    <row r="51" spans="1:23" x14ac:dyDescent="0.45">
      <c r="A51" t="s">
        <v>588</v>
      </c>
      <c r="B51">
        <v>6.6</v>
      </c>
      <c r="C51" s="1">
        <v>43842</v>
      </c>
      <c r="D51" s="1">
        <v>43812</v>
      </c>
      <c r="E51" t="s">
        <v>428</v>
      </c>
      <c r="F51" t="s">
        <v>429</v>
      </c>
      <c r="G51" t="s">
        <v>429</v>
      </c>
      <c r="H51" t="s">
        <v>429</v>
      </c>
      <c r="I51" t="s">
        <v>447</v>
      </c>
      <c r="J51" t="s">
        <v>429</v>
      </c>
      <c r="K51" t="s">
        <v>429</v>
      </c>
      <c r="L51" t="str">
        <f>HYPERLINK("https://www.commcarehq.org/a/demo-18/api/form/attachment/7539d4c9-9690-474d-9e0d-9c6c78fe708b/1576223565877.jpg")</f>
        <v>https://www.commcarehq.org/a/demo-18/api/form/attachment/7539d4c9-9690-474d-9e0d-9c6c78fe708b/1576223565877.jpg</v>
      </c>
      <c r="M51" t="str">
        <f>HYPERLINK("https://www.commcarehq.org/a/demo-18/api/form/attachment/7539d4c9-9690-474d-9e0d-9c6c78fe708b/1576223579413.jpg")</f>
        <v>https://www.commcarehq.org/a/demo-18/api/form/attachment/7539d4c9-9690-474d-9e0d-9c6c78fe708b/1576223579413.jpg</v>
      </c>
      <c r="N51" t="str">
        <f>HYPERLINK("https://www.commcarehq.org/a/demo-18/api/form/attachment/7539d4c9-9690-474d-9e0d-9c6c78fe708b/1576223626907.jpg")</f>
        <v>https://www.commcarehq.org/a/demo-18/api/form/attachment/7539d4c9-9690-474d-9e0d-9c6c78fe708b/1576223626907.jpg</v>
      </c>
      <c r="O51" t="str">
        <f>HYPERLINK("https://www.commcarehq.org/a/demo-18/api/form/attachment/7539d4c9-9690-474d-9e0d-9c6c78fe708b/1576223641645.jpg")</f>
        <v>https://www.commcarehq.org/a/demo-18/api/form/attachment/7539d4c9-9690-474d-9e0d-9c6c78fe708b/1576223641645.jpg</v>
      </c>
      <c r="P51" t="str">
        <f>HYPERLINK("https://www.commcarehq.org/a/demo-18/api/form/attachment/7539d4c9-9690-474d-9e0d-9c6c78fe708b/1576223667780.jpg")</f>
        <v>https://www.commcarehq.org/a/demo-18/api/form/attachment/7539d4c9-9690-474d-9e0d-9c6c78fe708b/1576223667780.jpg</v>
      </c>
      <c r="Q51" t="str">
        <f>HYPERLINK("https://www.commcarehq.org/a/demo-18/api/form/attachment/7539d4c9-9690-474d-9e0d-9c6c78fe708b/1576223677679.jpg")</f>
        <v>https://www.commcarehq.org/a/demo-18/api/form/attachment/7539d4c9-9690-474d-9e0d-9c6c78fe708b/1576223677679.jpg</v>
      </c>
      <c r="R51" s="2">
        <v>43812.329618055555</v>
      </c>
      <c r="S51" s="2">
        <v>43812.327905092592</v>
      </c>
      <c r="T51" t="s">
        <v>32</v>
      </c>
      <c r="U51" s="2">
        <v>43812.329826388886</v>
      </c>
      <c r="V51" t="s">
        <v>589</v>
      </c>
      <c r="W51" t="s">
        <v>590</v>
      </c>
    </row>
    <row r="52" spans="1:23" x14ac:dyDescent="0.45">
      <c r="A52" t="s">
        <v>597</v>
      </c>
      <c r="B52">
        <v>6</v>
      </c>
      <c r="C52" s="1">
        <v>43845</v>
      </c>
      <c r="D52" s="1">
        <v>43815</v>
      </c>
      <c r="E52" t="s">
        <v>428</v>
      </c>
      <c r="F52" t="s">
        <v>429</v>
      </c>
      <c r="G52" t="s">
        <v>429</v>
      </c>
      <c r="H52" t="s">
        <v>429</v>
      </c>
      <c r="I52" t="s">
        <v>447</v>
      </c>
      <c r="J52" t="s">
        <v>429</v>
      </c>
      <c r="K52" t="s">
        <v>429</v>
      </c>
      <c r="L52" t="str">
        <f>HYPERLINK("https://www.commcarehq.org/a/demo-18/api/form/attachment/803658d3-1667-4a64-8659-80dd8ba9cf40/1576486935568.jpg")</f>
        <v>https://www.commcarehq.org/a/demo-18/api/form/attachment/803658d3-1667-4a64-8659-80dd8ba9cf40/1576486935568.jpg</v>
      </c>
      <c r="M52" t="str">
        <f>HYPERLINK("https://www.commcarehq.org/a/demo-18/api/form/attachment/803658d3-1667-4a64-8659-80dd8ba9cf40/1576486951404.jpg")</f>
        <v>https://www.commcarehq.org/a/demo-18/api/form/attachment/803658d3-1667-4a64-8659-80dd8ba9cf40/1576486951404.jpg</v>
      </c>
      <c r="N52" t="str">
        <f>HYPERLINK("https://www.commcarehq.org/a/demo-18/api/form/attachment/803658d3-1667-4a64-8659-80dd8ba9cf40/1576486989697.jpg")</f>
        <v>https://www.commcarehq.org/a/demo-18/api/form/attachment/803658d3-1667-4a64-8659-80dd8ba9cf40/1576486989697.jpg</v>
      </c>
      <c r="O52" t="str">
        <f>HYPERLINK("https://www.commcarehq.org/a/demo-18/api/form/attachment/803658d3-1667-4a64-8659-80dd8ba9cf40/1576487003713.jpg")</f>
        <v>https://www.commcarehq.org/a/demo-18/api/form/attachment/803658d3-1667-4a64-8659-80dd8ba9cf40/1576487003713.jpg</v>
      </c>
      <c r="P52" t="str">
        <f>HYPERLINK("https://www.commcarehq.org/a/demo-18/api/form/attachment/803658d3-1667-4a64-8659-80dd8ba9cf40/1576487020846.jpg")</f>
        <v>https://www.commcarehq.org/a/demo-18/api/form/attachment/803658d3-1667-4a64-8659-80dd8ba9cf40/1576487020846.jpg</v>
      </c>
      <c r="Q52" t="str">
        <f>HYPERLINK("https://www.commcarehq.org/a/demo-18/api/form/attachment/803658d3-1667-4a64-8659-80dd8ba9cf40/1576487029517.jpg")</f>
        <v>https://www.commcarehq.org/a/demo-18/api/form/attachment/803658d3-1667-4a64-8659-80dd8ba9cf40/1576487029517.jpg</v>
      </c>
      <c r="R52" s="2">
        <v>43815.37767361111</v>
      </c>
      <c r="S52" s="2">
        <v>43815.376111111109</v>
      </c>
      <c r="T52" t="s">
        <v>32</v>
      </c>
      <c r="U52" s="2">
        <v>43815.377939814818</v>
      </c>
      <c r="V52" t="s">
        <v>598</v>
      </c>
      <c r="W52" t="s">
        <v>599</v>
      </c>
    </row>
    <row r="53" spans="1:23" x14ac:dyDescent="0.45">
      <c r="A53" t="s">
        <v>540</v>
      </c>
      <c r="B53">
        <v>5.5</v>
      </c>
      <c r="C53" s="1">
        <v>43845</v>
      </c>
      <c r="D53" s="1">
        <v>43815</v>
      </c>
      <c r="E53" t="s">
        <v>428</v>
      </c>
      <c r="F53" t="s">
        <v>429</v>
      </c>
      <c r="G53" t="s">
        <v>429</v>
      </c>
      <c r="H53" t="s">
        <v>429</v>
      </c>
      <c r="I53" t="s">
        <v>430</v>
      </c>
      <c r="J53" t="s">
        <v>429</v>
      </c>
      <c r="K53" t="s">
        <v>429</v>
      </c>
      <c r="L53" t="str">
        <f>HYPERLINK("https://www.commcarehq.org/a/demo-18/api/form/attachment/cc67ed43-5c42-40ca-bd0d-61bf3ee5c028/1576488594740.jpg")</f>
        <v>https://www.commcarehq.org/a/demo-18/api/form/attachment/cc67ed43-5c42-40ca-bd0d-61bf3ee5c028/1576488594740.jpg</v>
      </c>
      <c r="M53" t="str">
        <f>HYPERLINK("https://www.commcarehq.org/a/demo-18/api/form/attachment/cc67ed43-5c42-40ca-bd0d-61bf3ee5c028/1576488614173.jpg")</f>
        <v>https://www.commcarehq.org/a/demo-18/api/form/attachment/cc67ed43-5c42-40ca-bd0d-61bf3ee5c028/1576488614173.jpg</v>
      </c>
      <c r="N53" t="str">
        <f>HYPERLINK("https://www.commcarehq.org/a/demo-18/api/form/attachment/cc67ed43-5c42-40ca-bd0d-61bf3ee5c028/1576488652350.jpg")</f>
        <v>https://www.commcarehq.org/a/demo-18/api/form/attachment/cc67ed43-5c42-40ca-bd0d-61bf3ee5c028/1576488652350.jpg</v>
      </c>
      <c r="O53" t="str">
        <f>HYPERLINK("https://www.commcarehq.org/a/demo-18/api/form/attachment/cc67ed43-5c42-40ca-bd0d-61bf3ee5c028/1576488663814.jpg")</f>
        <v>https://www.commcarehq.org/a/demo-18/api/form/attachment/cc67ed43-5c42-40ca-bd0d-61bf3ee5c028/1576488663814.jpg</v>
      </c>
      <c r="P53" t="str">
        <f>HYPERLINK("https://www.commcarehq.org/a/demo-18/api/form/attachment/cc67ed43-5c42-40ca-bd0d-61bf3ee5c028/1576488697275.jpg")</f>
        <v>https://www.commcarehq.org/a/demo-18/api/form/attachment/cc67ed43-5c42-40ca-bd0d-61bf3ee5c028/1576488697275.jpg</v>
      </c>
      <c r="Q53" t="str">
        <f>HYPERLINK("https://www.commcarehq.org/a/demo-18/api/form/attachment/cc67ed43-5c42-40ca-bd0d-61bf3ee5c028/1576488706167.jpg")</f>
        <v>https://www.commcarehq.org/a/demo-18/api/form/attachment/cc67ed43-5c42-40ca-bd0d-61bf3ee5c028/1576488706167.jpg</v>
      </c>
      <c r="R53" s="2">
        <v>43815.397083333337</v>
      </c>
      <c r="S53" s="2">
        <v>43815.395254629628</v>
      </c>
      <c r="T53" t="s">
        <v>32</v>
      </c>
      <c r="U53" s="2">
        <v>43815.397256944445</v>
      </c>
      <c r="V53" t="s">
        <v>541</v>
      </c>
      <c r="W53" t="s">
        <v>542</v>
      </c>
    </row>
    <row r="54" spans="1:23" x14ac:dyDescent="0.45">
      <c r="A54" t="s">
        <v>616</v>
      </c>
      <c r="B54">
        <v>6.2</v>
      </c>
      <c r="C54" s="1">
        <v>43845</v>
      </c>
      <c r="D54" s="1">
        <v>43815</v>
      </c>
      <c r="E54" t="s">
        <v>428</v>
      </c>
      <c r="F54" t="s">
        <v>429</v>
      </c>
      <c r="G54" t="s">
        <v>429</v>
      </c>
      <c r="H54" t="s">
        <v>429</v>
      </c>
      <c r="I54" t="s">
        <v>447</v>
      </c>
      <c r="J54" t="s">
        <v>429</v>
      </c>
      <c r="K54" t="s">
        <v>429</v>
      </c>
      <c r="L54" t="str">
        <f>HYPERLINK("https://www.commcarehq.org/a/demo-18/api/form/attachment/6fd89bd1-7cb3-431d-9c5b-91aa19aa245a/1576488050768.jpg")</f>
        <v>https://www.commcarehq.org/a/demo-18/api/form/attachment/6fd89bd1-7cb3-431d-9c5b-91aa19aa245a/1576488050768.jpg</v>
      </c>
      <c r="M54" t="str">
        <f>HYPERLINK("https://www.commcarehq.org/a/demo-18/api/form/attachment/6fd89bd1-7cb3-431d-9c5b-91aa19aa245a/1576488067759.jpg")</f>
        <v>https://www.commcarehq.org/a/demo-18/api/form/attachment/6fd89bd1-7cb3-431d-9c5b-91aa19aa245a/1576488067759.jpg</v>
      </c>
      <c r="N54" t="str">
        <f>HYPERLINK("https://www.commcarehq.org/a/demo-18/api/form/attachment/6fd89bd1-7cb3-431d-9c5b-91aa19aa245a/1576488110609.jpg")</f>
        <v>https://www.commcarehq.org/a/demo-18/api/form/attachment/6fd89bd1-7cb3-431d-9c5b-91aa19aa245a/1576488110609.jpg</v>
      </c>
      <c r="O54" t="str">
        <f>HYPERLINK("https://www.commcarehq.org/a/demo-18/api/form/attachment/6fd89bd1-7cb3-431d-9c5b-91aa19aa245a/1576488123637.jpg")</f>
        <v>https://www.commcarehq.org/a/demo-18/api/form/attachment/6fd89bd1-7cb3-431d-9c5b-91aa19aa245a/1576488123637.jpg</v>
      </c>
      <c r="P54" t="str">
        <f>HYPERLINK("https://www.commcarehq.org/a/demo-18/api/form/attachment/6fd89bd1-7cb3-431d-9c5b-91aa19aa245a/1576488147810.jpg")</f>
        <v>https://www.commcarehq.org/a/demo-18/api/form/attachment/6fd89bd1-7cb3-431d-9c5b-91aa19aa245a/1576488147810.jpg</v>
      </c>
      <c r="Q54" t="str">
        <f>HYPERLINK("https://www.commcarehq.org/a/demo-18/api/form/attachment/6fd89bd1-7cb3-431d-9c5b-91aa19aa245a/1576488158361.jpg")</f>
        <v>https://www.commcarehq.org/a/demo-18/api/form/attachment/6fd89bd1-7cb3-431d-9c5b-91aa19aa245a/1576488158361.jpg</v>
      </c>
      <c r="R54" s="2">
        <v>43815.390856481485</v>
      </c>
      <c r="S54" s="2">
        <v>43815.389004629629</v>
      </c>
      <c r="T54" t="s">
        <v>32</v>
      </c>
      <c r="U54" s="2">
        <v>43815.391041666669</v>
      </c>
      <c r="V54" s="3" t="s">
        <v>617</v>
      </c>
      <c r="W54" t="s">
        <v>618</v>
      </c>
    </row>
    <row r="55" spans="1:23" x14ac:dyDescent="0.45">
      <c r="A55" t="s">
        <v>568</v>
      </c>
      <c r="B55">
        <v>7</v>
      </c>
      <c r="C55" s="1">
        <v>43845</v>
      </c>
      <c r="D55" s="1">
        <v>43815</v>
      </c>
      <c r="E55" t="s">
        <v>428</v>
      </c>
      <c r="F55" t="s">
        <v>429</v>
      </c>
      <c r="G55" t="s">
        <v>429</v>
      </c>
      <c r="H55" t="s">
        <v>429</v>
      </c>
      <c r="I55" t="s">
        <v>569</v>
      </c>
      <c r="J55" t="s">
        <v>429</v>
      </c>
      <c r="K55" t="s">
        <v>429</v>
      </c>
      <c r="L55" t="str">
        <f>HYPERLINK("https://www.commcarehq.org/a/demo-18/api/form/attachment/c48841b8-1729-4574-a035-3028f8e6e1d4/1576488997530.jpg")</f>
        <v>https://www.commcarehq.org/a/demo-18/api/form/attachment/c48841b8-1729-4574-a035-3028f8e6e1d4/1576488997530.jpg</v>
      </c>
      <c r="M55" t="str">
        <f>HYPERLINK("https://www.commcarehq.org/a/demo-18/api/form/attachment/c48841b8-1729-4574-a035-3028f8e6e1d4/1576489012810.jpg")</f>
        <v>https://www.commcarehq.org/a/demo-18/api/form/attachment/c48841b8-1729-4574-a035-3028f8e6e1d4/1576489012810.jpg</v>
      </c>
      <c r="N55" t="str">
        <f>HYPERLINK("https://www.commcarehq.org/a/demo-18/api/form/attachment/c48841b8-1729-4574-a035-3028f8e6e1d4/1576489061159.jpg")</f>
        <v>https://www.commcarehq.org/a/demo-18/api/form/attachment/c48841b8-1729-4574-a035-3028f8e6e1d4/1576489061159.jpg</v>
      </c>
      <c r="O55" t="str">
        <f>HYPERLINK("https://www.commcarehq.org/a/demo-18/api/form/attachment/c48841b8-1729-4574-a035-3028f8e6e1d4/1576489075336.jpg")</f>
        <v>https://www.commcarehq.org/a/demo-18/api/form/attachment/c48841b8-1729-4574-a035-3028f8e6e1d4/1576489075336.jpg</v>
      </c>
      <c r="P55" t="str">
        <f>HYPERLINK("https://www.commcarehq.org/a/demo-18/api/form/attachment/c48841b8-1729-4574-a035-3028f8e6e1d4/1576489115041.jpg")</f>
        <v>https://www.commcarehq.org/a/demo-18/api/form/attachment/c48841b8-1729-4574-a035-3028f8e6e1d4/1576489115041.jpg</v>
      </c>
      <c r="Q55" t="str">
        <f>HYPERLINK("https://www.commcarehq.org/a/demo-18/api/form/attachment/c48841b8-1729-4574-a035-3028f8e6e1d4/1576489126869.jpg")</f>
        <v>https://www.commcarehq.org/a/demo-18/api/form/attachment/c48841b8-1729-4574-a035-3028f8e6e1d4/1576489126869.jpg</v>
      </c>
      <c r="R55" s="2">
        <v>43815.401944444442</v>
      </c>
      <c r="S55" s="2">
        <v>43815.399861111109</v>
      </c>
      <c r="T55" t="s">
        <v>32</v>
      </c>
      <c r="U55" s="2">
        <v>43815.40216435185</v>
      </c>
      <c r="V55" t="s">
        <v>570</v>
      </c>
      <c r="W55" t="s">
        <v>571</v>
      </c>
    </row>
    <row r="56" spans="1:23" x14ac:dyDescent="0.45">
      <c r="A56" t="s">
        <v>481</v>
      </c>
      <c r="B56">
        <v>5.6</v>
      </c>
      <c r="C56" s="1">
        <v>43890</v>
      </c>
      <c r="D56" s="1">
        <v>43860</v>
      </c>
      <c r="E56" t="s">
        <v>428</v>
      </c>
      <c r="F56" t="s">
        <v>429</v>
      </c>
      <c r="G56" t="s">
        <v>429</v>
      </c>
      <c r="H56" t="s">
        <v>429</v>
      </c>
      <c r="I56" t="s">
        <v>447</v>
      </c>
      <c r="J56" t="s">
        <v>428</v>
      </c>
      <c r="K56" t="s">
        <v>429</v>
      </c>
      <c r="L56" t="str">
        <f>HYPERLINK("https://www.commcarehq.org/a/demo-18/api/form/attachment/4e69d2f4-04c3-4797-aa17-24f6500d3abe/1580369174976.jpg")</f>
        <v>https://www.commcarehq.org/a/demo-18/api/form/attachment/4e69d2f4-04c3-4797-aa17-24f6500d3abe/1580369174976.jpg</v>
      </c>
      <c r="M56" t="str">
        <f>HYPERLINK("https://www.commcarehq.org/a/demo-18/api/form/attachment/4e69d2f4-04c3-4797-aa17-24f6500d3abe/1580369189803.jpg")</f>
        <v>https://www.commcarehq.org/a/demo-18/api/form/attachment/4e69d2f4-04c3-4797-aa17-24f6500d3abe/1580369189803.jpg</v>
      </c>
      <c r="N56" t="str">
        <f>HYPERLINK("https://www.commcarehq.org/a/demo-18/api/form/attachment/4e69d2f4-04c3-4797-aa17-24f6500d3abe/1580369223125.jpg")</f>
        <v>https://www.commcarehq.org/a/demo-18/api/form/attachment/4e69d2f4-04c3-4797-aa17-24f6500d3abe/1580369223125.jpg</v>
      </c>
      <c r="O56" t="str">
        <f>HYPERLINK("https://www.commcarehq.org/a/demo-18/api/form/attachment/4e69d2f4-04c3-4797-aa17-24f6500d3abe/1580369234628.jpg")</f>
        <v>https://www.commcarehq.org/a/demo-18/api/form/attachment/4e69d2f4-04c3-4797-aa17-24f6500d3abe/1580369234628.jpg</v>
      </c>
      <c r="P56" t="str">
        <f>HYPERLINK("https://www.commcarehq.org/a/demo-18/api/form/attachment/4e69d2f4-04c3-4797-aa17-24f6500d3abe/1580369248644.jpg")</f>
        <v>https://www.commcarehq.org/a/demo-18/api/form/attachment/4e69d2f4-04c3-4797-aa17-24f6500d3abe/1580369248644.jpg</v>
      </c>
      <c r="Q56" t="str">
        <f>HYPERLINK("https://www.commcarehq.org/a/demo-18/api/form/attachment/4e69d2f4-04c3-4797-aa17-24f6500d3abe/1580369257670.jpg")</f>
        <v>https://www.commcarehq.org/a/demo-18/api/form/attachment/4e69d2f4-04c3-4797-aa17-24f6500d3abe/1580369257670.jpg</v>
      </c>
      <c r="R56" s="2">
        <v>43860.310868055552</v>
      </c>
      <c r="S56" s="2">
        <v>43860.309340277781</v>
      </c>
      <c r="T56" t="s">
        <v>32</v>
      </c>
      <c r="U56" s="2">
        <v>43860.31108796296</v>
      </c>
      <c r="V56" t="s">
        <v>1235</v>
      </c>
      <c r="W56" t="s">
        <v>1236</v>
      </c>
    </row>
    <row r="57" spans="1:23" x14ac:dyDescent="0.45">
      <c r="A57" t="s">
        <v>322</v>
      </c>
      <c r="B57">
        <v>7.8</v>
      </c>
      <c r="C57" s="1">
        <v>43905</v>
      </c>
      <c r="D57" s="1">
        <v>43875</v>
      </c>
      <c r="E57" t="s">
        <v>428</v>
      </c>
      <c r="F57" t="s">
        <v>429</v>
      </c>
      <c r="G57" t="s">
        <v>429</v>
      </c>
      <c r="H57" t="s">
        <v>429</v>
      </c>
      <c r="I57" t="s">
        <v>498</v>
      </c>
      <c r="J57" t="s">
        <v>428</v>
      </c>
      <c r="K57" t="s">
        <v>429</v>
      </c>
      <c r="L57" t="str">
        <f>HYPERLINK("https://www.commcarehq.org/a/demo-18/api/form/attachment/1be5db78-7903-4c45-b1fd-4bf262da16e0/1581663874244.jpg")</f>
        <v>https://www.commcarehq.org/a/demo-18/api/form/attachment/1be5db78-7903-4c45-b1fd-4bf262da16e0/1581663874244.jpg</v>
      </c>
      <c r="M57" t="str">
        <f>HYPERLINK("https://www.commcarehq.org/a/demo-18/api/form/attachment/1be5db78-7903-4c45-b1fd-4bf262da16e0/1581663890534.jpg")</f>
        <v>https://www.commcarehq.org/a/demo-18/api/form/attachment/1be5db78-7903-4c45-b1fd-4bf262da16e0/1581663890534.jpg</v>
      </c>
      <c r="N57" t="str">
        <f>HYPERLINK("https://www.commcarehq.org/a/demo-18/api/form/attachment/1be5db78-7903-4c45-b1fd-4bf262da16e0/1581663988639.jpg")</f>
        <v>https://www.commcarehq.org/a/demo-18/api/form/attachment/1be5db78-7903-4c45-b1fd-4bf262da16e0/1581663988639.jpg</v>
      </c>
      <c r="O57" t="str">
        <f>HYPERLINK("https://www.commcarehq.org/a/demo-18/api/form/attachment/1be5db78-7903-4c45-b1fd-4bf262da16e0/1581663998497.jpg")</f>
        <v>https://www.commcarehq.org/a/demo-18/api/form/attachment/1be5db78-7903-4c45-b1fd-4bf262da16e0/1581663998497.jpg</v>
      </c>
      <c r="P57" t="str">
        <f>HYPERLINK("https://www.commcarehq.org/a/demo-18/api/form/attachment/1be5db78-7903-4c45-b1fd-4bf262da16e0/1581664052470.jpg")</f>
        <v>https://www.commcarehq.org/a/demo-18/api/form/attachment/1be5db78-7903-4c45-b1fd-4bf262da16e0/1581664052470.jpg</v>
      </c>
      <c r="Q57" t="str">
        <f>HYPERLINK("https://www.commcarehq.org/a/demo-18/api/form/attachment/1be5db78-7903-4c45-b1fd-4bf262da16e0/1581664063131.jpg")</f>
        <v>https://www.commcarehq.org/a/demo-18/api/form/attachment/1be5db78-7903-4c45-b1fd-4bf262da16e0/1581664063131.jpg</v>
      </c>
      <c r="R57" s="2">
        <v>43875.297037037039</v>
      </c>
      <c r="S57" s="2">
        <v>43875.292858796296</v>
      </c>
      <c r="T57" t="s">
        <v>32</v>
      </c>
      <c r="U57" s="2">
        <v>43875.297291666669</v>
      </c>
      <c r="V57" t="s">
        <v>1407</v>
      </c>
      <c r="W57" t="s">
        <v>1408</v>
      </c>
    </row>
    <row r="58" spans="1:23" x14ac:dyDescent="0.45">
      <c r="A58" t="s">
        <v>161</v>
      </c>
      <c r="B58">
        <v>6.8</v>
      </c>
      <c r="C58" s="1">
        <v>43931</v>
      </c>
      <c r="D58" s="1">
        <v>43901</v>
      </c>
      <c r="E58" t="s">
        <v>428</v>
      </c>
      <c r="F58" t="s">
        <v>429</v>
      </c>
      <c r="G58" t="s">
        <v>429</v>
      </c>
      <c r="H58" t="s">
        <v>429</v>
      </c>
      <c r="I58" t="s">
        <v>579</v>
      </c>
      <c r="J58" t="s">
        <v>428</v>
      </c>
      <c r="K58" t="s">
        <v>429</v>
      </c>
      <c r="L58" t="str">
        <f>HYPERLINK("https://www.commcarehq.org/a/demo-18/api/form/attachment/88697a95-a8d2-4ef4-b95f-4d4de77553e9/1583914699315.jpg")</f>
        <v>https://www.commcarehq.org/a/demo-18/api/form/attachment/88697a95-a8d2-4ef4-b95f-4d4de77553e9/1583914699315.jpg</v>
      </c>
      <c r="M58" t="str">
        <f>HYPERLINK("https://www.commcarehq.org/a/demo-18/api/form/attachment/88697a95-a8d2-4ef4-b95f-4d4de77553e9/1583914710258.jpg")</f>
        <v>https://www.commcarehq.org/a/demo-18/api/form/attachment/88697a95-a8d2-4ef4-b95f-4d4de77553e9/1583914710258.jpg</v>
      </c>
      <c r="N58" t="str">
        <f>HYPERLINK("https://www.commcarehq.org/a/demo-18/api/form/attachment/88697a95-a8d2-4ef4-b95f-4d4de77553e9/1583914742343.jpg")</f>
        <v>https://www.commcarehq.org/a/demo-18/api/form/attachment/88697a95-a8d2-4ef4-b95f-4d4de77553e9/1583914742343.jpg</v>
      </c>
      <c r="O58" t="str">
        <f>HYPERLINK("https://www.commcarehq.org/a/demo-18/api/form/attachment/88697a95-a8d2-4ef4-b95f-4d4de77553e9/1583914751410.jpg")</f>
        <v>https://www.commcarehq.org/a/demo-18/api/form/attachment/88697a95-a8d2-4ef4-b95f-4d4de77553e9/1583914751410.jpg</v>
      </c>
      <c r="P58" t="str">
        <f>HYPERLINK("https://www.commcarehq.org/a/demo-18/api/form/attachment/88697a95-a8d2-4ef4-b95f-4d4de77553e9/1583914769286.jpg")</f>
        <v>https://www.commcarehq.org/a/demo-18/api/form/attachment/88697a95-a8d2-4ef4-b95f-4d4de77553e9/1583914769286.jpg</v>
      </c>
      <c r="Q58" t="str">
        <f>HYPERLINK("https://www.commcarehq.org/a/demo-18/api/form/attachment/88697a95-a8d2-4ef4-b95f-4d4de77553e9/1583914778589.jpg")</f>
        <v>https://www.commcarehq.org/a/demo-18/api/form/attachment/88697a95-a8d2-4ef4-b95f-4d4de77553e9/1583914778589.jpg</v>
      </c>
      <c r="R58" s="2">
        <v>43901.346990740742</v>
      </c>
      <c r="S58" s="2">
        <v>43901.34547453704</v>
      </c>
      <c r="T58" t="s">
        <v>32</v>
      </c>
      <c r="U58" s="2">
        <v>43901.347256944442</v>
      </c>
      <c r="V58" t="s">
        <v>1621</v>
      </c>
      <c r="W58" t="s">
        <v>1622</v>
      </c>
    </row>
    <row r="59" spans="1:23" x14ac:dyDescent="0.45">
      <c r="A59" t="s">
        <v>304</v>
      </c>
      <c r="B59">
        <v>7.8</v>
      </c>
      <c r="C59" s="1">
        <v>43931</v>
      </c>
      <c r="D59" s="1">
        <v>43901</v>
      </c>
      <c r="E59" t="s">
        <v>428</v>
      </c>
      <c r="F59" t="s">
        <v>429</v>
      </c>
      <c r="G59" t="s">
        <v>429</v>
      </c>
      <c r="H59" t="s">
        <v>429</v>
      </c>
      <c r="I59" t="s">
        <v>1321</v>
      </c>
      <c r="J59" t="s">
        <v>428</v>
      </c>
      <c r="K59" t="s">
        <v>429</v>
      </c>
      <c r="L59" t="str">
        <f>HYPERLINK("https://www.commcarehq.org/a/demo-18/api/form/attachment/ba3dbe09-bdeb-4ef6-bbd8-0d9a9b60a8c3/1583909223983.jpg")</f>
        <v>https://www.commcarehq.org/a/demo-18/api/form/attachment/ba3dbe09-bdeb-4ef6-bbd8-0d9a9b60a8c3/1583909223983.jpg</v>
      </c>
      <c r="M59" t="str">
        <f>HYPERLINK("https://www.commcarehq.org/a/demo-18/api/form/attachment/ba3dbe09-bdeb-4ef6-bbd8-0d9a9b60a8c3/1583909241646.jpg")</f>
        <v>https://www.commcarehq.org/a/demo-18/api/form/attachment/ba3dbe09-bdeb-4ef6-bbd8-0d9a9b60a8c3/1583909241646.jpg</v>
      </c>
      <c r="N59" t="str">
        <f>HYPERLINK("https://www.commcarehq.org/a/demo-18/api/form/attachment/ba3dbe09-bdeb-4ef6-bbd8-0d9a9b60a8c3/1583909315160.jpg")</f>
        <v>https://www.commcarehq.org/a/demo-18/api/form/attachment/ba3dbe09-bdeb-4ef6-bbd8-0d9a9b60a8c3/1583909315160.jpg</v>
      </c>
      <c r="O59" t="str">
        <f>HYPERLINK("https://www.commcarehq.org/a/demo-18/api/form/attachment/ba3dbe09-bdeb-4ef6-bbd8-0d9a9b60a8c3/1583909324121.jpg")</f>
        <v>https://www.commcarehq.org/a/demo-18/api/form/attachment/ba3dbe09-bdeb-4ef6-bbd8-0d9a9b60a8c3/1583909324121.jpg</v>
      </c>
      <c r="P59" t="str">
        <f>HYPERLINK("https://www.commcarehq.org/a/demo-18/api/form/attachment/ba3dbe09-bdeb-4ef6-bbd8-0d9a9b60a8c3/1583909344288.jpg")</f>
        <v>https://www.commcarehq.org/a/demo-18/api/form/attachment/ba3dbe09-bdeb-4ef6-bbd8-0d9a9b60a8c3/1583909344288.jpg</v>
      </c>
      <c r="Q59" t="str">
        <f>HYPERLINK("https://www.commcarehq.org/a/demo-18/api/form/attachment/ba3dbe09-bdeb-4ef6-bbd8-0d9a9b60a8c3/1583909353449.jpg")</f>
        <v>https://www.commcarehq.org/a/demo-18/api/form/attachment/ba3dbe09-bdeb-4ef6-bbd8-0d9a9b60a8c3/1583909353449.jpg</v>
      </c>
      <c r="R59" s="2">
        <v>43901.284201388888</v>
      </c>
      <c r="S59" s="2">
        <v>43901.282187500001</v>
      </c>
      <c r="T59" t="s">
        <v>32</v>
      </c>
      <c r="U59" s="2">
        <v>43901.284490740742</v>
      </c>
      <c r="V59" t="s">
        <v>1586</v>
      </c>
      <c r="W59" t="s">
        <v>1587</v>
      </c>
    </row>
    <row r="60" spans="1:23" x14ac:dyDescent="0.45">
      <c r="A60" t="s">
        <v>385</v>
      </c>
      <c r="B60">
        <v>6.7</v>
      </c>
      <c r="C60" s="1">
        <v>43931</v>
      </c>
      <c r="D60" s="1">
        <v>43901</v>
      </c>
      <c r="E60" t="s">
        <v>428</v>
      </c>
      <c r="F60" t="s">
        <v>429</v>
      </c>
      <c r="G60" t="s">
        <v>429</v>
      </c>
      <c r="H60" t="s">
        <v>429</v>
      </c>
      <c r="I60" t="s">
        <v>498</v>
      </c>
      <c r="J60" t="s">
        <v>428</v>
      </c>
      <c r="K60" t="s">
        <v>429</v>
      </c>
      <c r="L60" t="str">
        <f>HYPERLINK("https://www.commcarehq.org/a/demo-18/api/form/attachment/14a704a4-fa00-4999-b2b4-57916b3f5107/1583912526274.jpg")</f>
        <v>https://www.commcarehq.org/a/demo-18/api/form/attachment/14a704a4-fa00-4999-b2b4-57916b3f5107/1583912526274.jpg</v>
      </c>
      <c r="M60" t="str">
        <f>HYPERLINK("https://www.commcarehq.org/a/demo-18/api/form/attachment/14a704a4-fa00-4999-b2b4-57916b3f5107/1583912545902.jpg")</f>
        <v>https://www.commcarehq.org/a/demo-18/api/form/attachment/14a704a4-fa00-4999-b2b4-57916b3f5107/1583912545902.jpg</v>
      </c>
      <c r="N60" t="str">
        <f>HYPERLINK("https://www.commcarehq.org/a/demo-18/api/form/attachment/14a704a4-fa00-4999-b2b4-57916b3f5107/1583912584421.jpg")</f>
        <v>https://www.commcarehq.org/a/demo-18/api/form/attachment/14a704a4-fa00-4999-b2b4-57916b3f5107/1583912584421.jpg</v>
      </c>
      <c r="O60" t="str">
        <f>HYPERLINK("https://www.commcarehq.org/a/demo-18/api/form/attachment/14a704a4-fa00-4999-b2b4-57916b3f5107/1583912592626.jpg")</f>
        <v>https://www.commcarehq.org/a/demo-18/api/form/attachment/14a704a4-fa00-4999-b2b4-57916b3f5107/1583912592626.jpg</v>
      </c>
      <c r="P60" t="str">
        <f>HYPERLINK("https://www.commcarehq.org/a/demo-18/api/form/attachment/14a704a4-fa00-4999-b2b4-57916b3f5107/1583912607874.jpg")</f>
        <v>https://www.commcarehq.org/a/demo-18/api/form/attachment/14a704a4-fa00-4999-b2b4-57916b3f5107/1583912607874.jpg</v>
      </c>
      <c r="Q60" t="str">
        <f>HYPERLINK("https://www.commcarehq.org/a/demo-18/api/form/attachment/14a704a4-fa00-4999-b2b4-57916b3f5107/1583912617129.jpg")</f>
        <v>https://www.commcarehq.org/a/demo-18/api/form/attachment/14a704a4-fa00-4999-b2b4-57916b3f5107/1583912617129.jpg</v>
      </c>
      <c r="R60" s="2">
        <v>43901.321979166663</v>
      </c>
      <c r="S60" s="2">
        <v>43901.320659722223</v>
      </c>
      <c r="T60" t="s">
        <v>32</v>
      </c>
      <c r="U60" s="2">
        <v>43901.322187500002</v>
      </c>
      <c r="V60" t="s">
        <v>1568</v>
      </c>
      <c r="W60" t="s">
        <v>1569</v>
      </c>
    </row>
    <row r="61" spans="1:23" x14ac:dyDescent="0.45">
      <c r="A61" t="s">
        <v>232</v>
      </c>
      <c r="B61">
        <v>7.6</v>
      </c>
      <c r="C61" s="1">
        <v>43931</v>
      </c>
      <c r="D61" s="1">
        <v>43901</v>
      </c>
      <c r="E61" t="s">
        <v>428</v>
      </c>
      <c r="F61" t="s">
        <v>429</v>
      </c>
      <c r="G61" t="s">
        <v>429</v>
      </c>
      <c r="H61" t="s">
        <v>429</v>
      </c>
      <c r="I61" t="s">
        <v>498</v>
      </c>
      <c r="J61" t="s">
        <v>428</v>
      </c>
      <c r="K61" t="s">
        <v>429</v>
      </c>
      <c r="L61" t="str">
        <f>HYPERLINK("https://www.commcarehq.org/a/demo-18/api/form/attachment/e3f71360-cd7e-435f-b135-88f13cc22bd3/1583911894212.jpg")</f>
        <v>https://www.commcarehq.org/a/demo-18/api/form/attachment/e3f71360-cd7e-435f-b135-88f13cc22bd3/1583911894212.jpg</v>
      </c>
      <c r="M61" t="str">
        <f>HYPERLINK("https://www.commcarehq.org/a/demo-18/api/form/attachment/e3f71360-cd7e-435f-b135-88f13cc22bd3/1583911910138.jpg")</f>
        <v>https://www.commcarehq.org/a/demo-18/api/form/attachment/e3f71360-cd7e-435f-b135-88f13cc22bd3/1583911910138.jpg</v>
      </c>
      <c r="N61" t="str">
        <f>HYPERLINK("https://www.commcarehq.org/a/demo-18/api/form/attachment/e3f71360-cd7e-435f-b135-88f13cc22bd3/1583911961872.jpg")</f>
        <v>https://www.commcarehq.org/a/demo-18/api/form/attachment/e3f71360-cd7e-435f-b135-88f13cc22bd3/1583911961872.jpg</v>
      </c>
      <c r="O61" t="str">
        <f>HYPERLINK("https://www.commcarehq.org/a/demo-18/api/form/attachment/e3f71360-cd7e-435f-b135-88f13cc22bd3/1583911972792.jpg")</f>
        <v>https://www.commcarehq.org/a/demo-18/api/form/attachment/e3f71360-cd7e-435f-b135-88f13cc22bd3/1583911972792.jpg</v>
      </c>
      <c r="P61" t="str">
        <f>HYPERLINK("https://www.commcarehq.org/a/demo-18/api/form/attachment/e3f71360-cd7e-435f-b135-88f13cc22bd3/1583911994859.jpg")</f>
        <v>https://www.commcarehq.org/a/demo-18/api/form/attachment/e3f71360-cd7e-435f-b135-88f13cc22bd3/1583911994859.jpg</v>
      </c>
      <c r="Q61" t="str">
        <f>HYPERLINK("https://www.commcarehq.org/a/demo-18/api/form/attachment/e3f71360-cd7e-435f-b135-88f13cc22bd3/1583912004203.jpg")</f>
        <v>https://www.commcarehq.org/a/demo-18/api/form/attachment/e3f71360-cd7e-435f-b135-88f13cc22bd3/1583912004203.jpg</v>
      </c>
      <c r="R61" s="2">
        <v>43901.314918981479</v>
      </c>
      <c r="S61" s="2">
        <v>43901.313067129631</v>
      </c>
      <c r="T61" t="s">
        <v>32</v>
      </c>
      <c r="U61" s="2">
        <v>43901.315138888887</v>
      </c>
      <c r="V61" t="s">
        <v>1590</v>
      </c>
      <c r="W61" t="s">
        <v>1591</v>
      </c>
    </row>
    <row r="62" spans="1:23" x14ac:dyDescent="0.45">
      <c r="A62" t="s">
        <v>158</v>
      </c>
      <c r="B62">
        <v>7.1</v>
      </c>
      <c r="C62" s="1">
        <v>43931</v>
      </c>
      <c r="D62" s="1">
        <v>43901</v>
      </c>
      <c r="E62" t="s">
        <v>428</v>
      </c>
      <c r="F62" t="s">
        <v>429</v>
      </c>
      <c r="G62" t="s">
        <v>429</v>
      </c>
      <c r="H62" t="s">
        <v>429</v>
      </c>
      <c r="I62" t="s">
        <v>498</v>
      </c>
      <c r="J62" t="s">
        <v>428</v>
      </c>
      <c r="K62" t="s">
        <v>429</v>
      </c>
      <c r="L62" t="str">
        <f>HYPERLINK("https://www.commcarehq.org/a/demo-18/api/form/attachment/aa33037e-1d85-4325-8e4f-1f259a8d3399/1583912229214.jpg")</f>
        <v>https://www.commcarehq.org/a/demo-18/api/form/attachment/aa33037e-1d85-4325-8e4f-1f259a8d3399/1583912229214.jpg</v>
      </c>
      <c r="M62" t="str">
        <f>HYPERLINK("https://www.commcarehq.org/a/demo-18/api/form/attachment/aa33037e-1d85-4325-8e4f-1f259a8d3399/1583912244098.jpg")</f>
        <v>https://www.commcarehq.org/a/demo-18/api/form/attachment/aa33037e-1d85-4325-8e4f-1f259a8d3399/1583912244098.jpg</v>
      </c>
      <c r="N62" t="str">
        <f>HYPERLINK("https://www.commcarehq.org/a/demo-18/api/form/attachment/aa33037e-1d85-4325-8e4f-1f259a8d3399/1583912300088.jpg")</f>
        <v>https://www.commcarehq.org/a/demo-18/api/form/attachment/aa33037e-1d85-4325-8e4f-1f259a8d3399/1583912300088.jpg</v>
      </c>
      <c r="O62" t="str">
        <f>HYPERLINK("https://www.commcarehq.org/a/demo-18/api/form/attachment/aa33037e-1d85-4325-8e4f-1f259a8d3399/1583912309773.jpg")</f>
        <v>https://www.commcarehq.org/a/demo-18/api/form/attachment/aa33037e-1d85-4325-8e4f-1f259a8d3399/1583912309773.jpg</v>
      </c>
      <c r="P62" t="str">
        <f>HYPERLINK("https://www.commcarehq.org/a/demo-18/api/form/attachment/aa33037e-1d85-4325-8e4f-1f259a8d3399/1583912329084.jpg")</f>
        <v>https://www.commcarehq.org/a/demo-18/api/form/attachment/aa33037e-1d85-4325-8e4f-1f259a8d3399/1583912329084.jpg</v>
      </c>
      <c r="Q62" t="str">
        <f>HYPERLINK("https://www.commcarehq.org/a/demo-18/api/form/attachment/aa33037e-1d85-4325-8e4f-1f259a8d3399/1583912342194.jpg")</f>
        <v>https://www.commcarehq.org/a/demo-18/api/form/attachment/aa33037e-1d85-4325-8e4f-1f259a8d3399/1583912342194.jpg</v>
      </c>
      <c r="R62" s="2">
        <v>43901.318784722222</v>
      </c>
      <c r="S62" s="2">
        <v>43901.31695601852</v>
      </c>
      <c r="T62" t="s">
        <v>32</v>
      </c>
      <c r="U62" s="2">
        <v>43901.318993055553</v>
      </c>
      <c r="V62" t="s">
        <v>1623</v>
      </c>
      <c r="W62" t="s">
        <v>1624</v>
      </c>
    </row>
    <row r="63" spans="1:23" x14ac:dyDescent="0.45">
      <c r="A63" t="s">
        <v>229</v>
      </c>
      <c r="B63">
        <v>5.6</v>
      </c>
      <c r="C63" s="1">
        <v>43931</v>
      </c>
      <c r="D63" s="1">
        <v>43901</v>
      </c>
      <c r="E63" t="s">
        <v>428</v>
      </c>
      <c r="F63" t="s">
        <v>429</v>
      </c>
      <c r="G63" t="s">
        <v>429</v>
      </c>
      <c r="H63" t="s">
        <v>429</v>
      </c>
      <c r="I63" t="s">
        <v>498</v>
      </c>
      <c r="J63" t="s">
        <v>1211</v>
      </c>
      <c r="K63" t="s">
        <v>1610</v>
      </c>
      <c r="L63" t="str">
        <f>HYPERLINK("https://www.commcarehq.org/a/demo-18/api/form/attachment/5229dc3a-a45b-452e-9744-5f1bb04f939e/1583908245649.jpg")</f>
        <v>https://www.commcarehq.org/a/demo-18/api/form/attachment/5229dc3a-a45b-452e-9744-5f1bb04f939e/1583908245649.jpg</v>
      </c>
      <c r="M63" t="str">
        <f>HYPERLINK("https://www.commcarehq.org/a/demo-18/api/form/attachment/5229dc3a-a45b-452e-9744-5f1bb04f939e/1583908260318.jpg")</f>
        <v>https://www.commcarehq.org/a/demo-18/api/form/attachment/5229dc3a-a45b-452e-9744-5f1bb04f939e/1583908260318.jpg</v>
      </c>
      <c r="N63" t="str">
        <f>HYPERLINK("https://www.commcarehq.org/a/demo-18/api/form/attachment/5229dc3a-a45b-452e-9744-5f1bb04f939e/1583908310521.jpg")</f>
        <v>https://www.commcarehq.org/a/demo-18/api/form/attachment/5229dc3a-a45b-452e-9744-5f1bb04f939e/1583908310521.jpg</v>
      </c>
      <c r="O63" t="str">
        <f>HYPERLINK("https://www.commcarehq.org/a/demo-18/api/form/attachment/5229dc3a-a45b-452e-9744-5f1bb04f939e/1583908320423.jpg")</f>
        <v>https://www.commcarehq.org/a/demo-18/api/form/attachment/5229dc3a-a45b-452e-9744-5f1bb04f939e/1583908320423.jpg</v>
      </c>
      <c r="P63" t="str">
        <f>HYPERLINK("https://www.commcarehq.org/a/demo-18/api/form/attachment/5229dc3a-a45b-452e-9744-5f1bb04f939e/1583908337492.jpg")</f>
        <v>https://www.commcarehq.org/a/demo-18/api/form/attachment/5229dc3a-a45b-452e-9744-5f1bb04f939e/1583908337492.jpg</v>
      </c>
      <c r="Q63" t="str">
        <f>HYPERLINK("https://www.commcarehq.org/a/demo-18/api/form/attachment/5229dc3a-a45b-452e-9744-5f1bb04f939e/1583908349680.jpg")</f>
        <v>https://www.commcarehq.org/a/demo-18/api/form/attachment/5229dc3a-a45b-452e-9744-5f1bb04f939e/1583908349680.jpg</v>
      </c>
      <c r="R63" s="2">
        <v>43901.272581018522</v>
      </c>
      <c r="S63" s="2">
        <v>43901.270543981482</v>
      </c>
      <c r="T63" t="s">
        <v>32</v>
      </c>
      <c r="U63" s="2">
        <v>43901.272870370369</v>
      </c>
      <c r="V63" t="s">
        <v>1611</v>
      </c>
      <c r="W63" t="s">
        <v>1612</v>
      </c>
    </row>
    <row r="64" spans="1:23" x14ac:dyDescent="0.45">
      <c r="A64" t="s">
        <v>262</v>
      </c>
      <c r="B64">
        <v>7.2</v>
      </c>
      <c r="C64" s="1">
        <v>43931</v>
      </c>
      <c r="D64" s="1">
        <v>43901</v>
      </c>
      <c r="E64" t="s">
        <v>428</v>
      </c>
      <c r="F64" t="s">
        <v>429</v>
      </c>
      <c r="G64" t="s">
        <v>429</v>
      </c>
      <c r="H64" t="s">
        <v>429</v>
      </c>
      <c r="I64" t="s">
        <v>569</v>
      </c>
      <c r="J64" t="s">
        <v>428</v>
      </c>
      <c r="K64" t="s">
        <v>429</v>
      </c>
      <c r="L64" t="str">
        <f>HYPERLINK("https://www.commcarehq.org/a/demo-18/api/form/attachment/83b60e3c-5c6a-44cf-9797-43aac8445f4e/1583908557878.jpg")</f>
        <v>https://www.commcarehq.org/a/demo-18/api/form/attachment/83b60e3c-5c6a-44cf-9797-43aac8445f4e/1583908557878.jpg</v>
      </c>
      <c r="M64" t="str">
        <f>HYPERLINK("https://www.commcarehq.org/a/demo-18/api/form/attachment/83b60e3c-5c6a-44cf-9797-43aac8445f4e/1583908573264.jpg")</f>
        <v>https://www.commcarehq.org/a/demo-18/api/form/attachment/83b60e3c-5c6a-44cf-9797-43aac8445f4e/1583908573264.jpg</v>
      </c>
      <c r="N64" t="str">
        <f>HYPERLINK("https://www.commcarehq.org/a/demo-18/api/form/attachment/83b60e3c-5c6a-44cf-9797-43aac8445f4e/1583908629169.jpg")</f>
        <v>https://www.commcarehq.org/a/demo-18/api/form/attachment/83b60e3c-5c6a-44cf-9797-43aac8445f4e/1583908629169.jpg</v>
      </c>
      <c r="O64" t="str">
        <f>HYPERLINK("https://www.commcarehq.org/a/demo-18/api/form/attachment/83b60e3c-5c6a-44cf-9797-43aac8445f4e/1583908638836.jpg")</f>
        <v>https://www.commcarehq.org/a/demo-18/api/form/attachment/83b60e3c-5c6a-44cf-9797-43aac8445f4e/1583908638836.jpg</v>
      </c>
      <c r="P64" t="str">
        <f>HYPERLINK("https://www.commcarehq.org/a/demo-18/api/form/attachment/83b60e3c-5c6a-44cf-9797-43aac8445f4e/1583908656258.jpg")</f>
        <v>https://www.commcarehq.org/a/demo-18/api/form/attachment/83b60e3c-5c6a-44cf-9797-43aac8445f4e/1583908656258.jpg</v>
      </c>
      <c r="Q64" t="str">
        <f>HYPERLINK("https://www.commcarehq.org/a/demo-18/api/form/attachment/83b60e3c-5c6a-44cf-9797-43aac8445f4e/1583908677112.jpg")</f>
        <v>https://www.commcarehq.org/a/demo-18/api/form/attachment/83b60e3c-5c6a-44cf-9797-43aac8445f4e/1583908677112.jpg</v>
      </c>
      <c r="R64" s="2">
        <v>43901.276435185187</v>
      </c>
      <c r="S64" s="2">
        <v>43901.274513888886</v>
      </c>
      <c r="T64" t="s">
        <v>32</v>
      </c>
      <c r="U64" s="2">
        <v>43901.276724537034</v>
      </c>
      <c r="V64" t="s">
        <v>1558</v>
      </c>
      <c r="W64" t="s">
        <v>1559</v>
      </c>
    </row>
    <row r="65" spans="1:23" x14ac:dyDescent="0.45">
      <c r="A65" t="s">
        <v>98</v>
      </c>
      <c r="B65">
        <v>6.4</v>
      </c>
      <c r="C65" s="1">
        <v>43925</v>
      </c>
      <c r="D65" s="1">
        <v>43895</v>
      </c>
      <c r="E65" t="s">
        <v>428</v>
      </c>
      <c r="F65" t="s">
        <v>429</v>
      </c>
      <c r="G65" t="s">
        <v>429</v>
      </c>
      <c r="H65" t="s">
        <v>429</v>
      </c>
      <c r="I65" t="s">
        <v>569</v>
      </c>
      <c r="J65" t="s">
        <v>428</v>
      </c>
      <c r="K65" t="s">
        <v>429</v>
      </c>
      <c r="L65" t="str">
        <f>HYPERLINK("https://www.commcarehq.org/a/demo-18/api/form/attachment/3e0f2825-9bda-4318-8d2c-29863bf0e01f/1583396008148.jpg")</f>
        <v>https://www.commcarehq.org/a/demo-18/api/form/attachment/3e0f2825-9bda-4318-8d2c-29863bf0e01f/1583396008148.jpg</v>
      </c>
      <c r="M65" t="str">
        <f>HYPERLINK("https://www.commcarehq.org/a/demo-18/api/form/attachment/3e0f2825-9bda-4318-8d2c-29863bf0e01f/1583396024790.jpg")</f>
        <v>https://www.commcarehq.org/a/demo-18/api/form/attachment/3e0f2825-9bda-4318-8d2c-29863bf0e01f/1583396024790.jpg</v>
      </c>
      <c r="N65" t="str">
        <f>HYPERLINK("https://www.commcarehq.org/a/demo-18/api/form/attachment/3e0f2825-9bda-4318-8d2c-29863bf0e01f/1583396081317.jpg")</f>
        <v>https://www.commcarehq.org/a/demo-18/api/form/attachment/3e0f2825-9bda-4318-8d2c-29863bf0e01f/1583396081317.jpg</v>
      </c>
      <c r="O65" t="str">
        <f>HYPERLINK("https://www.commcarehq.org/a/demo-18/api/form/attachment/3e0f2825-9bda-4318-8d2c-29863bf0e01f/1583396089379.jpg")</f>
        <v>https://www.commcarehq.org/a/demo-18/api/form/attachment/3e0f2825-9bda-4318-8d2c-29863bf0e01f/1583396089379.jpg</v>
      </c>
      <c r="P65" t="str">
        <f>HYPERLINK("https://www.commcarehq.org/a/demo-18/api/form/attachment/3e0f2825-9bda-4318-8d2c-29863bf0e01f/1583396110939.jpg")</f>
        <v>https://www.commcarehq.org/a/demo-18/api/form/attachment/3e0f2825-9bda-4318-8d2c-29863bf0e01f/1583396110939.jpg</v>
      </c>
      <c r="Q65" t="str">
        <f>HYPERLINK("https://www.commcarehq.org/a/demo-18/api/form/attachment/3e0f2825-9bda-4318-8d2c-29863bf0e01f/1583396121741.jpg")</f>
        <v>https://www.commcarehq.org/a/demo-18/api/form/attachment/3e0f2825-9bda-4318-8d2c-29863bf0e01f/1583396121741.jpg</v>
      </c>
      <c r="R65" s="2">
        <v>43895.344050925924</v>
      </c>
      <c r="S65" s="2">
        <v>43895.342118055552</v>
      </c>
      <c r="T65" t="s">
        <v>32</v>
      </c>
      <c r="U65" s="2">
        <v>43895.344305555554</v>
      </c>
      <c r="V65" t="s">
        <v>1576</v>
      </c>
      <c r="W65" t="s">
        <v>1577</v>
      </c>
    </row>
    <row r="66" spans="1:23" x14ac:dyDescent="0.45">
      <c r="A66" t="s">
        <v>95</v>
      </c>
      <c r="B66">
        <v>7.2</v>
      </c>
      <c r="C66" s="1">
        <v>43931</v>
      </c>
      <c r="D66" s="1">
        <v>43901</v>
      </c>
      <c r="E66" t="s">
        <v>428</v>
      </c>
      <c r="F66" t="s">
        <v>429</v>
      </c>
      <c r="G66" t="s">
        <v>429</v>
      </c>
      <c r="H66" t="s">
        <v>429</v>
      </c>
      <c r="I66" t="s">
        <v>498</v>
      </c>
      <c r="J66" t="s">
        <v>428</v>
      </c>
      <c r="K66" t="s">
        <v>429</v>
      </c>
      <c r="L66" t="str">
        <f>HYPERLINK("https://www.commcarehq.org/a/demo-18/api/form/attachment/18c03192-eb72-4caa-aabf-aab7ee7cd688/1583914092521.jpg")</f>
        <v>https://www.commcarehq.org/a/demo-18/api/form/attachment/18c03192-eb72-4caa-aabf-aab7ee7cd688/1583914092521.jpg</v>
      </c>
      <c r="M66" t="str">
        <f>HYPERLINK("https://www.commcarehq.org/a/demo-18/api/form/attachment/18c03192-eb72-4caa-aabf-aab7ee7cd688/1583914109314.jpg")</f>
        <v>https://www.commcarehq.org/a/demo-18/api/form/attachment/18c03192-eb72-4caa-aabf-aab7ee7cd688/1583914109314.jpg</v>
      </c>
      <c r="N66" t="str">
        <f>HYPERLINK("https://www.commcarehq.org/a/demo-18/api/form/attachment/18c03192-eb72-4caa-aabf-aab7ee7cd688/1583914138012.jpg")</f>
        <v>https://www.commcarehq.org/a/demo-18/api/form/attachment/18c03192-eb72-4caa-aabf-aab7ee7cd688/1583914138012.jpg</v>
      </c>
      <c r="O66" t="str">
        <f>HYPERLINK("https://www.commcarehq.org/a/demo-18/api/form/attachment/18c03192-eb72-4caa-aabf-aab7ee7cd688/1583914146739.jpg")</f>
        <v>https://www.commcarehq.org/a/demo-18/api/form/attachment/18c03192-eb72-4caa-aabf-aab7ee7cd688/1583914146739.jpg</v>
      </c>
      <c r="P66" t="str">
        <f>HYPERLINK("https://www.commcarehq.org/a/demo-18/api/form/attachment/18c03192-eb72-4caa-aabf-aab7ee7cd688/1583914159428.jpg")</f>
        <v>https://www.commcarehq.org/a/demo-18/api/form/attachment/18c03192-eb72-4caa-aabf-aab7ee7cd688/1583914159428.jpg</v>
      </c>
      <c r="Q66" t="str">
        <f>HYPERLINK("https://www.commcarehq.org/a/demo-18/api/form/attachment/18c03192-eb72-4caa-aabf-aab7ee7cd688/1583914168458.jpg")</f>
        <v>https://www.commcarehq.org/a/demo-18/api/form/attachment/18c03192-eb72-4caa-aabf-aab7ee7cd688/1583914168458.jpg</v>
      </c>
      <c r="R66" s="2">
        <v>43901.339942129627</v>
      </c>
      <c r="S66" s="2">
        <v>43901.33861111111</v>
      </c>
      <c r="T66" t="s">
        <v>32</v>
      </c>
      <c r="U66" s="2">
        <v>43901.340196759258</v>
      </c>
      <c r="V66" s="3" t="s">
        <v>1570</v>
      </c>
      <c r="W66" t="s">
        <v>1571</v>
      </c>
    </row>
    <row r="67" spans="1:23" x14ac:dyDescent="0.45">
      <c r="A67" t="s">
        <v>238</v>
      </c>
      <c r="B67">
        <v>7</v>
      </c>
      <c r="C67" s="1">
        <v>43931</v>
      </c>
      <c r="D67" s="1">
        <v>43901</v>
      </c>
      <c r="E67" t="s">
        <v>428</v>
      </c>
      <c r="F67" t="s">
        <v>429</v>
      </c>
      <c r="G67" t="s">
        <v>429</v>
      </c>
      <c r="H67" t="s">
        <v>429</v>
      </c>
      <c r="I67" t="s">
        <v>1321</v>
      </c>
      <c r="J67" t="s">
        <v>428</v>
      </c>
      <c r="K67" t="s">
        <v>429</v>
      </c>
      <c r="L67" t="str">
        <f>HYPERLINK("https://www.commcarehq.org/a/demo-18/api/form/attachment/ea95691e-6169-4e91-978b-d04aea358dac/1583908951902.jpg")</f>
        <v>https://www.commcarehq.org/a/demo-18/api/form/attachment/ea95691e-6169-4e91-978b-d04aea358dac/1583908951902.jpg</v>
      </c>
      <c r="M67" t="str">
        <f>HYPERLINK("https://www.commcarehq.org/a/demo-18/api/form/attachment/ea95691e-6169-4e91-978b-d04aea358dac/1583908971078.jpg")</f>
        <v>https://www.commcarehq.org/a/demo-18/api/form/attachment/ea95691e-6169-4e91-978b-d04aea358dac/1583908971078.jpg</v>
      </c>
      <c r="N67" t="str">
        <f>HYPERLINK("https://www.commcarehq.org/a/demo-18/api/form/attachment/ea95691e-6169-4e91-978b-d04aea358dac/1583908997709.jpg")</f>
        <v>https://www.commcarehq.org/a/demo-18/api/form/attachment/ea95691e-6169-4e91-978b-d04aea358dac/1583908997709.jpg</v>
      </c>
      <c r="O67" t="str">
        <f>HYPERLINK("https://www.commcarehq.org/a/demo-18/api/form/attachment/ea95691e-6169-4e91-978b-d04aea358dac/1583909007478.jpg")</f>
        <v>https://www.commcarehq.org/a/demo-18/api/form/attachment/ea95691e-6169-4e91-978b-d04aea358dac/1583909007478.jpg</v>
      </c>
      <c r="P67" t="str">
        <f>HYPERLINK("https://www.commcarehq.org/a/demo-18/api/form/attachment/ea95691e-6169-4e91-978b-d04aea358dac/1583909018837.jpg")</f>
        <v>https://www.commcarehq.org/a/demo-18/api/form/attachment/ea95691e-6169-4e91-978b-d04aea358dac/1583909018837.jpg</v>
      </c>
      <c r="Q67" t="str">
        <f>HYPERLINK("https://www.commcarehq.org/a/demo-18/api/form/attachment/ea95691e-6169-4e91-978b-d04aea358dac/1583909026346.jpg")</f>
        <v>https://www.commcarehq.org/a/demo-18/api/form/attachment/ea95691e-6169-4e91-978b-d04aea358dac/1583909026346.jpg</v>
      </c>
      <c r="R67" s="2">
        <v>43901.280416666668</v>
      </c>
      <c r="S67" s="2">
        <v>43901.279143518521</v>
      </c>
      <c r="T67" t="s">
        <v>32</v>
      </c>
      <c r="U67" s="2">
        <v>43901.280636574076</v>
      </c>
      <c r="V67" t="s">
        <v>1613</v>
      </c>
      <c r="W67" t="s">
        <v>1614</v>
      </c>
    </row>
    <row r="68" spans="1:23" x14ac:dyDescent="0.45">
      <c r="A68" t="s">
        <v>313</v>
      </c>
      <c r="B68">
        <v>5.5</v>
      </c>
      <c r="C68" s="1">
        <v>43936</v>
      </c>
      <c r="D68" s="1">
        <v>43906</v>
      </c>
      <c r="E68" t="s">
        <v>428</v>
      </c>
      <c r="F68" t="s">
        <v>429</v>
      </c>
      <c r="G68" t="s">
        <v>429</v>
      </c>
      <c r="H68" t="s">
        <v>429</v>
      </c>
      <c r="I68" t="s">
        <v>1321</v>
      </c>
      <c r="J68" t="s">
        <v>428</v>
      </c>
      <c r="K68" t="s">
        <v>429</v>
      </c>
      <c r="L68" t="str">
        <f>HYPERLINK("https://www.commcarehq.org/a/demo-18/api/form/attachment/3a8f2118-3070-4153-8fd6-ffe79f1e6054/1584342038935.jpg")</f>
        <v>https://www.commcarehq.org/a/demo-18/api/form/attachment/3a8f2118-3070-4153-8fd6-ffe79f1e6054/1584342038935.jpg</v>
      </c>
      <c r="M68" t="str">
        <f>HYPERLINK("https://www.commcarehq.org/a/demo-18/api/form/attachment/3a8f2118-3070-4153-8fd6-ffe79f1e6054/1584342055411.jpg")</f>
        <v>https://www.commcarehq.org/a/demo-18/api/form/attachment/3a8f2118-3070-4153-8fd6-ffe79f1e6054/1584342055411.jpg</v>
      </c>
      <c r="N68" t="str">
        <f>HYPERLINK("https://www.commcarehq.org/a/demo-18/api/form/attachment/3a8f2118-3070-4153-8fd6-ffe79f1e6054/1584342081461.jpg")</f>
        <v>https://www.commcarehq.org/a/demo-18/api/form/attachment/3a8f2118-3070-4153-8fd6-ffe79f1e6054/1584342081461.jpg</v>
      </c>
      <c r="O68" t="str">
        <f>HYPERLINK("https://www.commcarehq.org/a/demo-18/api/form/attachment/3a8f2118-3070-4153-8fd6-ffe79f1e6054/1584342090845.jpg")</f>
        <v>https://www.commcarehq.org/a/demo-18/api/form/attachment/3a8f2118-3070-4153-8fd6-ffe79f1e6054/1584342090845.jpg</v>
      </c>
      <c r="P68" t="str">
        <f>HYPERLINK("https://www.commcarehq.org/a/demo-18/api/form/attachment/3a8f2118-3070-4153-8fd6-ffe79f1e6054/1584342128475.jpg")</f>
        <v>https://www.commcarehq.org/a/demo-18/api/form/attachment/3a8f2118-3070-4153-8fd6-ffe79f1e6054/1584342128475.jpg</v>
      </c>
      <c r="Q68" t="str">
        <f>HYPERLINK("https://www.commcarehq.org/a/demo-18/api/form/attachment/3a8f2118-3070-4153-8fd6-ffe79f1e6054/1584342139033.jpg")</f>
        <v>https://www.commcarehq.org/a/demo-18/api/form/attachment/3a8f2118-3070-4153-8fd6-ffe79f1e6054/1584342139033.jpg</v>
      </c>
      <c r="R68" s="2">
        <v>43906.293298611112</v>
      </c>
      <c r="S68" s="2">
        <v>43906.291666666664</v>
      </c>
      <c r="T68" t="s">
        <v>32</v>
      </c>
      <c r="U68" s="2">
        <v>43906.293611111112</v>
      </c>
      <c r="V68" t="s">
        <v>1550</v>
      </c>
      <c r="W68" t="s">
        <v>1551</v>
      </c>
    </row>
    <row r="69" spans="1:23" x14ac:dyDescent="0.45">
      <c r="A69" t="s">
        <v>152</v>
      </c>
      <c r="B69">
        <v>6.1</v>
      </c>
      <c r="C69" s="1">
        <v>43931</v>
      </c>
      <c r="D69" s="1">
        <v>43901</v>
      </c>
      <c r="E69" t="s">
        <v>428</v>
      </c>
      <c r="F69" t="s">
        <v>429</v>
      </c>
      <c r="G69" t="s">
        <v>429</v>
      </c>
      <c r="H69" t="s">
        <v>429</v>
      </c>
      <c r="I69" t="s">
        <v>1321</v>
      </c>
      <c r="J69" t="s">
        <v>428</v>
      </c>
      <c r="K69" t="s">
        <v>429</v>
      </c>
      <c r="L69" t="str">
        <f>HYPERLINK("https://www.commcarehq.org/a/demo-18/api/form/attachment/10e36e58-e9b1-457a-8149-a9c7606b121d/1583909859425.jpg")</f>
        <v>https://www.commcarehq.org/a/demo-18/api/form/attachment/10e36e58-e9b1-457a-8149-a9c7606b121d/1583909859425.jpg</v>
      </c>
      <c r="M69" t="str">
        <f>HYPERLINK("https://www.commcarehq.org/a/demo-18/api/form/attachment/10e36e58-e9b1-457a-8149-a9c7606b121d/1583909879765.jpg")</f>
        <v>https://www.commcarehq.org/a/demo-18/api/form/attachment/10e36e58-e9b1-457a-8149-a9c7606b121d/1583909879765.jpg</v>
      </c>
      <c r="N69" t="str">
        <f>HYPERLINK("https://www.commcarehq.org/a/demo-18/api/form/attachment/10e36e58-e9b1-457a-8149-a9c7606b121d/1583909928979.jpg")</f>
        <v>https://www.commcarehq.org/a/demo-18/api/form/attachment/10e36e58-e9b1-457a-8149-a9c7606b121d/1583909928979.jpg</v>
      </c>
      <c r="O69" t="str">
        <f>HYPERLINK("https://www.commcarehq.org/a/demo-18/api/form/attachment/10e36e58-e9b1-457a-8149-a9c7606b121d/1583909937604.jpg")</f>
        <v>https://www.commcarehq.org/a/demo-18/api/form/attachment/10e36e58-e9b1-457a-8149-a9c7606b121d/1583909937604.jpg</v>
      </c>
      <c r="P69" t="str">
        <f>HYPERLINK("https://www.commcarehq.org/a/demo-18/api/form/attachment/10e36e58-e9b1-457a-8149-a9c7606b121d/1583909955073.jpg")</f>
        <v>https://www.commcarehq.org/a/demo-18/api/form/attachment/10e36e58-e9b1-457a-8149-a9c7606b121d/1583909955073.jpg</v>
      </c>
      <c r="Q69" t="str">
        <f>HYPERLINK("https://www.commcarehq.org/a/demo-18/api/form/attachment/10e36e58-e9b1-457a-8149-a9c7606b121d/1583909965906.jpg")</f>
        <v>https://www.commcarehq.org/a/demo-18/api/form/attachment/10e36e58-e9b1-457a-8149-a9c7606b121d/1583909965906.jpg</v>
      </c>
      <c r="R69" s="2">
        <v>43901.291284722225</v>
      </c>
      <c r="S69" s="2">
        <v>43901.289386574077</v>
      </c>
      <c r="T69" t="s">
        <v>32</v>
      </c>
      <c r="U69" s="2">
        <v>43901.291574074072</v>
      </c>
      <c r="V69" s="3" t="s">
        <v>1588</v>
      </c>
      <c r="W69" t="s">
        <v>1589</v>
      </c>
    </row>
    <row r="70" spans="1:23" x14ac:dyDescent="0.45">
      <c r="A70" t="s">
        <v>86</v>
      </c>
      <c r="B70">
        <v>7</v>
      </c>
      <c r="C70" s="1">
        <v>43936</v>
      </c>
      <c r="D70" s="1">
        <v>43906</v>
      </c>
      <c r="E70" t="s">
        <v>428</v>
      </c>
      <c r="F70" t="s">
        <v>429</v>
      </c>
      <c r="G70" t="s">
        <v>429</v>
      </c>
      <c r="H70" t="s">
        <v>429</v>
      </c>
      <c r="I70" t="s">
        <v>447</v>
      </c>
      <c r="J70" t="s">
        <v>428</v>
      </c>
      <c r="K70" t="s">
        <v>429</v>
      </c>
      <c r="L70" t="str">
        <f>HYPERLINK("https://www.commcarehq.org/a/demo-18/api/form/attachment/263a4a59-5785-413a-8ed9-abde2ef07aeb/1584341357558.jpg")</f>
        <v>https://www.commcarehq.org/a/demo-18/api/form/attachment/263a4a59-5785-413a-8ed9-abde2ef07aeb/1584341357558.jpg</v>
      </c>
      <c r="M70" t="str">
        <f>HYPERLINK("https://www.commcarehq.org/a/demo-18/api/form/attachment/263a4a59-5785-413a-8ed9-abde2ef07aeb/1584341371556.jpg")</f>
        <v>https://www.commcarehq.org/a/demo-18/api/form/attachment/263a4a59-5785-413a-8ed9-abde2ef07aeb/1584341371556.jpg</v>
      </c>
      <c r="N70" t="str">
        <f>HYPERLINK("https://www.commcarehq.org/a/demo-18/api/form/attachment/263a4a59-5785-413a-8ed9-abde2ef07aeb/1584341411604.jpg")</f>
        <v>https://www.commcarehq.org/a/demo-18/api/form/attachment/263a4a59-5785-413a-8ed9-abde2ef07aeb/1584341411604.jpg</v>
      </c>
      <c r="O70" t="str">
        <f>HYPERLINK("https://www.commcarehq.org/a/demo-18/api/form/attachment/263a4a59-5785-413a-8ed9-abde2ef07aeb/1584341420471.jpg")</f>
        <v>https://www.commcarehq.org/a/demo-18/api/form/attachment/263a4a59-5785-413a-8ed9-abde2ef07aeb/1584341420471.jpg</v>
      </c>
      <c r="P70" t="str">
        <f>HYPERLINK("https://www.commcarehq.org/a/demo-18/api/form/attachment/263a4a59-5785-413a-8ed9-abde2ef07aeb/1584341439727.jpg")</f>
        <v>https://www.commcarehq.org/a/demo-18/api/form/attachment/263a4a59-5785-413a-8ed9-abde2ef07aeb/1584341439727.jpg</v>
      </c>
      <c r="Q70" t="str">
        <f>HYPERLINK("https://www.commcarehq.org/a/demo-18/api/form/attachment/263a4a59-5785-413a-8ed9-abde2ef07aeb/1584341447408.jpg")</f>
        <v>https://www.commcarehq.org/a/demo-18/api/form/attachment/263a4a59-5785-413a-8ed9-abde2ef07aeb/1584341447408.jpg</v>
      </c>
      <c r="R70" s="2">
        <v>43906.28528935185</v>
      </c>
      <c r="S70" s="2">
        <v>43906.283865740741</v>
      </c>
      <c r="T70" t="s">
        <v>32</v>
      </c>
      <c r="U70" s="2">
        <v>43906.285567129627</v>
      </c>
      <c r="V70" s="3" t="s">
        <v>1554</v>
      </c>
      <c r="W70" t="s">
        <v>1555</v>
      </c>
    </row>
    <row r="71" spans="1:23" x14ac:dyDescent="0.45">
      <c r="A71" t="s">
        <v>316</v>
      </c>
      <c r="B71">
        <v>6.8</v>
      </c>
      <c r="C71" s="1">
        <v>43939</v>
      </c>
      <c r="D71" s="1">
        <v>43909</v>
      </c>
      <c r="E71" t="s">
        <v>428</v>
      </c>
      <c r="F71" t="s">
        <v>429</v>
      </c>
      <c r="G71" t="s">
        <v>429</v>
      </c>
      <c r="H71" t="s">
        <v>429</v>
      </c>
      <c r="I71" t="s">
        <v>1321</v>
      </c>
      <c r="J71" t="s">
        <v>428</v>
      </c>
      <c r="K71" t="s">
        <v>429</v>
      </c>
      <c r="L71" t="str">
        <f>HYPERLINK("https://www.commcarehq.org/a/demo-18/api/form/attachment/ba72f878-6c00-45dc-8819-7b3c7ddb7a06/1584608313252.jpg")</f>
        <v>https://www.commcarehq.org/a/demo-18/api/form/attachment/ba72f878-6c00-45dc-8819-7b3c7ddb7a06/1584608313252.jpg</v>
      </c>
      <c r="M71" t="str">
        <f>HYPERLINK("https://www.commcarehq.org/a/demo-18/api/form/attachment/ba72f878-6c00-45dc-8819-7b3c7ddb7a06/1584608332055.jpg")</f>
        <v>https://www.commcarehq.org/a/demo-18/api/form/attachment/ba72f878-6c00-45dc-8819-7b3c7ddb7a06/1584608332055.jpg</v>
      </c>
      <c r="N71" t="str">
        <f>HYPERLINK("https://www.commcarehq.org/a/demo-18/api/form/attachment/ba72f878-6c00-45dc-8819-7b3c7ddb7a06/1584608365791.jpg")</f>
        <v>https://www.commcarehq.org/a/demo-18/api/form/attachment/ba72f878-6c00-45dc-8819-7b3c7ddb7a06/1584608365791.jpg</v>
      </c>
      <c r="O71" t="str">
        <f>HYPERLINK("https://www.commcarehq.org/a/demo-18/api/form/attachment/ba72f878-6c00-45dc-8819-7b3c7ddb7a06/1584608374687.jpg")</f>
        <v>https://www.commcarehq.org/a/demo-18/api/form/attachment/ba72f878-6c00-45dc-8819-7b3c7ddb7a06/1584608374687.jpg</v>
      </c>
      <c r="P71" t="str">
        <f>HYPERLINK("https://www.commcarehq.org/a/demo-18/api/form/attachment/ba72f878-6c00-45dc-8819-7b3c7ddb7a06/1584608396244.jpg")</f>
        <v>https://www.commcarehq.org/a/demo-18/api/form/attachment/ba72f878-6c00-45dc-8819-7b3c7ddb7a06/1584608396244.jpg</v>
      </c>
      <c r="Q71" t="str">
        <f>HYPERLINK("https://www.commcarehq.org/a/demo-18/api/form/attachment/ba72f878-6c00-45dc-8819-7b3c7ddb7a06/1584608414455.jpg")</f>
        <v>https://www.commcarehq.org/a/demo-18/api/form/attachment/ba72f878-6c00-45dc-8819-7b3c7ddb7a06/1584608414455.jpg</v>
      </c>
      <c r="R71" s="2">
        <v>43909.375185185185</v>
      </c>
      <c r="S71" s="2">
        <v>43909.373506944445</v>
      </c>
      <c r="T71" t="s">
        <v>32</v>
      </c>
      <c r="U71" s="2">
        <v>43909.375474537039</v>
      </c>
      <c r="V71" t="s">
        <v>1552</v>
      </c>
      <c r="W71" t="s">
        <v>1553</v>
      </c>
    </row>
    <row r="72" spans="1:23" x14ac:dyDescent="0.45">
      <c r="A72" t="s">
        <v>319</v>
      </c>
      <c r="B72">
        <v>7.5</v>
      </c>
      <c r="C72" s="1">
        <v>43938</v>
      </c>
      <c r="D72" s="1">
        <v>43908</v>
      </c>
      <c r="E72" t="s">
        <v>428</v>
      </c>
      <c r="F72" t="s">
        <v>429</v>
      </c>
      <c r="G72" t="s">
        <v>429</v>
      </c>
      <c r="H72" t="s">
        <v>429</v>
      </c>
      <c r="I72" t="s">
        <v>498</v>
      </c>
      <c r="J72" t="s">
        <v>428</v>
      </c>
      <c r="K72" t="s">
        <v>429</v>
      </c>
      <c r="L72" t="str">
        <f>HYPERLINK("https://www.commcarehq.org/a/demo-18/api/form/attachment/7211ec8d-2c60-4184-b3d9-5badf47aae7e/1584513643637.jpg")</f>
        <v>https://www.commcarehq.org/a/demo-18/api/form/attachment/7211ec8d-2c60-4184-b3d9-5badf47aae7e/1584513643637.jpg</v>
      </c>
      <c r="M72" t="str">
        <f>HYPERLINK("https://www.commcarehq.org/a/demo-18/api/form/attachment/7211ec8d-2c60-4184-b3d9-5badf47aae7e/1584513657505.jpg")</f>
        <v>https://www.commcarehq.org/a/demo-18/api/form/attachment/7211ec8d-2c60-4184-b3d9-5badf47aae7e/1584513657505.jpg</v>
      </c>
      <c r="N72" t="str">
        <f>HYPERLINK("https://www.commcarehq.org/a/demo-18/api/form/attachment/7211ec8d-2c60-4184-b3d9-5badf47aae7e/1584513739068.jpg")</f>
        <v>https://www.commcarehq.org/a/demo-18/api/form/attachment/7211ec8d-2c60-4184-b3d9-5badf47aae7e/1584513739068.jpg</v>
      </c>
      <c r="O72" t="str">
        <f>HYPERLINK("https://www.commcarehq.org/a/demo-18/api/form/attachment/7211ec8d-2c60-4184-b3d9-5badf47aae7e/1584513747571.jpg")</f>
        <v>https://www.commcarehq.org/a/demo-18/api/form/attachment/7211ec8d-2c60-4184-b3d9-5badf47aae7e/1584513747571.jpg</v>
      </c>
      <c r="P72" t="str">
        <f>HYPERLINK("https://www.commcarehq.org/a/demo-18/api/form/attachment/7211ec8d-2c60-4184-b3d9-5badf47aae7e/1584513763146.jpg")</f>
        <v>https://www.commcarehq.org/a/demo-18/api/form/attachment/7211ec8d-2c60-4184-b3d9-5badf47aae7e/1584513763146.jpg</v>
      </c>
      <c r="Q72" t="str">
        <f>HYPERLINK("https://www.commcarehq.org/a/demo-18/api/form/attachment/7211ec8d-2c60-4184-b3d9-5badf47aae7e/1584513773391.jpg")</f>
        <v>https://www.commcarehq.org/a/demo-18/api/form/attachment/7211ec8d-2c60-4184-b3d9-5badf47aae7e/1584513773391.jpg</v>
      </c>
      <c r="R72" s="2">
        <v>43908.279791666668</v>
      </c>
      <c r="S72" s="2">
        <v>43908.277673611112</v>
      </c>
      <c r="T72" t="s">
        <v>32</v>
      </c>
      <c r="U72" s="2">
        <v>43908.340798611112</v>
      </c>
      <c r="V72" t="s">
        <v>1596</v>
      </c>
      <c r="W72" t="s">
        <v>1597</v>
      </c>
    </row>
    <row r="73" spans="1:23" x14ac:dyDescent="0.45">
      <c r="A73" t="s">
        <v>113</v>
      </c>
      <c r="B73">
        <v>7.1</v>
      </c>
      <c r="C73" s="1">
        <v>43882</v>
      </c>
      <c r="D73" s="1">
        <v>43852</v>
      </c>
      <c r="E73" t="s">
        <v>428</v>
      </c>
      <c r="F73" t="s">
        <v>429</v>
      </c>
      <c r="G73" t="s">
        <v>429</v>
      </c>
      <c r="H73" t="s">
        <v>429</v>
      </c>
      <c r="I73" t="s">
        <v>447</v>
      </c>
      <c r="J73" t="s">
        <v>428</v>
      </c>
      <c r="K73" t="s">
        <v>429</v>
      </c>
      <c r="L73" t="str">
        <f>HYPERLINK("https://www.commcarehq.org/a/demo-18/api/form/attachment/75bcfc74-c6f4-42f6-a7f3-b874713935a5/1579679886014.jpg")</f>
        <v>https://www.commcarehq.org/a/demo-18/api/form/attachment/75bcfc74-c6f4-42f6-a7f3-b874713935a5/1579679886014.jpg</v>
      </c>
      <c r="M73" t="str">
        <f>HYPERLINK("https://www.commcarehq.org/a/demo-18/api/form/attachment/75bcfc74-c6f4-42f6-a7f3-b874713935a5/1579679901059.jpg")</f>
        <v>https://www.commcarehq.org/a/demo-18/api/form/attachment/75bcfc74-c6f4-42f6-a7f3-b874713935a5/1579679901059.jpg</v>
      </c>
      <c r="N73" t="str">
        <f>HYPERLINK("https://www.commcarehq.org/a/demo-18/api/form/attachment/75bcfc74-c6f4-42f6-a7f3-b874713935a5/1579679957656.jpg")</f>
        <v>https://www.commcarehq.org/a/demo-18/api/form/attachment/75bcfc74-c6f4-42f6-a7f3-b874713935a5/1579679957656.jpg</v>
      </c>
      <c r="O73" t="str">
        <f>HYPERLINK("https://www.commcarehq.org/a/demo-18/api/form/attachment/75bcfc74-c6f4-42f6-a7f3-b874713935a5/1579679966491.jpg")</f>
        <v>https://www.commcarehq.org/a/demo-18/api/form/attachment/75bcfc74-c6f4-42f6-a7f3-b874713935a5/1579679966491.jpg</v>
      </c>
      <c r="P73" t="str">
        <f>HYPERLINK("https://www.commcarehq.org/a/demo-18/api/form/attachment/75bcfc74-c6f4-42f6-a7f3-b874713935a5/1579679980559.jpg")</f>
        <v>https://www.commcarehq.org/a/demo-18/api/form/attachment/75bcfc74-c6f4-42f6-a7f3-b874713935a5/1579679980559.jpg</v>
      </c>
      <c r="Q73" t="str">
        <f>HYPERLINK("https://www.commcarehq.org/a/demo-18/api/form/attachment/75bcfc74-c6f4-42f6-a7f3-b874713935a5/1579679990604.jpg")</f>
        <v>https://www.commcarehq.org/a/demo-18/api/form/attachment/75bcfc74-c6f4-42f6-a7f3-b874713935a5/1579679990604.jpg</v>
      </c>
      <c r="R73" s="2">
        <v>43852.333240740743</v>
      </c>
      <c r="S73" s="2">
        <v>43852.331562500003</v>
      </c>
      <c r="T73" t="s">
        <v>32</v>
      </c>
      <c r="U73" s="2">
        <v>43852.333437499998</v>
      </c>
      <c r="V73" s="3" t="s">
        <v>1233</v>
      </c>
      <c r="W73" t="s">
        <v>1234</v>
      </c>
    </row>
    <row r="74" spans="1:23" x14ac:dyDescent="0.45">
      <c r="A74" t="s">
        <v>250</v>
      </c>
      <c r="B74">
        <v>7.6</v>
      </c>
      <c r="C74" s="1">
        <v>43939</v>
      </c>
      <c r="D74" s="1">
        <v>43909</v>
      </c>
      <c r="E74" t="s">
        <v>428</v>
      </c>
      <c r="F74" t="s">
        <v>429</v>
      </c>
      <c r="G74" t="s">
        <v>429</v>
      </c>
      <c r="H74" t="s">
        <v>429</v>
      </c>
      <c r="I74" t="s">
        <v>1321</v>
      </c>
      <c r="J74" t="s">
        <v>428</v>
      </c>
      <c r="K74" t="s">
        <v>429</v>
      </c>
      <c r="L74" t="str">
        <f>HYPERLINK("https://www.commcarehq.org/a/demo-18/api/form/attachment/d2e423a7-10e3-41ae-9495-eaa311b2d461/1584600663664.jpg")</f>
        <v>https://www.commcarehq.org/a/demo-18/api/form/attachment/d2e423a7-10e3-41ae-9495-eaa311b2d461/1584600663664.jpg</v>
      </c>
      <c r="M74" t="str">
        <f>HYPERLINK("https://www.commcarehq.org/a/demo-18/api/form/attachment/d2e423a7-10e3-41ae-9495-eaa311b2d461/1584600672529.jpg")</f>
        <v>https://www.commcarehq.org/a/demo-18/api/form/attachment/d2e423a7-10e3-41ae-9495-eaa311b2d461/1584600672529.jpg</v>
      </c>
      <c r="N74" t="str">
        <f>HYPERLINK("https://www.commcarehq.org/a/demo-18/api/form/attachment/d2e423a7-10e3-41ae-9495-eaa311b2d461/1584600700702.jpg")</f>
        <v>https://www.commcarehq.org/a/demo-18/api/form/attachment/d2e423a7-10e3-41ae-9495-eaa311b2d461/1584600700702.jpg</v>
      </c>
      <c r="O74" t="str">
        <f>HYPERLINK("https://www.commcarehq.org/a/demo-18/api/form/attachment/d2e423a7-10e3-41ae-9495-eaa311b2d461/1584600709294.jpg")</f>
        <v>https://www.commcarehq.org/a/demo-18/api/form/attachment/d2e423a7-10e3-41ae-9495-eaa311b2d461/1584600709294.jpg</v>
      </c>
      <c r="P74" t="str">
        <f>HYPERLINK("https://www.commcarehq.org/a/demo-18/api/form/attachment/d2e423a7-10e3-41ae-9495-eaa311b2d461/1584600725238.jpg")</f>
        <v>https://www.commcarehq.org/a/demo-18/api/form/attachment/d2e423a7-10e3-41ae-9495-eaa311b2d461/1584600725238.jpg</v>
      </c>
      <c r="Q74" t="str">
        <f>HYPERLINK("https://www.commcarehq.org/a/demo-18/api/form/attachment/d2e423a7-10e3-41ae-9495-eaa311b2d461/1584600734145.jpg")</f>
        <v>https://www.commcarehq.org/a/demo-18/api/form/attachment/d2e423a7-10e3-41ae-9495-eaa311b2d461/1584600734145.jpg</v>
      </c>
      <c r="R74" s="2">
        <v>43909.286319444444</v>
      </c>
      <c r="S74" s="2">
        <v>43909.284895833334</v>
      </c>
      <c r="T74" t="s">
        <v>32</v>
      </c>
      <c r="U74" s="2">
        <v>43909.286574074074</v>
      </c>
      <c r="V74" t="s">
        <v>1606</v>
      </c>
      <c r="W74" t="s">
        <v>1607</v>
      </c>
    </row>
    <row r="75" spans="1:23" x14ac:dyDescent="0.45">
      <c r="A75" t="s">
        <v>259</v>
      </c>
      <c r="B75">
        <v>5.4</v>
      </c>
      <c r="C75" s="1">
        <v>43938</v>
      </c>
      <c r="D75" s="1">
        <v>43908</v>
      </c>
      <c r="E75" t="s">
        <v>428</v>
      </c>
      <c r="F75" t="s">
        <v>429</v>
      </c>
      <c r="G75" t="s">
        <v>429</v>
      </c>
      <c r="H75" t="s">
        <v>429</v>
      </c>
      <c r="I75" t="s">
        <v>579</v>
      </c>
      <c r="J75" t="s">
        <v>428</v>
      </c>
      <c r="K75" t="s">
        <v>429</v>
      </c>
      <c r="L75" t="str">
        <f>HYPERLINK("https://www.commcarehq.org/a/demo-18/api/form/attachment/9a6cb4b1-a51b-4765-9d41-e80732f15aea/1584516927520.jpg")</f>
        <v>https://www.commcarehq.org/a/demo-18/api/form/attachment/9a6cb4b1-a51b-4765-9d41-e80732f15aea/1584516927520.jpg</v>
      </c>
      <c r="M75" t="str">
        <f>HYPERLINK("https://www.commcarehq.org/a/demo-18/api/form/attachment/9a6cb4b1-a51b-4765-9d41-e80732f15aea/1584516943946.jpg")</f>
        <v>https://www.commcarehq.org/a/demo-18/api/form/attachment/9a6cb4b1-a51b-4765-9d41-e80732f15aea/1584516943946.jpg</v>
      </c>
      <c r="N75" t="str">
        <f>HYPERLINK("https://www.commcarehq.org/a/demo-18/api/form/attachment/9a6cb4b1-a51b-4765-9d41-e80732f15aea/1584517017789.jpg")</f>
        <v>https://www.commcarehq.org/a/demo-18/api/form/attachment/9a6cb4b1-a51b-4765-9d41-e80732f15aea/1584517017789.jpg</v>
      </c>
      <c r="O75" t="str">
        <f>HYPERLINK("https://www.commcarehq.org/a/demo-18/api/form/attachment/9a6cb4b1-a51b-4765-9d41-e80732f15aea/1584517026776.jpg")</f>
        <v>https://www.commcarehq.org/a/demo-18/api/form/attachment/9a6cb4b1-a51b-4765-9d41-e80732f15aea/1584517026776.jpg</v>
      </c>
      <c r="P75" t="str">
        <f>HYPERLINK("https://www.commcarehq.org/a/demo-18/api/form/attachment/9a6cb4b1-a51b-4765-9d41-e80732f15aea/1584517043483.jpg")</f>
        <v>https://www.commcarehq.org/a/demo-18/api/form/attachment/9a6cb4b1-a51b-4765-9d41-e80732f15aea/1584517043483.jpg</v>
      </c>
      <c r="Q75" t="str">
        <f>HYPERLINK("https://www.commcarehq.org/a/demo-18/api/form/attachment/9a6cb4b1-a51b-4765-9d41-e80732f15aea/1584517052182.jpg")</f>
        <v>https://www.commcarehq.org/a/demo-18/api/form/attachment/9a6cb4b1-a51b-4765-9d41-e80732f15aea/1584517052182.jpg</v>
      </c>
      <c r="R75" s="2">
        <v>43908.317754629628</v>
      </c>
      <c r="S75" s="2">
        <v>43908.315949074073</v>
      </c>
      <c r="T75" t="s">
        <v>32</v>
      </c>
      <c r="U75" s="2">
        <v>43908.34097222222</v>
      </c>
      <c r="V75" t="s">
        <v>1598</v>
      </c>
      <c r="W75" t="s">
        <v>1599</v>
      </c>
    </row>
    <row r="76" spans="1:23" x14ac:dyDescent="0.45">
      <c r="A76" t="s">
        <v>89</v>
      </c>
      <c r="B76">
        <v>6.2</v>
      </c>
      <c r="C76" s="1">
        <v>43918</v>
      </c>
      <c r="D76" s="1">
        <v>43888</v>
      </c>
      <c r="E76" t="s">
        <v>428</v>
      </c>
      <c r="F76" t="s">
        <v>429</v>
      </c>
      <c r="G76" t="s">
        <v>429</v>
      </c>
      <c r="H76" t="s">
        <v>429</v>
      </c>
      <c r="I76" t="s">
        <v>447</v>
      </c>
      <c r="J76" t="s">
        <v>428</v>
      </c>
      <c r="K76" t="s">
        <v>429</v>
      </c>
      <c r="L76" t="str">
        <f>HYPERLINK("https://www.commcarehq.org/a/demo-18/api/form/attachment/01d9699f-9398-41d5-aa4e-1193482ba895/1582794323470.jpg")</f>
        <v>https://www.commcarehq.org/a/demo-18/api/form/attachment/01d9699f-9398-41d5-aa4e-1193482ba895/1582794323470.jpg</v>
      </c>
      <c r="M76" t="str">
        <f>HYPERLINK("https://www.commcarehq.org/a/demo-18/api/form/attachment/01d9699f-9398-41d5-aa4e-1193482ba895/1582794339498.jpg")</f>
        <v>https://www.commcarehq.org/a/demo-18/api/form/attachment/01d9699f-9398-41d5-aa4e-1193482ba895/1582794339498.jpg</v>
      </c>
      <c r="N76" t="str">
        <f>HYPERLINK("https://www.commcarehq.org/a/demo-18/api/form/attachment/01d9699f-9398-41d5-aa4e-1193482ba895/1582794396022.jpg")</f>
        <v>https://www.commcarehq.org/a/demo-18/api/form/attachment/01d9699f-9398-41d5-aa4e-1193482ba895/1582794396022.jpg</v>
      </c>
      <c r="O76" t="str">
        <f>HYPERLINK("https://www.commcarehq.org/a/demo-18/api/form/attachment/01d9699f-9398-41d5-aa4e-1193482ba895/1582794405214.jpg")</f>
        <v>https://www.commcarehq.org/a/demo-18/api/form/attachment/01d9699f-9398-41d5-aa4e-1193482ba895/1582794405214.jpg</v>
      </c>
      <c r="P76" t="str">
        <f>HYPERLINK("https://www.commcarehq.org/a/demo-18/api/form/attachment/01d9699f-9398-41d5-aa4e-1193482ba895/1582794423920.jpg")</f>
        <v>https://www.commcarehq.org/a/demo-18/api/form/attachment/01d9699f-9398-41d5-aa4e-1193482ba895/1582794423920.jpg</v>
      </c>
      <c r="Q76" t="str">
        <f>HYPERLINK("https://www.commcarehq.org/a/demo-18/api/form/attachment/01d9699f-9398-41d5-aa4e-1193482ba895/1582794436634.jpg")</f>
        <v>https://www.commcarehq.org/a/demo-18/api/form/attachment/01d9699f-9398-41d5-aa4e-1193482ba895/1582794436634.jpg</v>
      </c>
      <c r="R76" s="2">
        <v>43888.380115740743</v>
      </c>
      <c r="S76" s="2">
        <v>43888.377974537034</v>
      </c>
      <c r="T76" t="s">
        <v>32</v>
      </c>
      <c r="U76" s="2">
        <v>43888.380335648151</v>
      </c>
      <c r="V76" t="s">
        <v>1538</v>
      </c>
      <c r="W76" t="s">
        <v>1539</v>
      </c>
    </row>
    <row r="77" spans="1:23" x14ac:dyDescent="0.45">
      <c r="A77" t="s">
        <v>166</v>
      </c>
      <c r="B77">
        <v>7</v>
      </c>
      <c r="C77" s="1">
        <v>43940</v>
      </c>
      <c r="D77" s="1">
        <v>43910</v>
      </c>
      <c r="E77" t="s">
        <v>428</v>
      </c>
      <c r="F77" t="s">
        <v>429</v>
      </c>
      <c r="G77" t="s">
        <v>429</v>
      </c>
      <c r="H77" t="s">
        <v>429</v>
      </c>
      <c r="I77" t="s">
        <v>447</v>
      </c>
      <c r="J77" t="s">
        <v>428</v>
      </c>
      <c r="K77" t="s">
        <v>429</v>
      </c>
      <c r="L77" t="str">
        <f>HYPERLINK("https://www.commcarehq.org/a/demo-18/api/form/attachment/4e697f9b-f8f9-466a-93ab-d3198faca0c7/1584691583870.jpg")</f>
        <v>https://www.commcarehq.org/a/demo-18/api/form/attachment/4e697f9b-f8f9-466a-93ab-d3198faca0c7/1584691583870.jpg</v>
      </c>
      <c r="M77" t="str">
        <f>HYPERLINK("https://www.commcarehq.org/a/demo-18/api/form/attachment/4e697f9b-f8f9-466a-93ab-d3198faca0c7/1584691600180.jpg")</f>
        <v>https://www.commcarehq.org/a/demo-18/api/form/attachment/4e697f9b-f8f9-466a-93ab-d3198faca0c7/1584691600180.jpg</v>
      </c>
      <c r="N77" t="str">
        <f>HYPERLINK("https://www.commcarehq.org/a/demo-18/api/form/attachment/4e697f9b-f8f9-466a-93ab-d3198faca0c7/1584691706731.jpg")</f>
        <v>https://www.commcarehq.org/a/demo-18/api/form/attachment/4e697f9b-f8f9-466a-93ab-d3198faca0c7/1584691706731.jpg</v>
      </c>
      <c r="O77" t="str">
        <f>HYPERLINK("https://www.commcarehq.org/a/demo-18/api/form/attachment/4e697f9b-f8f9-466a-93ab-d3198faca0c7/1584691716077.jpg")</f>
        <v>https://www.commcarehq.org/a/demo-18/api/form/attachment/4e697f9b-f8f9-466a-93ab-d3198faca0c7/1584691716077.jpg</v>
      </c>
      <c r="P77" t="str">
        <f>HYPERLINK("https://www.commcarehq.org/a/demo-18/api/form/attachment/4e697f9b-f8f9-466a-93ab-d3198faca0c7/1584691735235.jpg")</f>
        <v>https://www.commcarehq.org/a/demo-18/api/form/attachment/4e697f9b-f8f9-466a-93ab-d3198faca0c7/1584691735235.jpg</v>
      </c>
      <c r="Q77" t="str">
        <f>HYPERLINK("https://www.commcarehq.org/a/demo-18/api/form/attachment/4e697f9b-f8f9-466a-93ab-d3198faca0c7/1584691744709.jpg")</f>
        <v>https://www.commcarehq.org/a/demo-18/api/form/attachment/4e697f9b-f8f9-466a-93ab-d3198faca0c7/1584691744709.jpg</v>
      </c>
      <c r="R77" s="2">
        <v>43910.33965277778</v>
      </c>
      <c r="S77" s="2">
        <v>43910.337395833332</v>
      </c>
      <c r="T77" t="s">
        <v>32</v>
      </c>
      <c r="U77" s="2">
        <v>43910.340011574073</v>
      </c>
      <c r="V77" s="3" t="s">
        <v>1574</v>
      </c>
      <c r="W77" t="s">
        <v>1575</v>
      </c>
    </row>
    <row r="78" spans="1:23" x14ac:dyDescent="0.45">
      <c r="A78" t="s">
        <v>256</v>
      </c>
      <c r="B78">
        <v>6.6</v>
      </c>
      <c r="C78" s="1">
        <v>43943</v>
      </c>
      <c r="D78" s="1">
        <v>43913</v>
      </c>
      <c r="E78" t="s">
        <v>428</v>
      </c>
      <c r="F78" t="s">
        <v>429</v>
      </c>
      <c r="G78" t="s">
        <v>429</v>
      </c>
      <c r="H78" t="s">
        <v>429</v>
      </c>
      <c r="I78" t="s">
        <v>447</v>
      </c>
      <c r="J78" t="s">
        <v>428</v>
      </c>
      <c r="K78" t="s">
        <v>429</v>
      </c>
      <c r="L78" t="str">
        <f>HYPERLINK("https://www.commcarehq.org/a/demo-18/api/form/attachment/c4a6122c-8edb-4254-86c6-27b7a4bfe9ba/1584950439903.jpg")</f>
        <v>https://www.commcarehq.org/a/demo-18/api/form/attachment/c4a6122c-8edb-4254-86c6-27b7a4bfe9ba/1584950439903.jpg</v>
      </c>
      <c r="M78" t="str">
        <f>HYPERLINK("https://www.commcarehq.org/a/demo-18/api/form/attachment/c4a6122c-8edb-4254-86c6-27b7a4bfe9ba/1584950460993.jpg")</f>
        <v>https://www.commcarehq.org/a/demo-18/api/form/attachment/c4a6122c-8edb-4254-86c6-27b7a4bfe9ba/1584950460993.jpg</v>
      </c>
      <c r="N78" t="str">
        <f>HYPERLINK("https://www.commcarehq.org/a/demo-18/api/form/attachment/c4a6122c-8edb-4254-86c6-27b7a4bfe9ba/1584950513953.jpg")</f>
        <v>https://www.commcarehq.org/a/demo-18/api/form/attachment/c4a6122c-8edb-4254-86c6-27b7a4bfe9ba/1584950513953.jpg</v>
      </c>
      <c r="O78" t="str">
        <f>HYPERLINK("https://www.commcarehq.org/a/demo-18/api/form/attachment/c4a6122c-8edb-4254-86c6-27b7a4bfe9ba/1584950524752.jpg")</f>
        <v>https://www.commcarehq.org/a/demo-18/api/form/attachment/c4a6122c-8edb-4254-86c6-27b7a4bfe9ba/1584950524752.jpg</v>
      </c>
      <c r="P78" t="str">
        <f>HYPERLINK("https://www.commcarehq.org/a/demo-18/api/form/attachment/c4a6122c-8edb-4254-86c6-27b7a4bfe9ba/1584950545059.jpg")</f>
        <v>https://www.commcarehq.org/a/demo-18/api/form/attachment/c4a6122c-8edb-4254-86c6-27b7a4bfe9ba/1584950545059.jpg</v>
      </c>
      <c r="Q78" t="str">
        <f>HYPERLINK("https://www.commcarehq.org/a/demo-18/api/form/attachment/c4a6122c-8edb-4254-86c6-27b7a4bfe9ba/1584950554450.jpg")</f>
        <v>https://www.commcarehq.org/a/demo-18/api/form/attachment/c4a6122c-8edb-4254-86c6-27b7a4bfe9ba/1584950554450.jpg</v>
      </c>
      <c r="R78" s="2">
        <v>43913.335150462961</v>
      </c>
      <c r="S78" s="2">
        <v>43913.333425925928</v>
      </c>
      <c r="T78" t="s">
        <v>32</v>
      </c>
      <c r="U78" s="2">
        <v>43913.335509259261</v>
      </c>
      <c r="V78" t="s">
        <v>1600</v>
      </c>
      <c r="W78" t="s">
        <v>1601</v>
      </c>
    </row>
    <row r="79" spans="1:23" x14ac:dyDescent="0.45">
      <c r="A79" t="s">
        <v>253</v>
      </c>
      <c r="B79">
        <v>5.6</v>
      </c>
      <c r="C79" s="1">
        <v>43925</v>
      </c>
      <c r="D79" s="1">
        <v>43895</v>
      </c>
      <c r="E79" t="s">
        <v>428</v>
      </c>
      <c r="F79" t="s">
        <v>429</v>
      </c>
      <c r="G79" t="s">
        <v>429</v>
      </c>
      <c r="H79" t="s">
        <v>429</v>
      </c>
      <c r="I79" t="s">
        <v>498</v>
      </c>
      <c r="J79" t="s">
        <v>428</v>
      </c>
      <c r="K79" t="s">
        <v>429</v>
      </c>
      <c r="L79" t="str">
        <f>HYPERLINK("https://www.commcarehq.org/a/demo-18/api/form/attachment/431bf2a6-8657-4bcf-9a77-1d834442ba3a/1583391206901.jpg")</f>
        <v>https://www.commcarehq.org/a/demo-18/api/form/attachment/431bf2a6-8657-4bcf-9a77-1d834442ba3a/1583391206901.jpg</v>
      </c>
      <c r="M79" t="str">
        <f>HYPERLINK("https://www.commcarehq.org/a/demo-18/api/form/attachment/431bf2a6-8657-4bcf-9a77-1d834442ba3a/1583391226089.jpg")</f>
        <v>https://www.commcarehq.org/a/demo-18/api/form/attachment/431bf2a6-8657-4bcf-9a77-1d834442ba3a/1583391226089.jpg</v>
      </c>
      <c r="N79" t="str">
        <f>HYPERLINK("https://www.commcarehq.org/a/demo-18/api/form/attachment/431bf2a6-8657-4bcf-9a77-1d834442ba3a/1583391258385.jpg")</f>
        <v>https://www.commcarehq.org/a/demo-18/api/form/attachment/431bf2a6-8657-4bcf-9a77-1d834442ba3a/1583391258385.jpg</v>
      </c>
      <c r="O79" t="str">
        <f>HYPERLINK("https://www.commcarehq.org/a/demo-18/api/form/attachment/431bf2a6-8657-4bcf-9a77-1d834442ba3a/1583391266612.jpg")</f>
        <v>https://www.commcarehq.org/a/demo-18/api/form/attachment/431bf2a6-8657-4bcf-9a77-1d834442ba3a/1583391266612.jpg</v>
      </c>
      <c r="P79" t="str">
        <f>HYPERLINK("https://www.commcarehq.org/a/demo-18/api/form/attachment/431bf2a6-8657-4bcf-9a77-1d834442ba3a/1583391283150.jpg")</f>
        <v>https://www.commcarehq.org/a/demo-18/api/form/attachment/431bf2a6-8657-4bcf-9a77-1d834442ba3a/1583391283150.jpg</v>
      </c>
      <c r="Q79" t="str">
        <f>HYPERLINK("https://www.commcarehq.org/a/demo-18/api/form/attachment/431bf2a6-8657-4bcf-9a77-1d834442ba3a/1583391291062.jpg")</f>
        <v>https://www.commcarehq.org/a/demo-18/api/form/attachment/431bf2a6-8657-4bcf-9a77-1d834442ba3a/1583391291062.jpg</v>
      </c>
      <c r="R79" s="2">
        <v>43895.288101851853</v>
      </c>
      <c r="S79" s="2">
        <v>43895.286435185182</v>
      </c>
      <c r="T79" t="s">
        <v>32</v>
      </c>
      <c r="U79" s="2">
        <v>43895.288391203707</v>
      </c>
      <c r="V79" t="s">
        <v>1556</v>
      </c>
      <c r="W79" t="s">
        <v>1557</v>
      </c>
    </row>
    <row r="80" spans="1:23" x14ac:dyDescent="0.45">
      <c r="A80" t="s">
        <v>280</v>
      </c>
      <c r="B80">
        <v>6.6</v>
      </c>
      <c r="C80" s="1">
        <v>43939</v>
      </c>
      <c r="D80" s="1">
        <v>43909</v>
      </c>
      <c r="E80" t="s">
        <v>428</v>
      </c>
      <c r="F80" t="s">
        <v>429</v>
      </c>
      <c r="G80" t="s">
        <v>429</v>
      </c>
      <c r="H80" t="s">
        <v>429</v>
      </c>
      <c r="I80" t="s">
        <v>498</v>
      </c>
      <c r="J80" t="s">
        <v>428</v>
      </c>
      <c r="K80" t="s">
        <v>429</v>
      </c>
      <c r="L80" t="str">
        <f>HYPERLINK("https://www.commcarehq.org/a/demo-18/api/form/attachment/925b6902-641b-4427-882e-a5053aa990e7/1584602614806.jpg")</f>
        <v>https://www.commcarehq.org/a/demo-18/api/form/attachment/925b6902-641b-4427-882e-a5053aa990e7/1584602614806.jpg</v>
      </c>
      <c r="M80" t="str">
        <f>HYPERLINK("https://www.commcarehq.org/a/demo-18/api/form/attachment/925b6902-641b-4427-882e-a5053aa990e7/1584602626778.jpg")</f>
        <v>https://www.commcarehq.org/a/demo-18/api/form/attachment/925b6902-641b-4427-882e-a5053aa990e7/1584602626778.jpg</v>
      </c>
      <c r="N80" t="str">
        <f>HYPERLINK("https://www.commcarehq.org/a/demo-18/api/form/attachment/925b6902-641b-4427-882e-a5053aa990e7/1584602664875.jpg")</f>
        <v>https://www.commcarehq.org/a/demo-18/api/form/attachment/925b6902-641b-4427-882e-a5053aa990e7/1584602664875.jpg</v>
      </c>
      <c r="O80" t="str">
        <f>HYPERLINK("https://www.commcarehq.org/a/demo-18/api/form/attachment/925b6902-641b-4427-882e-a5053aa990e7/1584602672510.jpg")</f>
        <v>https://www.commcarehq.org/a/demo-18/api/form/attachment/925b6902-641b-4427-882e-a5053aa990e7/1584602672510.jpg</v>
      </c>
      <c r="P80" t="str">
        <f>HYPERLINK("https://www.commcarehq.org/a/demo-18/api/form/attachment/925b6902-641b-4427-882e-a5053aa990e7/1584602687315.jpg")</f>
        <v>https://www.commcarehq.org/a/demo-18/api/form/attachment/925b6902-641b-4427-882e-a5053aa990e7/1584602687315.jpg</v>
      </c>
      <c r="Q80" t="str">
        <f>HYPERLINK("https://www.commcarehq.org/a/demo-18/api/form/attachment/925b6902-641b-4427-882e-a5053aa990e7/1584602697334.jpg")</f>
        <v>https://www.commcarehq.org/a/demo-18/api/form/attachment/925b6902-641b-4427-882e-a5053aa990e7/1584602697334.jpg</v>
      </c>
      <c r="R80" s="2">
        <v>43909.309016203704</v>
      </c>
      <c r="S80" s="2">
        <v>43909.307581018518</v>
      </c>
      <c r="T80" t="s">
        <v>32</v>
      </c>
      <c r="U80" s="2">
        <v>43909.309328703705</v>
      </c>
      <c r="V80" t="s">
        <v>1602</v>
      </c>
      <c r="W80" t="s">
        <v>1603</v>
      </c>
    </row>
    <row r="81" spans="1:23" x14ac:dyDescent="0.45">
      <c r="A81" t="s">
        <v>247</v>
      </c>
      <c r="B81">
        <v>7.5</v>
      </c>
      <c r="C81" s="1">
        <v>43940</v>
      </c>
      <c r="D81" s="1">
        <v>43910</v>
      </c>
      <c r="E81" t="s">
        <v>428</v>
      </c>
      <c r="F81" t="s">
        <v>429</v>
      </c>
      <c r="G81" t="s">
        <v>429</v>
      </c>
      <c r="H81" t="s">
        <v>429</v>
      </c>
      <c r="I81" t="s">
        <v>447</v>
      </c>
      <c r="J81" t="s">
        <v>428</v>
      </c>
      <c r="K81" t="s">
        <v>429</v>
      </c>
      <c r="L81" t="str">
        <f>HYPERLINK("https://www.commcarehq.org/a/demo-18/api/form/attachment/f6d44e61-2703-41a8-a3e5-7c66bf917925/1584692411389.jpg")</f>
        <v>https://www.commcarehq.org/a/demo-18/api/form/attachment/f6d44e61-2703-41a8-a3e5-7c66bf917925/1584692411389.jpg</v>
      </c>
      <c r="M81" t="str">
        <f>HYPERLINK("https://www.commcarehq.org/a/demo-18/api/form/attachment/f6d44e61-2703-41a8-a3e5-7c66bf917925/1584692423729.jpg")</f>
        <v>https://www.commcarehq.org/a/demo-18/api/form/attachment/f6d44e61-2703-41a8-a3e5-7c66bf917925/1584692423729.jpg</v>
      </c>
      <c r="N81" t="str">
        <f>HYPERLINK("https://www.commcarehq.org/a/demo-18/api/form/attachment/f6d44e61-2703-41a8-a3e5-7c66bf917925/1584692465273.jpg")</f>
        <v>https://www.commcarehq.org/a/demo-18/api/form/attachment/f6d44e61-2703-41a8-a3e5-7c66bf917925/1584692465273.jpg</v>
      </c>
      <c r="O81" t="str">
        <f>HYPERLINK("https://www.commcarehq.org/a/demo-18/api/form/attachment/f6d44e61-2703-41a8-a3e5-7c66bf917925/1584692476469.jpg")</f>
        <v>https://www.commcarehq.org/a/demo-18/api/form/attachment/f6d44e61-2703-41a8-a3e5-7c66bf917925/1584692476469.jpg</v>
      </c>
      <c r="P81" t="str">
        <f>HYPERLINK("https://www.commcarehq.org/a/demo-18/api/form/attachment/f6d44e61-2703-41a8-a3e5-7c66bf917925/1584692489532.jpg")</f>
        <v>https://www.commcarehq.org/a/demo-18/api/form/attachment/f6d44e61-2703-41a8-a3e5-7c66bf917925/1584692489532.jpg</v>
      </c>
      <c r="Q81" t="str">
        <f>HYPERLINK("https://www.commcarehq.org/a/demo-18/api/form/attachment/f6d44e61-2703-41a8-a3e5-7c66bf917925/1584692498092.jpg")</f>
        <v>https://www.commcarehq.org/a/demo-18/api/form/attachment/f6d44e61-2703-41a8-a3e5-7c66bf917925/1584692498092.jpg</v>
      </c>
      <c r="R81" s="2">
        <v>43910.348368055558</v>
      </c>
      <c r="S81" s="2">
        <v>43910.346643518518</v>
      </c>
      <c r="T81" t="s">
        <v>32</v>
      </c>
      <c r="U81" s="2">
        <v>43910.348599537036</v>
      </c>
      <c r="V81" t="s">
        <v>1582</v>
      </c>
      <c r="W81" t="s">
        <v>1583</v>
      </c>
    </row>
    <row r="82" spans="1:23" x14ac:dyDescent="0.45">
      <c r="A82" t="s">
        <v>412</v>
      </c>
      <c r="B82">
        <v>5.9</v>
      </c>
      <c r="C82" s="1">
        <v>43940</v>
      </c>
      <c r="D82" s="1">
        <v>43910</v>
      </c>
      <c r="E82" t="s">
        <v>428</v>
      </c>
      <c r="F82" t="s">
        <v>429</v>
      </c>
      <c r="G82" t="s">
        <v>429</v>
      </c>
      <c r="H82" t="s">
        <v>429</v>
      </c>
      <c r="I82" t="s">
        <v>447</v>
      </c>
      <c r="J82" t="s">
        <v>428</v>
      </c>
      <c r="K82" t="s">
        <v>429</v>
      </c>
      <c r="L82" t="str">
        <f>HYPERLINK("https://www.commcarehq.org/a/demo-18/api/form/attachment/ffd0b407-a113-4ece-aa3e-a61fbeb22f31/1584689013305.jpg")</f>
        <v>https://www.commcarehq.org/a/demo-18/api/form/attachment/ffd0b407-a113-4ece-aa3e-a61fbeb22f31/1584689013305.jpg</v>
      </c>
      <c r="M82" t="str">
        <f>HYPERLINK("https://www.commcarehq.org/a/demo-18/api/form/attachment/ffd0b407-a113-4ece-aa3e-a61fbeb22f31/1584689028345.jpg")</f>
        <v>https://www.commcarehq.org/a/demo-18/api/form/attachment/ffd0b407-a113-4ece-aa3e-a61fbeb22f31/1584689028345.jpg</v>
      </c>
      <c r="N82" t="str">
        <f>HYPERLINK("https://www.commcarehq.org/a/demo-18/api/form/attachment/ffd0b407-a113-4ece-aa3e-a61fbeb22f31/1584689068165.jpg")</f>
        <v>https://www.commcarehq.org/a/demo-18/api/form/attachment/ffd0b407-a113-4ece-aa3e-a61fbeb22f31/1584689068165.jpg</v>
      </c>
      <c r="O82" t="str">
        <f>HYPERLINK("https://www.commcarehq.org/a/demo-18/api/form/attachment/ffd0b407-a113-4ece-aa3e-a61fbeb22f31/1584689077132.jpg")</f>
        <v>https://www.commcarehq.org/a/demo-18/api/form/attachment/ffd0b407-a113-4ece-aa3e-a61fbeb22f31/1584689077132.jpg</v>
      </c>
      <c r="P82" t="str">
        <f>HYPERLINK("https://www.commcarehq.org/a/demo-18/api/form/attachment/ffd0b407-a113-4ece-aa3e-a61fbeb22f31/1584689090128.jpg")</f>
        <v>https://www.commcarehq.org/a/demo-18/api/form/attachment/ffd0b407-a113-4ece-aa3e-a61fbeb22f31/1584689090128.jpg</v>
      </c>
      <c r="Q82" t="str">
        <f>HYPERLINK("https://www.commcarehq.org/a/demo-18/api/form/attachment/ffd0b407-a113-4ece-aa3e-a61fbeb22f31/1584689097541.jpg")</f>
        <v>https://www.commcarehq.org/a/demo-18/api/form/attachment/ffd0b407-a113-4ece-aa3e-a61fbeb22f31/1584689097541.jpg</v>
      </c>
      <c r="R82" s="2">
        <v>43910.309016203704</v>
      </c>
      <c r="S82" s="2">
        <v>43910.307569444441</v>
      </c>
      <c r="T82" t="s">
        <v>32</v>
      </c>
      <c r="U82" s="2">
        <v>43910.309305555558</v>
      </c>
      <c r="V82" t="s">
        <v>1572</v>
      </c>
      <c r="W82" t="s">
        <v>1573</v>
      </c>
    </row>
    <row r="83" spans="1:23" x14ac:dyDescent="0.45">
      <c r="A83" t="s">
        <v>169</v>
      </c>
      <c r="B83">
        <v>5.9</v>
      </c>
      <c r="C83" s="1">
        <v>43940</v>
      </c>
      <c r="D83" s="1">
        <v>43910</v>
      </c>
      <c r="E83" t="s">
        <v>428</v>
      </c>
      <c r="F83" t="s">
        <v>429</v>
      </c>
      <c r="G83" t="s">
        <v>429</v>
      </c>
      <c r="H83" t="s">
        <v>429</v>
      </c>
      <c r="I83" t="s">
        <v>498</v>
      </c>
      <c r="J83" t="s">
        <v>428</v>
      </c>
      <c r="K83" t="s">
        <v>429</v>
      </c>
      <c r="L83" t="str">
        <f>HYPERLINK("https://www.commcarehq.org/a/demo-18/api/form/attachment/f5cb52b4-6487-45f3-a2e3-e5b4ef01c18d/1584691224497.jpg")</f>
        <v>https://www.commcarehq.org/a/demo-18/api/form/attachment/f5cb52b4-6487-45f3-a2e3-e5b4ef01c18d/1584691224497.jpg</v>
      </c>
      <c r="M83" t="str">
        <f>HYPERLINK("https://www.commcarehq.org/a/demo-18/api/form/attachment/f5cb52b4-6487-45f3-a2e3-e5b4ef01c18d/1584691255301.jpg")</f>
        <v>https://www.commcarehq.org/a/demo-18/api/form/attachment/f5cb52b4-6487-45f3-a2e3-e5b4ef01c18d/1584691255301.jpg</v>
      </c>
      <c r="N83" t="str">
        <f>HYPERLINK("https://www.commcarehq.org/a/demo-18/api/form/attachment/f5cb52b4-6487-45f3-a2e3-e5b4ef01c18d/1584691309709.jpg")</f>
        <v>https://www.commcarehq.org/a/demo-18/api/form/attachment/f5cb52b4-6487-45f3-a2e3-e5b4ef01c18d/1584691309709.jpg</v>
      </c>
      <c r="O83" t="str">
        <f>HYPERLINK("https://www.commcarehq.org/a/demo-18/api/form/attachment/f5cb52b4-6487-45f3-a2e3-e5b4ef01c18d/1584691318412.jpg")</f>
        <v>https://www.commcarehq.org/a/demo-18/api/form/attachment/f5cb52b4-6487-45f3-a2e3-e5b4ef01c18d/1584691318412.jpg</v>
      </c>
      <c r="P83" t="str">
        <f>HYPERLINK("https://www.commcarehq.org/a/demo-18/api/form/attachment/f5cb52b4-6487-45f3-a2e3-e5b4ef01c18d/1584691341683.jpg")</f>
        <v>https://www.commcarehq.org/a/demo-18/api/form/attachment/f5cb52b4-6487-45f3-a2e3-e5b4ef01c18d/1584691341683.jpg</v>
      </c>
      <c r="Q83" t="str">
        <f>HYPERLINK("https://www.commcarehq.org/a/demo-18/api/form/attachment/f5cb52b4-6487-45f3-a2e3-e5b4ef01c18d/1584691351632.jpg")</f>
        <v>https://www.commcarehq.org/a/demo-18/api/form/attachment/f5cb52b4-6487-45f3-a2e3-e5b4ef01c18d/1584691351632.jpg</v>
      </c>
      <c r="R83" s="2">
        <v>43910.335104166668</v>
      </c>
      <c r="S83" s="2">
        <v>43910.333194444444</v>
      </c>
      <c r="T83" t="s">
        <v>32</v>
      </c>
      <c r="U83" s="2">
        <v>43910.335405092592</v>
      </c>
      <c r="V83" t="s">
        <v>1584</v>
      </c>
      <c r="W83" t="s">
        <v>1585</v>
      </c>
    </row>
    <row r="84" spans="1:23" x14ac:dyDescent="0.45">
      <c r="A84" t="s">
        <v>415</v>
      </c>
      <c r="B84">
        <v>7.5</v>
      </c>
      <c r="C84" s="1">
        <v>43922</v>
      </c>
      <c r="D84" s="1">
        <v>43892</v>
      </c>
      <c r="E84" t="s">
        <v>428</v>
      </c>
      <c r="F84" t="s">
        <v>429</v>
      </c>
      <c r="G84" t="s">
        <v>429</v>
      </c>
      <c r="H84" t="s">
        <v>429</v>
      </c>
      <c r="I84" t="s">
        <v>447</v>
      </c>
      <c r="J84" t="s">
        <v>428</v>
      </c>
      <c r="K84" t="s">
        <v>429</v>
      </c>
      <c r="L84" t="str">
        <f>HYPERLINK("https://www.commcarehq.org/a/demo-18/api/form/attachment/e25f9b91-aaf1-4b68-98fb-887d8b362eaa/1583133336747.jpg")</f>
        <v>https://www.commcarehq.org/a/demo-18/api/form/attachment/e25f9b91-aaf1-4b68-98fb-887d8b362eaa/1583133336747.jpg</v>
      </c>
      <c r="M84" t="str">
        <f>HYPERLINK("https://www.commcarehq.org/a/demo-18/api/form/attachment/e25f9b91-aaf1-4b68-98fb-887d8b362eaa/1583133354455.jpg")</f>
        <v>https://www.commcarehq.org/a/demo-18/api/form/attachment/e25f9b91-aaf1-4b68-98fb-887d8b362eaa/1583133354455.jpg</v>
      </c>
      <c r="N84" t="str">
        <f>HYPERLINK("https://www.commcarehq.org/a/demo-18/api/form/attachment/e25f9b91-aaf1-4b68-98fb-887d8b362eaa/1583133421683.jpg")</f>
        <v>https://www.commcarehq.org/a/demo-18/api/form/attachment/e25f9b91-aaf1-4b68-98fb-887d8b362eaa/1583133421683.jpg</v>
      </c>
      <c r="O84" t="str">
        <f>HYPERLINK("https://www.commcarehq.org/a/demo-18/api/form/attachment/e25f9b91-aaf1-4b68-98fb-887d8b362eaa/1583133430752.jpg")</f>
        <v>https://www.commcarehq.org/a/demo-18/api/form/attachment/e25f9b91-aaf1-4b68-98fb-887d8b362eaa/1583133430752.jpg</v>
      </c>
      <c r="P84" t="str">
        <f>HYPERLINK("https://www.commcarehq.org/a/demo-18/api/form/attachment/e25f9b91-aaf1-4b68-98fb-887d8b362eaa/1583133444161.jpg")</f>
        <v>https://www.commcarehq.org/a/demo-18/api/form/attachment/e25f9b91-aaf1-4b68-98fb-887d8b362eaa/1583133444161.jpg</v>
      </c>
      <c r="Q84" t="str">
        <f>HYPERLINK("https://www.commcarehq.org/a/demo-18/api/form/attachment/e25f9b91-aaf1-4b68-98fb-887d8b362eaa/1583133452952.jpg")</f>
        <v>https://www.commcarehq.org/a/demo-18/api/form/attachment/e25f9b91-aaf1-4b68-98fb-887d8b362eaa/1583133452952.jpg</v>
      </c>
      <c r="R84" s="2">
        <v>43892.303865740738</v>
      </c>
      <c r="S84" s="2">
        <v>43892.301770833335</v>
      </c>
      <c r="T84" t="s">
        <v>32</v>
      </c>
      <c r="U84" s="2">
        <v>43892.304062499999</v>
      </c>
      <c r="V84" t="s">
        <v>1608</v>
      </c>
      <c r="W84" t="s">
        <v>1609</v>
      </c>
    </row>
    <row r="85" spans="1:23" x14ac:dyDescent="0.45">
      <c r="A85" t="s">
        <v>244</v>
      </c>
      <c r="B85">
        <v>6.8</v>
      </c>
      <c r="C85" s="1">
        <v>43940</v>
      </c>
      <c r="D85" s="1">
        <v>43910</v>
      </c>
      <c r="E85" t="s">
        <v>428</v>
      </c>
      <c r="F85" t="s">
        <v>429</v>
      </c>
      <c r="G85" t="s">
        <v>429</v>
      </c>
      <c r="H85" t="s">
        <v>429</v>
      </c>
      <c r="I85" t="s">
        <v>1321</v>
      </c>
      <c r="J85" t="s">
        <v>428</v>
      </c>
      <c r="K85" t="s">
        <v>429</v>
      </c>
      <c r="L85" t="str">
        <f>HYPERLINK("https://www.commcarehq.org/a/demo-18/api/form/attachment/db08f7b2-483a-4d5b-a309-0ea36dbb238d/1584694580988.jpg")</f>
        <v>https://www.commcarehq.org/a/demo-18/api/form/attachment/db08f7b2-483a-4d5b-a309-0ea36dbb238d/1584694580988.jpg</v>
      </c>
      <c r="M85" t="str">
        <f>HYPERLINK("https://www.commcarehq.org/a/demo-18/api/form/attachment/db08f7b2-483a-4d5b-a309-0ea36dbb238d/1584694595929.jpg")</f>
        <v>https://www.commcarehq.org/a/demo-18/api/form/attachment/db08f7b2-483a-4d5b-a309-0ea36dbb238d/1584694595929.jpg</v>
      </c>
      <c r="N85" t="str">
        <f>HYPERLINK("https://www.commcarehq.org/a/demo-18/api/form/attachment/db08f7b2-483a-4d5b-a309-0ea36dbb238d/1584694635331.jpg")</f>
        <v>https://www.commcarehq.org/a/demo-18/api/form/attachment/db08f7b2-483a-4d5b-a309-0ea36dbb238d/1584694635331.jpg</v>
      </c>
      <c r="O85" t="str">
        <f>HYPERLINK("https://www.commcarehq.org/a/demo-18/api/form/attachment/db08f7b2-483a-4d5b-a309-0ea36dbb238d/1584694643684.jpg")</f>
        <v>https://www.commcarehq.org/a/demo-18/api/form/attachment/db08f7b2-483a-4d5b-a309-0ea36dbb238d/1584694643684.jpg</v>
      </c>
      <c r="P85" t="str">
        <f>HYPERLINK("https://www.commcarehq.org/a/demo-18/api/form/attachment/db08f7b2-483a-4d5b-a309-0ea36dbb238d/1584694669425.jpg")</f>
        <v>https://www.commcarehq.org/a/demo-18/api/form/attachment/db08f7b2-483a-4d5b-a309-0ea36dbb238d/1584694669425.jpg</v>
      </c>
      <c r="Q85" t="str">
        <f>HYPERLINK("https://www.commcarehq.org/a/demo-18/api/form/attachment/db08f7b2-483a-4d5b-a309-0ea36dbb238d/1584694678415.jpg")</f>
        <v>https://www.commcarehq.org/a/demo-18/api/form/attachment/db08f7b2-483a-4d5b-a309-0ea36dbb238d/1584694678415.jpg</v>
      </c>
      <c r="R85" s="2">
        <v>43910.373599537037</v>
      </c>
      <c r="S85" s="2">
        <v>43910.37164351852</v>
      </c>
      <c r="T85" t="s">
        <v>32</v>
      </c>
      <c r="U85" s="2">
        <v>43910.417650462965</v>
      </c>
      <c r="V85" t="s">
        <v>1604</v>
      </c>
      <c r="W85" t="s">
        <v>1605</v>
      </c>
    </row>
    <row r="86" spans="1:23" x14ac:dyDescent="0.45">
      <c r="A86" t="s">
        <v>283</v>
      </c>
      <c r="B86">
        <v>5.6</v>
      </c>
      <c r="C86" s="1">
        <v>43939</v>
      </c>
      <c r="D86" s="1">
        <v>43909</v>
      </c>
      <c r="E86" t="s">
        <v>428</v>
      </c>
      <c r="F86" t="s">
        <v>429</v>
      </c>
      <c r="G86" t="s">
        <v>429</v>
      </c>
      <c r="H86" t="s">
        <v>429</v>
      </c>
      <c r="I86" t="s">
        <v>579</v>
      </c>
      <c r="J86" t="s">
        <v>428</v>
      </c>
      <c r="K86" t="s">
        <v>429</v>
      </c>
      <c r="L86" t="str">
        <f>HYPERLINK("https://www.commcarehq.org/a/demo-18/api/form/attachment/4b21ffb1-fdc7-45a4-813e-34b797b4b07b/1584604250953.jpg")</f>
        <v>https://www.commcarehq.org/a/demo-18/api/form/attachment/4b21ffb1-fdc7-45a4-813e-34b797b4b07b/1584604250953.jpg</v>
      </c>
      <c r="M86" t="str">
        <f>HYPERLINK("https://www.commcarehq.org/a/demo-18/api/form/attachment/4b21ffb1-fdc7-45a4-813e-34b797b4b07b/1584604266538.jpg")</f>
        <v>https://www.commcarehq.org/a/demo-18/api/form/attachment/4b21ffb1-fdc7-45a4-813e-34b797b4b07b/1584604266538.jpg</v>
      </c>
      <c r="N86" t="str">
        <f>HYPERLINK("https://www.commcarehq.org/a/demo-18/api/form/attachment/4b21ffb1-fdc7-45a4-813e-34b797b4b07b/1584604290931.jpg")</f>
        <v>https://www.commcarehq.org/a/demo-18/api/form/attachment/4b21ffb1-fdc7-45a4-813e-34b797b4b07b/1584604290931.jpg</v>
      </c>
      <c r="O86" t="str">
        <f>HYPERLINK("https://www.commcarehq.org/a/demo-18/api/form/attachment/4b21ffb1-fdc7-45a4-813e-34b797b4b07b/1584604299444.jpg")</f>
        <v>https://www.commcarehq.org/a/demo-18/api/form/attachment/4b21ffb1-fdc7-45a4-813e-34b797b4b07b/1584604299444.jpg</v>
      </c>
      <c r="P86" t="str">
        <f>HYPERLINK("https://www.commcarehq.org/a/demo-18/api/form/attachment/4b21ffb1-fdc7-45a4-813e-34b797b4b07b/1584604315740.jpg")</f>
        <v>https://www.commcarehq.org/a/demo-18/api/form/attachment/4b21ffb1-fdc7-45a4-813e-34b797b4b07b/1584604315740.jpg</v>
      </c>
      <c r="Q86" t="str">
        <f>HYPERLINK("https://www.commcarehq.org/a/demo-18/api/form/attachment/4b21ffb1-fdc7-45a4-813e-34b797b4b07b/1584604325177.jpg")</f>
        <v>https://www.commcarehq.org/a/demo-18/api/form/attachment/4b21ffb1-fdc7-45a4-813e-34b797b4b07b/1584604325177.jpg</v>
      </c>
      <c r="R86" s="2">
        <v>43909.327847222223</v>
      </c>
      <c r="S86" s="2">
        <v>43909.326527777775</v>
      </c>
      <c r="T86" t="s">
        <v>32</v>
      </c>
      <c r="U86" s="2">
        <v>43909.329432870371</v>
      </c>
      <c r="V86" t="s">
        <v>1592</v>
      </c>
      <c r="W86" t="s">
        <v>1593</v>
      </c>
    </row>
    <row r="87" spans="1:23" x14ac:dyDescent="0.45">
      <c r="A87" t="s">
        <v>418</v>
      </c>
      <c r="B87">
        <v>5.5</v>
      </c>
      <c r="C87" s="1">
        <v>43943</v>
      </c>
      <c r="D87" s="1">
        <v>43913</v>
      </c>
      <c r="E87" t="s">
        <v>428</v>
      </c>
      <c r="F87" t="s">
        <v>429</v>
      </c>
      <c r="G87" t="s">
        <v>429</v>
      </c>
      <c r="H87" t="s">
        <v>429</v>
      </c>
      <c r="I87" t="s">
        <v>579</v>
      </c>
      <c r="J87" t="s">
        <v>428</v>
      </c>
      <c r="K87" t="s">
        <v>429</v>
      </c>
      <c r="L87" t="str">
        <f>HYPERLINK("https://www.commcarehq.org/a/demo-18/api/form/attachment/a5f3be2c-ea7f-4c24-8bee-6304674a526f/1584955285930.jpg")</f>
        <v>https://www.commcarehq.org/a/demo-18/api/form/attachment/a5f3be2c-ea7f-4c24-8bee-6304674a526f/1584955285930.jpg</v>
      </c>
      <c r="M87" t="str">
        <f>HYPERLINK("https://www.commcarehq.org/a/demo-18/api/form/attachment/a5f3be2c-ea7f-4c24-8bee-6304674a526f/1584955305974.jpg")</f>
        <v>https://www.commcarehq.org/a/demo-18/api/form/attachment/a5f3be2c-ea7f-4c24-8bee-6304674a526f/1584955305974.jpg</v>
      </c>
      <c r="N87" t="str">
        <f>HYPERLINK("https://www.commcarehq.org/a/demo-18/api/form/attachment/a5f3be2c-ea7f-4c24-8bee-6304674a526f/1584955343033.jpg")</f>
        <v>https://www.commcarehq.org/a/demo-18/api/form/attachment/a5f3be2c-ea7f-4c24-8bee-6304674a526f/1584955343033.jpg</v>
      </c>
      <c r="O87" t="str">
        <f>HYPERLINK("https://www.commcarehq.org/a/demo-18/api/form/attachment/a5f3be2c-ea7f-4c24-8bee-6304674a526f/1584955351427.jpg")</f>
        <v>https://www.commcarehq.org/a/demo-18/api/form/attachment/a5f3be2c-ea7f-4c24-8bee-6304674a526f/1584955351427.jpg</v>
      </c>
      <c r="P87" t="str">
        <f>HYPERLINK("https://www.commcarehq.org/a/demo-18/api/form/attachment/a5f3be2c-ea7f-4c24-8bee-6304674a526f/1584955363934.jpg")</f>
        <v>https://www.commcarehq.org/a/demo-18/api/form/attachment/a5f3be2c-ea7f-4c24-8bee-6304674a526f/1584955363934.jpg</v>
      </c>
      <c r="Q87" t="str">
        <f>HYPERLINK("https://www.commcarehq.org/a/demo-18/api/form/attachment/a5f3be2c-ea7f-4c24-8bee-6304674a526f/1584955372847.jpg")</f>
        <v>https://www.commcarehq.org/a/demo-18/api/form/attachment/a5f3be2c-ea7f-4c24-8bee-6304674a526f/1584955372847.jpg</v>
      </c>
      <c r="R87" s="2">
        <v>43913.390902777777</v>
      </c>
      <c r="S87" s="2">
        <v>43913.389386574076</v>
      </c>
      <c r="T87" t="s">
        <v>32</v>
      </c>
      <c r="U87" s="2">
        <v>43913.391250000001</v>
      </c>
      <c r="V87" t="s">
        <v>1580</v>
      </c>
      <c r="W87" t="s">
        <v>1581</v>
      </c>
    </row>
    <row r="88" spans="1:23" x14ac:dyDescent="0.45">
      <c r="A88" t="s">
        <v>101</v>
      </c>
      <c r="B88">
        <v>4.5</v>
      </c>
      <c r="C88" s="1">
        <v>43938</v>
      </c>
      <c r="D88" s="1">
        <v>43908</v>
      </c>
      <c r="E88" t="s">
        <v>428</v>
      </c>
      <c r="F88" t="s">
        <v>429</v>
      </c>
      <c r="G88" t="s">
        <v>429</v>
      </c>
      <c r="H88" t="s">
        <v>429</v>
      </c>
      <c r="I88" t="s">
        <v>1321</v>
      </c>
      <c r="J88" t="s">
        <v>428</v>
      </c>
      <c r="K88" t="s">
        <v>429</v>
      </c>
      <c r="L88" t="str">
        <f>HYPERLINK("https://www.commcarehq.org/a/demo-18/api/form/attachment/02e02601-8fea-4636-a1e7-87b8125c80be/1584517276346.jpg")</f>
        <v>https://www.commcarehq.org/a/demo-18/api/form/attachment/02e02601-8fea-4636-a1e7-87b8125c80be/1584517276346.jpg</v>
      </c>
      <c r="M88" t="str">
        <f>HYPERLINK("https://www.commcarehq.org/a/demo-18/api/form/attachment/02e02601-8fea-4636-a1e7-87b8125c80be/1584517290087.jpg")</f>
        <v>https://www.commcarehq.org/a/demo-18/api/form/attachment/02e02601-8fea-4636-a1e7-87b8125c80be/1584517290087.jpg</v>
      </c>
      <c r="N88" t="str">
        <f>HYPERLINK("https://www.commcarehq.org/a/demo-18/api/form/attachment/02e02601-8fea-4636-a1e7-87b8125c80be/1584517325490.jpg")</f>
        <v>https://www.commcarehq.org/a/demo-18/api/form/attachment/02e02601-8fea-4636-a1e7-87b8125c80be/1584517325490.jpg</v>
      </c>
      <c r="O88" t="str">
        <f>HYPERLINK("https://www.commcarehq.org/a/demo-18/api/form/attachment/02e02601-8fea-4636-a1e7-87b8125c80be/1584517335233.jpg")</f>
        <v>https://www.commcarehq.org/a/demo-18/api/form/attachment/02e02601-8fea-4636-a1e7-87b8125c80be/1584517335233.jpg</v>
      </c>
      <c r="P88" t="str">
        <f>HYPERLINK("https://www.commcarehq.org/a/demo-18/api/form/attachment/02e02601-8fea-4636-a1e7-87b8125c80be/1584517351789.jpg")</f>
        <v>https://www.commcarehq.org/a/demo-18/api/form/attachment/02e02601-8fea-4636-a1e7-87b8125c80be/1584517351789.jpg</v>
      </c>
      <c r="Q88" t="str">
        <f>HYPERLINK("https://www.commcarehq.org/a/demo-18/api/form/attachment/02e02601-8fea-4636-a1e7-87b8125c80be/1584517360078.jpg")</f>
        <v>https://www.commcarehq.org/a/demo-18/api/form/attachment/02e02601-8fea-4636-a1e7-87b8125c80be/1584517360078.jpg</v>
      </c>
      <c r="R88" s="2">
        <v>43908.32130787037</v>
      </c>
      <c r="S88" s="2">
        <v>43908.319849537038</v>
      </c>
      <c r="T88" t="s">
        <v>32</v>
      </c>
      <c r="U88" s="2">
        <v>43908.341180555559</v>
      </c>
      <c r="V88" s="3" t="s">
        <v>1619</v>
      </c>
      <c r="W88" t="s">
        <v>1620</v>
      </c>
    </row>
    <row r="89" spans="1:23" x14ac:dyDescent="0.45">
      <c r="A89" t="s">
        <v>28</v>
      </c>
      <c r="B89">
        <v>6.6</v>
      </c>
      <c r="C89" s="1">
        <v>43905</v>
      </c>
      <c r="D89" s="1">
        <v>43875</v>
      </c>
      <c r="E89" t="s">
        <v>428</v>
      </c>
      <c r="F89" t="s">
        <v>429</v>
      </c>
      <c r="G89" t="s">
        <v>429</v>
      </c>
      <c r="H89" t="s">
        <v>429</v>
      </c>
      <c r="I89" t="s">
        <v>1310</v>
      </c>
      <c r="J89" t="s">
        <v>428</v>
      </c>
      <c r="K89" t="s">
        <v>429</v>
      </c>
      <c r="L89" t="str">
        <f>HYPERLINK("https://www.commcarehq.org/a/demo-18/api/form/attachment/6c3f41ce-8e90-4246-8c49-f2a93cee67ef/1581668106392.jpg")</f>
        <v>https://www.commcarehq.org/a/demo-18/api/form/attachment/6c3f41ce-8e90-4246-8c49-f2a93cee67ef/1581668106392.jpg</v>
      </c>
      <c r="M89" t="str">
        <f>HYPERLINK("https://www.commcarehq.org/a/demo-18/api/form/attachment/6c3f41ce-8e90-4246-8c49-f2a93cee67ef/1581668121914.jpg")</f>
        <v>https://www.commcarehq.org/a/demo-18/api/form/attachment/6c3f41ce-8e90-4246-8c49-f2a93cee67ef/1581668121914.jpg</v>
      </c>
      <c r="N89" t="str">
        <f>HYPERLINK("https://www.commcarehq.org/a/demo-18/api/form/attachment/6c3f41ce-8e90-4246-8c49-f2a93cee67ef/1581668163835.jpg")</f>
        <v>https://www.commcarehq.org/a/demo-18/api/form/attachment/6c3f41ce-8e90-4246-8c49-f2a93cee67ef/1581668163835.jpg</v>
      </c>
      <c r="O89" t="str">
        <f>HYPERLINK("https://www.commcarehq.org/a/demo-18/api/form/attachment/6c3f41ce-8e90-4246-8c49-f2a93cee67ef/1581668173428.jpg")</f>
        <v>https://www.commcarehq.org/a/demo-18/api/form/attachment/6c3f41ce-8e90-4246-8c49-f2a93cee67ef/1581668173428.jpg</v>
      </c>
      <c r="P89" t="str">
        <f>HYPERLINK("https://www.commcarehq.org/a/demo-18/api/form/attachment/6c3f41ce-8e90-4246-8c49-f2a93cee67ef/1581668198477.jpg")</f>
        <v>https://www.commcarehq.org/a/demo-18/api/form/attachment/6c3f41ce-8e90-4246-8c49-f2a93cee67ef/1581668198477.jpg</v>
      </c>
      <c r="Q89" t="str">
        <f>HYPERLINK("https://www.commcarehq.org/a/demo-18/api/form/attachment/6c3f41ce-8e90-4246-8c49-f2a93cee67ef/1581668213346.jpg")</f>
        <v>https://www.commcarehq.org/a/demo-18/api/form/attachment/6c3f41ce-8e90-4246-8c49-f2a93cee67ef/1581668213346.jpg</v>
      </c>
      <c r="R89" s="2">
        <v>43875.345092592594</v>
      </c>
      <c r="S89" s="2">
        <v>43875.3434375</v>
      </c>
      <c r="T89" t="s">
        <v>32</v>
      </c>
      <c r="U89" s="2">
        <v>43875.345300925925</v>
      </c>
      <c r="V89" t="s">
        <v>1435</v>
      </c>
      <c r="W89" t="s">
        <v>1436</v>
      </c>
    </row>
    <row r="90" spans="1:23" x14ac:dyDescent="0.45">
      <c r="A90" t="s">
        <v>110</v>
      </c>
      <c r="B90">
        <v>7.4</v>
      </c>
      <c r="C90" s="1">
        <v>43905</v>
      </c>
      <c r="D90" s="1">
        <v>43875</v>
      </c>
      <c r="E90" t="s">
        <v>428</v>
      </c>
      <c r="F90" t="s">
        <v>429</v>
      </c>
      <c r="G90" t="s">
        <v>429</v>
      </c>
      <c r="H90" t="s">
        <v>429</v>
      </c>
      <c r="I90" t="s">
        <v>447</v>
      </c>
      <c r="J90" t="s">
        <v>428</v>
      </c>
      <c r="K90" t="s">
        <v>429</v>
      </c>
      <c r="L90" t="str">
        <f>HYPERLINK("https://www.commcarehq.org/a/demo-18/api/form/attachment/bdebe167-cf1a-406c-ac92-98f341078e3c/1581667417703.jpg")</f>
        <v>https://www.commcarehq.org/a/demo-18/api/form/attachment/bdebe167-cf1a-406c-ac92-98f341078e3c/1581667417703.jpg</v>
      </c>
      <c r="M90" t="str">
        <f>HYPERLINK("https://www.commcarehq.org/a/demo-18/api/form/attachment/bdebe167-cf1a-406c-ac92-98f341078e3c/1581667434347.jpg")</f>
        <v>https://www.commcarehq.org/a/demo-18/api/form/attachment/bdebe167-cf1a-406c-ac92-98f341078e3c/1581667434347.jpg</v>
      </c>
      <c r="N90" t="str">
        <f>HYPERLINK("https://www.commcarehq.org/a/demo-18/api/form/attachment/bdebe167-cf1a-406c-ac92-98f341078e3c/1581667509059.jpg")</f>
        <v>https://www.commcarehq.org/a/demo-18/api/form/attachment/bdebe167-cf1a-406c-ac92-98f341078e3c/1581667509059.jpg</v>
      </c>
      <c r="O90" t="str">
        <f>HYPERLINK("https://www.commcarehq.org/a/demo-18/api/form/attachment/bdebe167-cf1a-406c-ac92-98f341078e3c/1581667519346.jpg")</f>
        <v>https://www.commcarehq.org/a/demo-18/api/form/attachment/bdebe167-cf1a-406c-ac92-98f341078e3c/1581667519346.jpg</v>
      </c>
      <c r="P90" t="str">
        <f>HYPERLINK("https://www.commcarehq.org/a/demo-18/api/form/attachment/bdebe167-cf1a-406c-ac92-98f341078e3c/1581667533481.jpg")</f>
        <v>https://www.commcarehq.org/a/demo-18/api/form/attachment/bdebe167-cf1a-406c-ac92-98f341078e3c/1581667533481.jpg</v>
      </c>
      <c r="Q90" t="str">
        <f>HYPERLINK("https://www.commcarehq.org/a/demo-18/api/form/attachment/bdebe167-cf1a-406c-ac92-98f341078e3c/1581667541192.jpg")</f>
        <v>https://www.commcarehq.org/a/demo-18/api/form/attachment/bdebe167-cf1a-406c-ac92-98f341078e3c/1581667541192.jpg</v>
      </c>
      <c r="R90" s="2">
        <v>43875.337291666663</v>
      </c>
      <c r="S90" s="2">
        <v>43875.335509259261</v>
      </c>
      <c r="T90" t="s">
        <v>32</v>
      </c>
      <c r="U90" s="2">
        <v>43875.337569444448</v>
      </c>
      <c r="V90" t="s">
        <v>1385</v>
      </c>
      <c r="W90" t="s">
        <v>1386</v>
      </c>
    </row>
    <row r="91" spans="1:23" x14ac:dyDescent="0.45">
      <c r="A91" t="s">
        <v>274</v>
      </c>
      <c r="B91">
        <v>6.7</v>
      </c>
      <c r="C91" s="1">
        <v>43910</v>
      </c>
      <c r="D91" s="1">
        <v>43880</v>
      </c>
      <c r="E91" t="s">
        <v>428</v>
      </c>
      <c r="F91" t="s">
        <v>429</v>
      </c>
      <c r="G91" t="s">
        <v>429</v>
      </c>
      <c r="H91" t="s">
        <v>429</v>
      </c>
      <c r="I91" t="s">
        <v>1142</v>
      </c>
      <c r="J91" t="s">
        <v>428</v>
      </c>
      <c r="K91" t="s">
        <v>429</v>
      </c>
      <c r="L91" t="str">
        <f>HYPERLINK("https://www.commcarehq.org/a/demo-18/api/form/attachment/408d32ee-3551-477c-a596-f8d771c4ffa7/1582098409107.jpg")</f>
        <v>https://www.commcarehq.org/a/demo-18/api/form/attachment/408d32ee-3551-477c-a596-f8d771c4ffa7/1582098409107.jpg</v>
      </c>
      <c r="M91" t="str">
        <f>HYPERLINK("https://www.commcarehq.org/a/demo-18/api/form/attachment/408d32ee-3551-477c-a596-f8d771c4ffa7/1582098426242.jpg")</f>
        <v>https://www.commcarehq.org/a/demo-18/api/form/attachment/408d32ee-3551-477c-a596-f8d771c4ffa7/1582098426242.jpg</v>
      </c>
      <c r="N91" t="str">
        <f>HYPERLINK("https://www.commcarehq.org/a/demo-18/api/form/attachment/408d32ee-3551-477c-a596-f8d771c4ffa7/1582098455654.jpg")</f>
        <v>https://www.commcarehq.org/a/demo-18/api/form/attachment/408d32ee-3551-477c-a596-f8d771c4ffa7/1582098455654.jpg</v>
      </c>
      <c r="O91" t="str">
        <f>HYPERLINK("https://www.commcarehq.org/a/demo-18/api/form/attachment/408d32ee-3551-477c-a596-f8d771c4ffa7/1582098463533.jpg")</f>
        <v>https://www.commcarehq.org/a/demo-18/api/form/attachment/408d32ee-3551-477c-a596-f8d771c4ffa7/1582098463533.jpg</v>
      </c>
      <c r="P91" t="str">
        <f>HYPERLINK("https://www.commcarehq.org/a/demo-18/api/form/attachment/408d32ee-3551-477c-a596-f8d771c4ffa7/1582098482330.jpg")</f>
        <v>https://www.commcarehq.org/a/demo-18/api/form/attachment/408d32ee-3551-477c-a596-f8d771c4ffa7/1582098482330.jpg</v>
      </c>
      <c r="Q91" t="str">
        <f>HYPERLINK("https://www.commcarehq.org/a/demo-18/api/form/attachment/408d32ee-3551-477c-a596-f8d771c4ffa7/1582098492302.jpg")</f>
        <v>https://www.commcarehq.org/a/demo-18/api/form/attachment/408d32ee-3551-477c-a596-f8d771c4ffa7/1582098492302.jpg</v>
      </c>
      <c r="R91" s="2">
        <v>43880.325162037036</v>
      </c>
      <c r="S91" s="2">
        <v>43880.323657407411</v>
      </c>
      <c r="T91" t="s">
        <v>32</v>
      </c>
      <c r="U91" s="2">
        <v>43880.325439814813</v>
      </c>
      <c r="V91" t="s">
        <v>1439</v>
      </c>
      <c r="W91" t="s">
        <v>1440</v>
      </c>
    </row>
    <row r="92" spans="1:23" x14ac:dyDescent="0.45">
      <c r="A92" t="s">
        <v>343</v>
      </c>
      <c r="B92">
        <v>6.1</v>
      </c>
      <c r="C92" s="1">
        <v>43911</v>
      </c>
      <c r="D92" s="1">
        <v>43881</v>
      </c>
      <c r="E92" t="s">
        <v>428</v>
      </c>
      <c r="F92" t="s">
        <v>429</v>
      </c>
      <c r="G92" t="s">
        <v>429</v>
      </c>
      <c r="H92" t="s">
        <v>429</v>
      </c>
      <c r="I92" t="s">
        <v>498</v>
      </c>
      <c r="J92" t="s">
        <v>428</v>
      </c>
      <c r="K92" t="s">
        <v>429</v>
      </c>
      <c r="L92" t="str">
        <f>HYPERLINK("https://www.commcarehq.org/a/demo-18/api/form/attachment/0d2c61da-559d-4c0c-b9cc-bc1840fb3906/1582181738241.jpg")</f>
        <v>https://www.commcarehq.org/a/demo-18/api/form/attachment/0d2c61da-559d-4c0c-b9cc-bc1840fb3906/1582181738241.jpg</v>
      </c>
      <c r="M92" t="str">
        <f>HYPERLINK("https://www.commcarehq.org/a/demo-18/api/form/attachment/0d2c61da-559d-4c0c-b9cc-bc1840fb3906/1582181754970.jpg")</f>
        <v>https://www.commcarehq.org/a/demo-18/api/form/attachment/0d2c61da-559d-4c0c-b9cc-bc1840fb3906/1582181754970.jpg</v>
      </c>
      <c r="N92" t="str">
        <f>HYPERLINK("https://www.commcarehq.org/a/demo-18/api/form/attachment/0d2c61da-559d-4c0c-b9cc-bc1840fb3906/1582181798138.jpg")</f>
        <v>https://www.commcarehq.org/a/demo-18/api/form/attachment/0d2c61da-559d-4c0c-b9cc-bc1840fb3906/1582181798138.jpg</v>
      </c>
      <c r="O92" t="str">
        <f>HYPERLINK("https://www.commcarehq.org/a/demo-18/api/form/attachment/0d2c61da-559d-4c0c-b9cc-bc1840fb3906/1582181807750.jpg")</f>
        <v>https://www.commcarehq.org/a/demo-18/api/form/attachment/0d2c61da-559d-4c0c-b9cc-bc1840fb3906/1582181807750.jpg</v>
      </c>
      <c r="P92" t="str">
        <f>HYPERLINK("https://www.commcarehq.org/a/demo-18/api/form/attachment/0d2c61da-559d-4c0c-b9cc-bc1840fb3906/1582181829617.jpg")</f>
        <v>https://www.commcarehq.org/a/demo-18/api/form/attachment/0d2c61da-559d-4c0c-b9cc-bc1840fb3906/1582181829617.jpg</v>
      </c>
      <c r="Q92" t="str">
        <f>HYPERLINK("https://www.commcarehq.org/a/demo-18/api/form/attachment/0d2c61da-559d-4c0c-b9cc-bc1840fb3906/1582181839035.jpg")</f>
        <v>https://www.commcarehq.org/a/demo-18/api/form/attachment/0d2c61da-559d-4c0c-b9cc-bc1840fb3906/1582181839035.jpg</v>
      </c>
      <c r="R92" s="2">
        <v>43881.289814814816</v>
      </c>
      <c r="S92" s="2">
        <v>43881.288356481484</v>
      </c>
      <c r="T92" t="s">
        <v>32</v>
      </c>
      <c r="U92" s="2">
        <v>43881.290081018517</v>
      </c>
      <c r="V92" t="s">
        <v>1437</v>
      </c>
      <c r="W92" t="s">
        <v>1438</v>
      </c>
    </row>
    <row r="93" spans="1:23" x14ac:dyDescent="0.45">
      <c r="A93" t="s">
        <v>352</v>
      </c>
      <c r="B93">
        <v>6.8</v>
      </c>
      <c r="C93" s="1">
        <v>43910</v>
      </c>
      <c r="D93" s="1">
        <v>43880</v>
      </c>
      <c r="E93" t="s">
        <v>428</v>
      </c>
      <c r="F93" t="s">
        <v>429</v>
      </c>
      <c r="G93" t="s">
        <v>429</v>
      </c>
      <c r="H93" t="s">
        <v>429</v>
      </c>
      <c r="I93" t="s">
        <v>447</v>
      </c>
      <c r="J93" t="s">
        <v>428</v>
      </c>
      <c r="K93" t="s">
        <v>429</v>
      </c>
      <c r="L93" t="str">
        <f>HYPERLINK("https://www.commcarehq.org/a/demo-18/api/form/attachment/c712e2ea-04da-4895-9691-ec496733abfa/1582098143143.jpg")</f>
        <v>https://www.commcarehq.org/a/demo-18/api/form/attachment/c712e2ea-04da-4895-9691-ec496733abfa/1582098143143.jpg</v>
      </c>
      <c r="M93" t="str">
        <f>HYPERLINK("https://www.commcarehq.org/a/demo-18/api/form/attachment/c712e2ea-04da-4895-9691-ec496733abfa/1582098157127.jpg")</f>
        <v>https://www.commcarehq.org/a/demo-18/api/form/attachment/c712e2ea-04da-4895-9691-ec496733abfa/1582098157127.jpg</v>
      </c>
      <c r="N93" t="str">
        <f>HYPERLINK("https://www.commcarehq.org/a/demo-18/api/form/attachment/c712e2ea-04da-4895-9691-ec496733abfa/1582098180036.jpg")</f>
        <v>https://www.commcarehq.org/a/demo-18/api/form/attachment/c712e2ea-04da-4895-9691-ec496733abfa/1582098180036.jpg</v>
      </c>
      <c r="O93" t="str">
        <f>HYPERLINK("https://www.commcarehq.org/a/demo-18/api/form/attachment/c712e2ea-04da-4895-9691-ec496733abfa/1582098188559.jpg")</f>
        <v>https://www.commcarehq.org/a/demo-18/api/form/attachment/c712e2ea-04da-4895-9691-ec496733abfa/1582098188559.jpg</v>
      </c>
      <c r="P93" t="str">
        <f>HYPERLINK("https://www.commcarehq.org/a/demo-18/api/form/attachment/c712e2ea-04da-4895-9691-ec496733abfa/1582098207147.jpg")</f>
        <v>https://www.commcarehq.org/a/demo-18/api/form/attachment/c712e2ea-04da-4895-9691-ec496733abfa/1582098207147.jpg</v>
      </c>
      <c r="Q93" t="str">
        <f>HYPERLINK("https://www.commcarehq.org/a/demo-18/api/form/attachment/c712e2ea-04da-4895-9691-ec496733abfa/1582098216682.jpg")</f>
        <v>https://www.commcarehq.org/a/demo-18/api/form/attachment/c712e2ea-04da-4895-9691-ec496733abfa/1582098216682.jpg</v>
      </c>
      <c r="R93" s="2">
        <v>43880.321967592594</v>
      </c>
      <c r="S93" s="2">
        <v>43880.320833333331</v>
      </c>
      <c r="T93" t="s">
        <v>32</v>
      </c>
      <c r="U93" s="2">
        <v>43880.322245370371</v>
      </c>
      <c r="V93" s="3" t="s">
        <v>1391</v>
      </c>
      <c r="W93" t="s">
        <v>1392</v>
      </c>
    </row>
    <row r="94" spans="1:23" x14ac:dyDescent="0.45">
      <c r="A94" t="s">
        <v>220</v>
      </c>
      <c r="B94">
        <v>5.9</v>
      </c>
      <c r="C94" s="1">
        <v>43908</v>
      </c>
      <c r="D94" s="1">
        <v>43878</v>
      </c>
      <c r="E94" t="s">
        <v>428</v>
      </c>
      <c r="F94" t="s">
        <v>429</v>
      </c>
      <c r="G94" t="s">
        <v>429</v>
      </c>
      <c r="H94" t="s">
        <v>429</v>
      </c>
      <c r="I94" t="s">
        <v>498</v>
      </c>
      <c r="J94" t="s">
        <v>428</v>
      </c>
      <c r="K94" t="s">
        <v>429</v>
      </c>
      <c r="L94" t="str">
        <f>HYPERLINK("https://www.commcarehq.org/a/demo-18/api/form/attachment/782d9cc1-55f1-44e7-896e-f309f348c64b/1581926699359.jpg")</f>
        <v>https://www.commcarehq.org/a/demo-18/api/form/attachment/782d9cc1-55f1-44e7-896e-f309f348c64b/1581926699359.jpg</v>
      </c>
      <c r="M94" t="str">
        <f>HYPERLINK("https://www.commcarehq.org/a/demo-18/api/form/attachment/782d9cc1-55f1-44e7-896e-f309f348c64b/1581926714363.jpg")</f>
        <v>https://www.commcarehq.org/a/demo-18/api/form/attachment/782d9cc1-55f1-44e7-896e-f309f348c64b/1581926714363.jpg</v>
      </c>
      <c r="N94" t="str">
        <f>HYPERLINK("https://www.commcarehq.org/a/demo-18/api/form/attachment/782d9cc1-55f1-44e7-896e-f309f348c64b/1581926741625.jpg")</f>
        <v>https://www.commcarehq.org/a/demo-18/api/form/attachment/782d9cc1-55f1-44e7-896e-f309f348c64b/1581926741625.jpg</v>
      </c>
      <c r="O94" t="str">
        <f>HYPERLINK("https://www.commcarehq.org/a/demo-18/api/form/attachment/782d9cc1-55f1-44e7-896e-f309f348c64b/1581926750206.jpg")</f>
        <v>https://www.commcarehq.org/a/demo-18/api/form/attachment/782d9cc1-55f1-44e7-896e-f309f348c64b/1581926750206.jpg</v>
      </c>
      <c r="P94" t="str">
        <f>HYPERLINK("https://www.commcarehq.org/a/demo-18/api/form/attachment/782d9cc1-55f1-44e7-896e-f309f348c64b/1581926764932.jpg")</f>
        <v>https://www.commcarehq.org/a/demo-18/api/form/attachment/782d9cc1-55f1-44e7-896e-f309f348c64b/1581926764932.jpg</v>
      </c>
      <c r="Q94" t="str">
        <f>HYPERLINK("https://www.commcarehq.org/a/demo-18/api/form/attachment/782d9cc1-55f1-44e7-896e-f309f348c64b/1581926789257.jpg")</f>
        <v>https://www.commcarehq.org/a/demo-18/api/form/attachment/782d9cc1-55f1-44e7-896e-f309f348c64b/1581926789257.jpg</v>
      </c>
      <c r="R94" s="2">
        <v>43878.337870370371</v>
      </c>
      <c r="S94" s="2">
        <v>43878.336377314816</v>
      </c>
      <c r="T94" t="s">
        <v>32</v>
      </c>
      <c r="U94" s="2">
        <v>43878.441342592596</v>
      </c>
      <c r="V94" t="s">
        <v>1365</v>
      </c>
      <c r="W94" t="s">
        <v>1366</v>
      </c>
    </row>
    <row r="95" spans="1:23" x14ac:dyDescent="0.45">
      <c r="A95" t="s">
        <v>349</v>
      </c>
      <c r="B95">
        <v>6.8</v>
      </c>
      <c r="C95" s="1">
        <v>43910</v>
      </c>
      <c r="D95" s="1">
        <v>43880</v>
      </c>
      <c r="E95" t="s">
        <v>428</v>
      </c>
      <c r="F95" t="s">
        <v>429</v>
      </c>
      <c r="G95" t="s">
        <v>429</v>
      </c>
      <c r="H95" t="s">
        <v>429</v>
      </c>
      <c r="I95" t="s">
        <v>626</v>
      </c>
      <c r="J95" t="s">
        <v>428</v>
      </c>
      <c r="K95" t="s">
        <v>429</v>
      </c>
      <c r="L95" t="str">
        <f>HYPERLINK("https://www.commcarehq.org/a/demo-18/api/form/attachment/20c6afdd-c665-4699-8cac-ab316ce9ccbd/1582096007171.jpg")</f>
        <v>https://www.commcarehq.org/a/demo-18/api/form/attachment/20c6afdd-c665-4699-8cac-ab316ce9ccbd/1582096007171.jpg</v>
      </c>
      <c r="M95" t="str">
        <f>HYPERLINK("https://www.commcarehq.org/a/demo-18/api/form/attachment/20c6afdd-c665-4699-8cac-ab316ce9ccbd/1582096021906.jpg")</f>
        <v>https://www.commcarehq.org/a/demo-18/api/form/attachment/20c6afdd-c665-4699-8cac-ab316ce9ccbd/1582096021906.jpg</v>
      </c>
      <c r="N95" t="str">
        <f>HYPERLINK("https://www.commcarehq.org/a/demo-18/api/form/attachment/20c6afdd-c665-4699-8cac-ab316ce9ccbd/1582096056008.jpg")</f>
        <v>https://www.commcarehq.org/a/demo-18/api/form/attachment/20c6afdd-c665-4699-8cac-ab316ce9ccbd/1582096056008.jpg</v>
      </c>
      <c r="O95" t="str">
        <f>HYPERLINK("https://www.commcarehq.org/a/demo-18/api/form/attachment/20c6afdd-c665-4699-8cac-ab316ce9ccbd/1582096065283.jpg")</f>
        <v>https://www.commcarehq.org/a/demo-18/api/form/attachment/20c6afdd-c665-4699-8cac-ab316ce9ccbd/1582096065283.jpg</v>
      </c>
      <c r="P95" t="str">
        <f>HYPERLINK("https://www.commcarehq.org/a/demo-18/api/form/attachment/20c6afdd-c665-4699-8cac-ab316ce9ccbd/1582096078876.jpg")</f>
        <v>https://www.commcarehq.org/a/demo-18/api/form/attachment/20c6afdd-c665-4699-8cac-ab316ce9ccbd/1582096078876.jpg</v>
      </c>
      <c r="Q95" t="str">
        <f>HYPERLINK("https://www.commcarehq.org/a/demo-18/api/form/attachment/20c6afdd-c665-4699-8cac-ab316ce9ccbd/1582096088043.jpg")</f>
        <v>https://www.commcarehq.org/a/demo-18/api/form/attachment/20c6afdd-c665-4699-8cac-ab316ce9ccbd/1582096088043.jpg</v>
      </c>
      <c r="R95" s="2">
        <v>43880.297326388885</v>
      </c>
      <c r="S95" s="2">
        <v>43880.295949074076</v>
      </c>
      <c r="T95" t="s">
        <v>32</v>
      </c>
      <c r="U95" s="2">
        <v>43880.297581018516</v>
      </c>
      <c r="V95" t="s">
        <v>1363</v>
      </c>
      <c r="W95" t="s">
        <v>1364</v>
      </c>
    </row>
    <row r="96" spans="1:23" x14ac:dyDescent="0.45">
      <c r="A96" t="s">
        <v>62</v>
      </c>
      <c r="B96">
        <v>6.5</v>
      </c>
      <c r="C96" s="1">
        <v>43911</v>
      </c>
      <c r="D96" s="1">
        <v>43881</v>
      </c>
      <c r="E96" t="s">
        <v>428</v>
      </c>
      <c r="F96" t="s">
        <v>429</v>
      </c>
      <c r="G96" t="s">
        <v>429</v>
      </c>
      <c r="H96" t="s">
        <v>429</v>
      </c>
      <c r="I96" t="s">
        <v>447</v>
      </c>
      <c r="J96" t="s">
        <v>428</v>
      </c>
      <c r="K96" t="s">
        <v>429</v>
      </c>
      <c r="L96" t="str">
        <f>HYPERLINK("https://www.commcarehq.org/a/demo-18/api/form/attachment/36f5a946-71f6-4696-b237-f28ee837930b/1582190132227.jpg")</f>
        <v>https://www.commcarehq.org/a/demo-18/api/form/attachment/36f5a946-71f6-4696-b237-f28ee837930b/1582190132227.jpg</v>
      </c>
      <c r="M96" t="str">
        <f>HYPERLINK("https://www.commcarehq.org/a/demo-18/api/form/attachment/36f5a946-71f6-4696-b237-f28ee837930b/1582190147618.jpg")</f>
        <v>https://www.commcarehq.org/a/demo-18/api/form/attachment/36f5a946-71f6-4696-b237-f28ee837930b/1582190147618.jpg</v>
      </c>
      <c r="N96" t="str">
        <f>HYPERLINK("https://www.commcarehq.org/a/demo-18/api/form/attachment/36f5a946-71f6-4696-b237-f28ee837930b/1582190175775.jpg")</f>
        <v>https://www.commcarehq.org/a/demo-18/api/form/attachment/36f5a946-71f6-4696-b237-f28ee837930b/1582190175775.jpg</v>
      </c>
      <c r="O96" t="str">
        <f>HYPERLINK("https://www.commcarehq.org/a/demo-18/api/form/attachment/36f5a946-71f6-4696-b237-f28ee837930b/1582190185610.jpg")</f>
        <v>https://www.commcarehq.org/a/demo-18/api/form/attachment/36f5a946-71f6-4696-b237-f28ee837930b/1582190185610.jpg</v>
      </c>
      <c r="P96" t="str">
        <f>HYPERLINK("https://www.commcarehq.org/a/demo-18/api/form/attachment/36f5a946-71f6-4696-b237-f28ee837930b/1582190219346.jpg")</f>
        <v>https://www.commcarehq.org/a/demo-18/api/form/attachment/36f5a946-71f6-4696-b237-f28ee837930b/1582190219346.jpg</v>
      </c>
      <c r="Q96" t="str">
        <f>HYPERLINK("https://www.commcarehq.org/a/demo-18/api/form/attachment/36f5a946-71f6-4696-b237-f28ee837930b/1582190229370.jpg")</f>
        <v>https://www.commcarehq.org/a/demo-18/api/form/attachment/36f5a946-71f6-4696-b237-f28ee837930b/1582190229370.jpg</v>
      </c>
      <c r="R96" s="2">
        <v>43881.386932870373</v>
      </c>
      <c r="S96" s="2">
        <v>43881.385266203702</v>
      </c>
      <c r="T96" t="s">
        <v>32</v>
      </c>
      <c r="U96" s="2">
        <v>43881.38721064815</v>
      </c>
      <c r="V96" t="s">
        <v>1425</v>
      </c>
      <c r="W96" t="s">
        <v>1426</v>
      </c>
    </row>
    <row r="97" spans="1:23" x14ac:dyDescent="0.45">
      <c r="A97" t="s">
        <v>331</v>
      </c>
      <c r="B97">
        <v>5.8</v>
      </c>
      <c r="C97" s="1">
        <v>43911</v>
      </c>
      <c r="D97" s="1">
        <v>43881</v>
      </c>
      <c r="E97" t="s">
        <v>428</v>
      </c>
      <c r="F97" t="s">
        <v>429</v>
      </c>
      <c r="G97" t="s">
        <v>429</v>
      </c>
      <c r="H97" t="s">
        <v>429</v>
      </c>
      <c r="I97" t="s">
        <v>1321</v>
      </c>
      <c r="J97" t="s">
        <v>428</v>
      </c>
      <c r="K97" t="s">
        <v>429</v>
      </c>
      <c r="L97" t="str">
        <f>HYPERLINK("https://www.commcarehq.org/a/demo-18/api/form/attachment/aff5634c-bc49-4259-94bf-6cb6ebd5ea36/1582185920009.jpg")</f>
        <v>https://www.commcarehq.org/a/demo-18/api/form/attachment/aff5634c-bc49-4259-94bf-6cb6ebd5ea36/1582185920009.jpg</v>
      </c>
      <c r="M97" t="str">
        <f>HYPERLINK("https://www.commcarehq.org/a/demo-18/api/form/attachment/aff5634c-bc49-4259-94bf-6cb6ebd5ea36/1582185938087.jpg")</f>
        <v>https://www.commcarehq.org/a/demo-18/api/form/attachment/aff5634c-bc49-4259-94bf-6cb6ebd5ea36/1582185938087.jpg</v>
      </c>
      <c r="N97" t="str">
        <f>HYPERLINK("https://www.commcarehq.org/a/demo-18/api/form/attachment/aff5634c-bc49-4259-94bf-6cb6ebd5ea36/1582185999775.jpg")</f>
        <v>https://www.commcarehq.org/a/demo-18/api/form/attachment/aff5634c-bc49-4259-94bf-6cb6ebd5ea36/1582185999775.jpg</v>
      </c>
      <c r="O97" t="str">
        <f>HYPERLINK("https://www.commcarehq.org/a/demo-18/api/form/attachment/aff5634c-bc49-4259-94bf-6cb6ebd5ea36/1582186008484.jpg")</f>
        <v>https://www.commcarehq.org/a/demo-18/api/form/attachment/aff5634c-bc49-4259-94bf-6cb6ebd5ea36/1582186008484.jpg</v>
      </c>
      <c r="P97" t="str">
        <f>HYPERLINK("https://www.commcarehq.org/a/demo-18/api/form/attachment/aff5634c-bc49-4259-94bf-6cb6ebd5ea36/1582186036599.jpg")</f>
        <v>https://www.commcarehq.org/a/demo-18/api/form/attachment/aff5634c-bc49-4259-94bf-6cb6ebd5ea36/1582186036599.jpg</v>
      </c>
      <c r="Q97" t="str">
        <f>HYPERLINK("https://www.commcarehq.org/a/demo-18/api/form/attachment/aff5634c-bc49-4259-94bf-6cb6ebd5ea36/1582186047285.jpg")</f>
        <v>https://www.commcarehq.org/a/demo-18/api/form/attachment/aff5634c-bc49-4259-94bf-6cb6ebd5ea36/1582186047285.jpg</v>
      </c>
      <c r="R97" s="2">
        <v>43881.338587962964</v>
      </c>
      <c r="S97" s="2">
        <v>43881.336446759262</v>
      </c>
      <c r="T97" t="s">
        <v>32</v>
      </c>
      <c r="U97" s="2">
        <v>43881.339016203703</v>
      </c>
      <c r="V97" t="s">
        <v>1419</v>
      </c>
      <c r="W97" t="s">
        <v>1420</v>
      </c>
    </row>
    <row r="98" spans="1:23" x14ac:dyDescent="0.45">
      <c r="A98" t="s">
        <v>334</v>
      </c>
      <c r="B98">
        <v>6.5</v>
      </c>
      <c r="C98" s="1">
        <v>43911</v>
      </c>
      <c r="D98" s="1">
        <v>43881</v>
      </c>
      <c r="E98" t="s">
        <v>428</v>
      </c>
      <c r="F98" t="s">
        <v>429</v>
      </c>
      <c r="G98" t="s">
        <v>429</v>
      </c>
      <c r="H98" t="s">
        <v>429</v>
      </c>
      <c r="I98" t="s">
        <v>579</v>
      </c>
      <c r="J98" t="s">
        <v>428</v>
      </c>
      <c r="K98" t="s">
        <v>429</v>
      </c>
      <c r="L98" t="str">
        <f>HYPERLINK("https://www.commcarehq.org/a/demo-18/api/form/attachment/6bf389d2-8a37-463d-81d2-0e3308a34ade/1582192427806.jpg")</f>
        <v>https://www.commcarehq.org/a/demo-18/api/form/attachment/6bf389d2-8a37-463d-81d2-0e3308a34ade/1582192427806.jpg</v>
      </c>
      <c r="M98" t="str">
        <f>HYPERLINK("https://www.commcarehq.org/a/demo-18/api/form/attachment/6bf389d2-8a37-463d-81d2-0e3308a34ade/1582192441352.jpg")</f>
        <v>https://www.commcarehq.org/a/demo-18/api/form/attachment/6bf389d2-8a37-463d-81d2-0e3308a34ade/1582192441352.jpg</v>
      </c>
      <c r="N98" t="str">
        <f>HYPERLINK("https://www.commcarehq.org/a/demo-18/api/form/attachment/6bf389d2-8a37-463d-81d2-0e3308a34ade/1582192468049.jpg")</f>
        <v>https://www.commcarehq.org/a/demo-18/api/form/attachment/6bf389d2-8a37-463d-81d2-0e3308a34ade/1582192468049.jpg</v>
      </c>
      <c r="O98" t="str">
        <f>HYPERLINK("https://www.commcarehq.org/a/demo-18/api/form/attachment/6bf389d2-8a37-463d-81d2-0e3308a34ade/1582192479025.jpg")</f>
        <v>https://www.commcarehq.org/a/demo-18/api/form/attachment/6bf389d2-8a37-463d-81d2-0e3308a34ade/1582192479025.jpg</v>
      </c>
      <c r="P98" t="str">
        <f>HYPERLINK("https://www.commcarehq.org/a/demo-18/api/form/attachment/6bf389d2-8a37-463d-81d2-0e3308a34ade/1582192495932.jpg")</f>
        <v>https://www.commcarehq.org/a/demo-18/api/form/attachment/6bf389d2-8a37-463d-81d2-0e3308a34ade/1582192495932.jpg</v>
      </c>
      <c r="Q98" t="str">
        <f>HYPERLINK("https://www.commcarehq.org/a/demo-18/api/form/attachment/6bf389d2-8a37-463d-81d2-0e3308a34ade/1582192505433.jpg")</f>
        <v>https://www.commcarehq.org/a/demo-18/api/form/attachment/6bf389d2-8a37-463d-81d2-0e3308a34ade/1582192505433.jpg</v>
      </c>
      <c r="R98" s="2">
        <v>43881.413275462961</v>
      </c>
      <c r="S98" s="2">
        <v>43881.411840277775</v>
      </c>
      <c r="T98" t="s">
        <v>32</v>
      </c>
      <c r="U98" s="2">
        <v>43881.413472222222</v>
      </c>
      <c r="V98" t="s">
        <v>1427</v>
      </c>
      <c r="W98" t="s">
        <v>1428</v>
      </c>
    </row>
    <row r="99" spans="1:23" x14ac:dyDescent="0.45">
      <c r="A99" t="s">
        <v>128</v>
      </c>
      <c r="B99">
        <v>7.6</v>
      </c>
      <c r="C99" s="1">
        <v>43908</v>
      </c>
      <c r="D99" s="1">
        <v>43878</v>
      </c>
      <c r="E99" t="s">
        <v>428</v>
      </c>
      <c r="F99" t="s">
        <v>429</v>
      </c>
      <c r="G99" t="s">
        <v>429</v>
      </c>
      <c r="H99" t="s">
        <v>429</v>
      </c>
      <c r="I99" t="s">
        <v>498</v>
      </c>
      <c r="J99" t="s">
        <v>428</v>
      </c>
      <c r="K99" t="s">
        <v>429</v>
      </c>
      <c r="L99" t="str">
        <f>HYPERLINK("https://www.commcarehq.org/a/demo-18/api/form/attachment/c5669842-dd95-467b-8226-d31783bbf484/1581935619147.jpg")</f>
        <v>https://www.commcarehq.org/a/demo-18/api/form/attachment/c5669842-dd95-467b-8226-d31783bbf484/1581935619147.jpg</v>
      </c>
      <c r="M99" t="str">
        <f>HYPERLINK("https://www.commcarehq.org/a/demo-18/api/form/attachment/c5669842-dd95-467b-8226-d31783bbf484/1581935635159.jpg")</f>
        <v>https://www.commcarehq.org/a/demo-18/api/form/attachment/c5669842-dd95-467b-8226-d31783bbf484/1581935635159.jpg</v>
      </c>
      <c r="N99" t="str">
        <f>HYPERLINK("https://www.commcarehq.org/a/demo-18/api/form/attachment/c5669842-dd95-467b-8226-d31783bbf484/1581935663947.jpg")</f>
        <v>https://www.commcarehq.org/a/demo-18/api/form/attachment/c5669842-dd95-467b-8226-d31783bbf484/1581935663947.jpg</v>
      </c>
      <c r="O99" t="str">
        <f>HYPERLINK("https://www.commcarehq.org/a/demo-18/api/form/attachment/c5669842-dd95-467b-8226-d31783bbf484/1581935672772.jpg")</f>
        <v>https://www.commcarehq.org/a/demo-18/api/form/attachment/c5669842-dd95-467b-8226-d31783bbf484/1581935672772.jpg</v>
      </c>
      <c r="P99" t="str">
        <f>HYPERLINK("https://www.commcarehq.org/a/demo-18/api/form/attachment/c5669842-dd95-467b-8226-d31783bbf484/1581935690802.jpg")</f>
        <v>https://www.commcarehq.org/a/demo-18/api/form/attachment/c5669842-dd95-467b-8226-d31783bbf484/1581935690802.jpg</v>
      </c>
      <c r="Q99" t="str">
        <f>HYPERLINK("https://www.commcarehq.org/a/demo-18/api/form/attachment/c5669842-dd95-467b-8226-d31783bbf484/1581935707987.jpg")</f>
        <v>https://www.commcarehq.org/a/demo-18/api/form/attachment/c5669842-dd95-467b-8226-d31783bbf484/1581935707987.jpg</v>
      </c>
      <c r="R99" s="2">
        <v>43878.441145833334</v>
      </c>
      <c r="S99" s="2">
        <v>43878.439583333333</v>
      </c>
      <c r="T99" t="s">
        <v>32</v>
      </c>
      <c r="U99" s="2">
        <v>43878.441516203704</v>
      </c>
      <c r="V99" t="s">
        <v>1389</v>
      </c>
      <c r="W99" t="s">
        <v>1390</v>
      </c>
    </row>
    <row r="100" spans="1:23" x14ac:dyDescent="0.45">
      <c r="A100" t="s">
        <v>205</v>
      </c>
      <c r="B100">
        <v>6</v>
      </c>
      <c r="C100" s="1">
        <v>43912</v>
      </c>
      <c r="D100" s="1">
        <v>43882</v>
      </c>
      <c r="E100" t="s">
        <v>428</v>
      </c>
      <c r="F100" t="s">
        <v>429</v>
      </c>
      <c r="G100" t="s">
        <v>429</v>
      </c>
      <c r="H100" t="s">
        <v>429</v>
      </c>
      <c r="I100" t="s">
        <v>498</v>
      </c>
      <c r="J100" t="s">
        <v>428</v>
      </c>
      <c r="K100" t="s">
        <v>429</v>
      </c>
      <c r="L100" t="str">
        <f>HYPERLINK("https://www.commcarehq.org/a/demo-18/api/form/attachment/0b49ba41-e77e-4602-be99-927efdd8fe63/1582272672337.jpg")</f>
        <v>https://www.commcarehq.org/a/demo-18/api/form/attachment/0b49ba41-e77e-4602-be99-927efdd8fe63/1582272672337.jpg</v>
      </c>
      <c r="M100" t="str">
        <f>HYPERLINK("https://www.commcarehq.org/a/demo-18/api/form/attachment/0b49ba41-e77e-4602-be99-927efdd8fe63/1582272688239.jpg")</f>
        <v>https://www.commcarehq.org/a/demo-18/api/form/attachment/0b49ba41-e77e-4602-be99-927efdd8fe63/1582272688239.jpg</v>
      </c>
      <c r="N100" t="str">
        <f>HYPERLINK("https://www.commcarehq.org/a/demo-18/api/form/attachment/0b49ba41-e77e-4602-be99-927efdd8fe63/1582272732123.jpg")</f>
        <v>https://www.commcarehq.org/a/demo-18/api/form/attachment/0b49ba41-e77e-4602-be99-927efdd8fe63/1582272732123.jpg</v>
      </c>
      <c r="O100" t="str">
        <f>HYPERLINK("https://www.commcarehq.org/a/demo-18/api/form/attachment/0b49ba41-e77e-4602-be99-927efdd8fe63/1582272742537.jpg")</f>
        <v>https://www.commcarehq.org/a/demo-18/api/form/attachment/0b49ba41-e77e-4602-be99-927efdd8fe63/1582272742537.jpg</v>
      </c>
      <c r="P100" t="str">
        <f>HYPERLINK("https://www.commcarehq.org/a/demo-18/api/form/attachment/0b49ba41-e77e-4602-be99-927efdd8fe63/1582272763101.jpg")</f>
        <v>https://www.commcarehq.org/a/demo-18/api/form/attachment/0b49ba41-e77e-4602-be99-927efdd8fe63/1582272763101.jpg</v>
      </c>
      <c r="Q100" t="str">
        <f>HYPERLINK("https://www.commcarehq.org/a/demo-18/api/form/attachment/0b49ba41-e77e-4602-be99-927efdd8fe63/1582272777781.jpg")</f>
        <v>https://www.commcarehq.org/a/demo-18/api/form/attachment/0b49ba41-e77e-4602-be99-927efdd8fe63/1582272777781.jpg</v>
      </c>
      <c r="R100" s="2">
        <v>43882.342349537037</v>
      </c>
      <c r="S100" s="2">
        <v>43882.340752314813</v>
      </c>
      <c r="T100" t="s">
        <v>32</v>
      </c>
      <c r="U100" s="2">
        <v>43882.342569444445</v>
      </c>
      <c r="V100" t="s">
        <v>1415</v>
      </c>
      <c r="W100" t="s">
        <v>1416</v>
      </c>
    </row>
    <row r="101" spans="1:23" x14ac:dyDescent="0.45">
      <c r="A101" t="s">
        <v>328</v>
      </c>
      <c r="B101">
        <v>6</v>
      </c>
      <c r="C101" s="1">
        <v>43911</v>
      </c>
      <c r="D101" s="1">
        <v>43881</v>
      </c>
      <c r="E101" t="s">
        <v>428</v>
      </c>
      <c r="F101" t="s">
        <v>429</v>
      </c>
      <c r="G101" t="s">
        <v>429</v>
      </c>
      <c r="H101" t="s">
        <v>429</v>
      </c>
      <c r="I101" t="s">
        <v>498</v>
      </c>
      <c r="J101" t="s">
        <v>428</v>
      </c>
      <c r="K101" t="s">
        <v>429</v>
      </c>
      <c r="L101" t="str">
        <f>HYPERLINK("https://www.commcarehq.org/a/demo-18/api/form/attachment/be5891cb-57f0-4e83-b8de-dd3e9fd1d211/1582184510168.jpg")</f>
        <v>https://www.commcarehq.org/a/demo-18/api/form/attachment/be5891cb-57f0-4e83-b8de-dd3e9fd1d211/1582184510168.jpg</v>
      </c>
      <c r="M101" t="str">
        <f>HYPERLINK("https://www.commcarehq.org/a/demo-18/api/form/attachment/be5891cb-57f0-4e83-b8de-dd3e9fd1d211/1582184526149.jpg")</f>
        <v>https://www.commcarehq.org/a/demo-18/api/form/attachment/be5891cb-57f0-4e83-b8de-dd3e9fd1d211/1582184526149.jpg</v>
      </c>
      <c r="N101" t="str">
        <f>HYPERLINK("https://www.commcarehq.org/a/demo-18/api/form/attachment/be5891cb-57f0-4e83-b8de-dd3e9fd1d211/1582184586005.jpg")</f>
        <v>https://www.commcarehq.org/a/demo-18/api/form/attachment/be5891cb-57f0-4e83-b8de-dd3e9fd1d211/1582184586005.jpg</v>
      </c>
      <c r="O101" t="str">
        <f>HYPERLINK("https://www.commcarehq.org/a/demo-18/api/form/attachment/be5891cb-57f0-4e83-b8de-dd3e9fd1d211/1582184595190.jpg")</f>
        <v>https://www.commcarehq.org/a/demo-18/api/form/attachment/be5891cb-57f0-4e83-b8de-dd3e9fd1d211/1582184595190.jpg</v>
      </c>
      <c r="P101" t="str">
        <f>HYPERLINK("https://www.commcarehq.org/a/demo-18/api/form/attachment/be5891cb-57f0-4e83-b8de-dd3e9fd1d211/1582184629973.jpg")</f>
        <v>https://www.commcarehq.org/a/demo-18/api/form/attachment/be5891cb-57f0-4e83-b8de-dd3e9fd1d211/1582184629973.jpg</v>
      </c>
      <c r="Q101" t="str">
        <f>HYPERLINK("https://www.commcarehq.org/a/demo-18/api/form/attachment/be5891cb-57f0-4e83-b8de-dd3e9fd1d211/1582184639077.jpg")</f>
        <v>https://www.commcarehq.org/a/demo-18/api/form/attachment/be5891cb-57f0-4e83-b8de-dd3e9fd1d211/1582184639077.jpg</v>
      </c>
      <c r="R101" s="2">
        <v>43881.322233796294</v>
      </c>
      <c r="S101" s="2">
        <v>43881.320208333331</v>
      </c>
      <c r="T101" t="s">
        <v>32</v>
      </c>
      <c r="U101" s="2">
        <v>43881.322442129633</v>
      </c>
      <c r="V101" t="s">
        <v>1393</v>
      </c>
      <c r="W101" t="s">
        <v>1394</v>
      </c>
    </row>
    <row r="102" spans="1:23" x14ac:dyDescent="0.45">
      <c r="A102" t="s">
        <v>131</v>
      </c>
      <c r="B102">
        <v>4.5999999999999996</v>
      </c>
      <c r="C102" s="1">
        <v>43901</v>
      </c>
      <c r="D102" s="1">
        <v>43871</v>
      </c>
      <c r="E102" t="s">
        <v>428</v>
      </c>
      <c r="F102" t="s">
        <v>429</v>
      </c>
      <c r="G102" t="s">
        <v>429</v>
      </c>
      <c r="H102" t="s">
        <v>429</v>
      </c>
      <c r="I102" t="s">
        <v>447</v>
      </c>
      <c r="J102" t="s">
        <v>428</v>
      </c>
      <c r="K102" t="s">
        <v>429</v>
      </c>
      <c r="L102" t="str">
        <f>HYPERLINK("https://www.commcarehq.org/a/demo-18/api/form/attachment/1dd59edf-2922-4624-b53e-8c251ffffea6/1581315674509.jpg")</f>
        <v>https://www.commcarehq.org/a/demo-18/api/form/attachment/1dd59edf-2922-4624-b53e-8c251ffffea6/1581315674509.jpg</v>
      </c>
      <c r="M102" t="str">
        <f>HYPERLINK("https://www.commcarehq.org/a/demo-18/api/form/attachment/1dd59edf-2922-4624-b53e-8c251ffffea6/1581315695404.jpg")</f>
        <v>https://www.commcarehq.org/a/demo-18/api/form/attachment/1dd59edf-2922-4624-b53e-8c251ffffea6/1581315695404.jpg</v>
      </c>
      <c r="N102" t="str">
        <f>HYPERLINK("https://www.commcarehq.org/a/demo-18/api/form/attachment/1dd59edf-2922-4624-b53e-8c251ffffea6/1581315766716.jpg")</f>
        <v>https://www.commcarehq.org/a/demo-18/api/form/attachment/1dd59edf-2922-4624-b53e-8c251ffffea6/1581315766716.jpg</v>
      </c>
      <c r="O102" t="str">
        <f>HYPERLINK("https://www.commcarehq.org/a/demo-18/api/form/attachment/1dd59edf-2922-4624-b53e-8c251ffffea6/1581315775831.jpg")</f>
        <v>https://www.commcarehq.org/a/demo-18/api/form/attachment/1dd59edf-2922-4624-b53e-8c251ffffea6/1581315775831.jpg</v>
      </c>
      <c r="P102" t="str">
        <f>HYPERLINK("https://www.commcarehq.org/a/demo-18/api/form/attachment/1dd59edf-2922-4624-b53e-8c251ffffea6/1581315787617.jpg")</f>
        <v>https://www.commcarehq.org/a/demo-18/api/form/attachment/1dd59edf-2922-4624-b53e-8c251ffffea6/1581315787617.jpg</v>
      </c>
      <c r="Q102" t="str">
        <f>HYPERLINK("https://www.commcarehq.org/a/demo-18/api/form/attachment/1dd59edf-2922-4624-b53e-8c251ffffea6/1581315796651.jpg")</f>
        <v>https://www.commcarehq.org/a/demo-18/api/form/attachment/1dd59edf-2922-4624-b53e-8c251ffffea6/1581315796651.jpg</v>
      </c>
      <c r="R102" s="2">
        <v>43871.266180555554</v>
      </c>
      <c r="S102" s="2">
        <v>43871.264236111114</v>
      </c>
      <c r="T102" t="s">
        <v>32</v>
      </c>
      <c r="U102" s="2">
        <v>43871.266469907408</v>
      </c>
      <c r="V102" t="s">
        <v>1367</v>
      </c>
      <c r="W102" t="s">
        <v>1368</v>
      </c>
    </row>
    <row r="103" spans="1:23" x14ac:dyDescent="0.45">
      <c r="A103" t="s">
        <v>211</v>
      </c>
      <c r="B103">
        <v>5.2</v>
      </c>
      <c r="C103" s="1">
        <v>43905</v>
      </c>
      <c r="D103" s="1">
        <v>43875</v>
      </c>
      <c r="E103" t="s">
        <v>428</v>
      </c>
      <c r="F103" t="s">
        <v>429</v>
      </c>
      <c r="G103" t="s">
        <v>429</v>
      </c>
      <c r="H103" t="s">
        <v>429</v>
      </c>
      <c r="I103" t="s">
        <v>569</v>
      </c>
      <c r="J103" t="s">
        <v>428</v>
      </c>
      <c r="K103" t="s">
        <v>429</v>
      </c>
      <c r="L103" t="str">
        <f>HYPERLINK("https://www.commcarehq.org/a/demo-18/api/form/attachment/0585d3e7-a5e9-45c7-b182-c44e65fa7889/1581664946527.jpg")</f>
        <v>https://www.commcarehq.org/a/demo-18/api/form/attachment/0585d3e7-a5e9-45c7-b182-c44e65fa7889/1581664946527.jpg</v>
      </c>
      <c r="M103" t="str">
        <f>HYPERLINK("https://www.commcarehq.org/a/demo-18/api/form/attachment/0585d3e7-a5e9-45c7-b182-c44e65fa7889/1581664964127.jpg")</f>
        <v>https://www.commcarehq.org/a/demo-18/api/form/attachment/0585d3e7-a5e9-45c7-b182-c44e65fa7889/1581664964127.jpg</v>
      </c>
      <c r="N103" t="str">
        <f>HYPERLINK("https://www.commcarehq.org/a/demo-18/api/form/attachment/0585d3e7-a5e9-45c7-b182-c44e65fa7889/1581665061127.jpg")</f>
        <v>https://www.commcarehq.org/a/demo-18/api/form/attachment/0585d3e7-a5e9-45c7-b182-c44e65fa7889/1581665061127.jpg</v>
      </c>
      <c r="O103" t="str">
        <f>HYPERLINK("https://www.commcarehq.org/a/demo-18/api/form/attachment/0585d3e7-a5e9-45c7-b182-c44e65fa7889/1581665070012.jpg")</f>
        <v>https://www.commcarehq.org/a/demo-18/api/form/attachment/0585d3e7-a5e9-45c7-b182-c44e65fa7889/1581665070012.jpg</v>
      </c>
      <c r="P103" t="str">
        <f>HYPERLINK("https://www.commcarehq.org/a/demo-18/api/form/attachment/0585d3e7-a5e9-45c7-b182-c44e65fa7889/1581665086927.jpg")</f>
        <v>https://www.commcarehq.org/a/demo-18/api/form/attachment/0585d3e7-a5e9-45c7-b182-c44e65fa7889/1581665086927.jpg</v>
      </c>
      <c r="Q103" t="str">
        <f>HYPERLINK("https://www.commcarehq.org/a/demo-18/api/form/attachment/0585d3e7-a5e9-45c7-b182-c44e65fa7889/1581665095643.jpg")</f>
        <v>https://www.commcarehq.org/a/demo-18/api/form/attachment/0585d3e7-a5e9-45c7-b182-c44e65fa7889/1581665095643.jpg</v>
      </c>
      <c r="R103" s="2">
        <v>43875.308993055558</v>
      </c>
      <c r="S103" s="2">
        <v>43875.306863425925</v>
      </c>
      <c r="T103" t="s">
        <v>32</v>
      </c>
      <c r="U103" s="2">
        <v>43875.309305555558</v>
      </c>
      <c r="V103" t="s">
        <v>1369</v>
      </c>
      <c r="W103" t="s">
        <v>1370</v>
      </c>
    </row>
    <row r="104" spans="1:23" x14ac:dyDescent="0.45">
      <c r="A104" t="s">
        <v>134</v>
      </c>
      <c r="B104">
        <v>5.9</v>
      </c>
      <c r="C104" s="1">
        <v>43911</v>
      </c>
      <c r="D104" s="1">
        <v>43881</v>
      </c>
      <c r="E104" t="s">
        <v>428</v>
      </c>
      <c r="F104" t="s">
        <v>429</v>
      </c>
      <c r="G104" t="s">
        <v>429</v>
      </c>
      <c r="H104" t="s">
        <v>429</v>
      </c>
      <c r="I104" t="s">
        <v>447</v>
      </c>
      <c r="J104" t="s">
        <v>428</v>
      </c>
      <c r="K104" t="s">
        <v>429</v>
      </c>
      <c r="L104" t="str">
        <f>HYPERLINK("https://www.commcarehq.org/a/demo-18/api/form/attachment/1bfcc2fe-fe3a-4a14-8e88-84786cbf707a/1582189478070.jpg")</f>
        <v>https://www.commcarehq.org/a/demo-18/api/form/attachment/1bfcc2fe-fe3a-4a14-8e88-84786cbf707a/1582189478070.jpg</v>
      </c>
      <c r="M104" t="str">
        <f>HYPERLINK("https://www.commcarehq.org/a/demo-18/api/form/attachment/1bfcc2fe-fe3a-4a14-8e88-84786cbf707a/1582189494585.jpg")</f>
        <v>https://www.commcarehq.org/a/demo-18/api/form/attachment/1bfcc2fe-fe3a-4a14-8e88-84786cbf707a/1582189494585.jpg</v>
      </c>
      <c r="N104" t="str">
        <f>HYPERLINK("https://www.commcarehq.org/a/demo-18/api/form/attachment/1bfcc2fe-fe3a-4a14-8e88-84786cbf707a/1582189535170.jpg")</f>
        <v>https://www.commcarehq.org/a/demo-18/api/form/attachment/1bfcc2fe-fe3a-4a14-8e88-84786cbf707a/1582189535170.jpg</v>
      </c>
      <c r="O104" t="str">
        <f>HYPERLINK("https://www.commcarehq.org/a/demo-18/api/form/attachment/1bfcc2fe-fe3a-4a14-8e88-84786cbf707a/1582189545906.jpg")</f>
        <v>https://www.commcarehq.org/a/demo-18/api/form/attachment/1bfcc2fe-fe3a-4a14-8e88-84786cbf707a/1582189545906.jpg</v>
      </c>
      <c r="P104" t="str">
        <f>HYPERLINK("https://www.commcarehq.org/a/demo-18/api/form/attachment/1bfcc2fe-fe3a-4a14-8e88-84786cbf707a/1582189567535.jpg")</f>
        <v>https://www.commcarehq.org/a/demo-18/api/form/attachment/1bfcc2fe-fe3a-4a14-8e88-84786cbf707a/1582189567535.jpg</v>
      </c>
      <c r="Q104" t="str">
        <f>HYPERLINK("https://www.commcarehq.org/a/demo-18/api/form/attachment/1bfcc2fe-fe3a-4a14-8e88-84786cbf707a/1582189577630.jpg")</f>
        <v>https://www.commcarehq.org/a/demo-18/api/form/attachment/1bfcc2fe-fe3a-4a14-8e88-84786cbf707a/1582189577630.jpg</v>
      </c>
      <c r="R104" s="2">
        <v>43881.379386574074</v>
      </c>
      <c r="S104" s="2">
        <v>43881.376875000002</v>
      </c>
      <c r="T104" t="s">
        <v>32</v>
      </c>
      <c r="U104" s="2">
        <v>43881.379699074074</v>
      </c>
      <c r="V104" t="s">
        <v>1421</v>
      </c>
      <c r="W104" t="s">
        <v>1422</v>
      </c>
    </row>
    <row r="105" spans="1:23" x14ac:dyDescent="0.45">
      <c r="A105" t="s">
        <v>268</v>
      </c>
      <c r="B105">
        <v>7.9</v>
      </c>
      <c r="C105" s="1">
        <v>43911</v>
      </c>
      <c r="D105" s="1">
        <v>43881</v>
      </c>
      <c r="E105" t="s">
        <v>428</v>
      </c>
      <c r="F105" t="s">
        <v>429</v>
      </c>
      <c r="G105" t="s">
        <v>429</v>
      </c>
      <c r="H105" t="s">
        <v>429</v>
      </c>
      <c r="I105" t="s">
        <v>498</v>
      </c>
      <c r="J105" t="s">
        <v>428</v>
      </c>
      <c r="K105" t="s">
        <v>429</v>
      </c>
      <c r="L105" t="str">
        <f>HYPERLINK("https://www.commcarehq.org/a/demo-18/api/form/attachment/3074335a-db8c-47eb-b4e2-c999726fbd15/1582182012988.jpg")</f>
        <v>https://www.commcarehq.org/a/demo-18/api/form/attachment/3074335a-db8c-47eb-b4e2-c999726fbd15/1582182012988.jpg</v>
      </c>
      <c r="M105" t="str">
        <f>HYPERLINK("https://www.commcarehq.org/a/demo-18/api/form/attachment/3074335a-db8c-47eb-b4e2-c999726fbd15/1582182045645.jpg")</f>
        <v>https://www.commcarehq.org/a/demo-18/api/form/attachment/3074335a-db8c-47eb-b4e2-c999726fbd15/1582182045645.jpg</v>
      </c>
      <c r="N105" t="str">
        <f>HYPERLINK("https://www.commcarehq.org/a/demo-18/api/form/attachment/3074335a-db8c-47eb-b4e2-c999726fbd15/1582182095596.jpg")</f>
        <v>https://www.commcarehq.org/a/demo-18/api/form/attachment/3074335a-db8c-47eb-b4e2-c999726fbd15/1582182095596.jpg</v>
      </c>
      <c r="O105" t="str">
        <f>HYPERLINK("https://www.commcarehq.org/a/demo-18/api/form/attachment/3074335a-db8c-47eb-b4e2-c999726fbd15/1582182105093.jpg")</f>
        <v>https://www.commcarehq.org/a/demo-18/api/form/attachment/3074335a-db8c-47eb-b4e2-c999726fbd15/1582182105093.jpg</v>
      </c>
      <c r="P105" t="str">
        <f>HYPERLINK("https://www.commcarehq.org/a/demo-18/api/form/attachment/3074335a-db8c-47eb-b4e2-c999726fbd15/1582182122199.jpg")</f>
        <v>https://www.commcarehq.org/a/demo-18/api/form/attachment/3074335a-db8c-47eb-b4e2-c999726fbd15/1582182122199.jpg</v>
      </c>
      <c r="Q105" t="str">
        <f>HYPERLINK("https://www.commcarehq.org/a/demo-18/api/form/attachment/3074335a-db8c-47eb-b4e2-c999726fbd15/1582182134507.jpg")</f>
        <v>https://www.commcarehq.org/a/demo-18/api/form/attachment/3074335a-db8c-47eb-b4e2-c999726fbd15/1582182134507.jpg</v>
      </c>
      <c r="R105" s="2">
        <v>43881.293240740742</v>
      </c>
      <c r="S105" s="2">
        <v>43881.291377314818</v>
      </c>
      <c r="T105" t="s">
        <v>32</v>
      </c>
      <c r="U105" s="2">
        <v>43881.293564814812</v>
      </c>
      <c r="V105" s="3" t="s">
        <v>1357</v>
      </c>
      <c r="W105" t="s">
        <v>1358</v>
      </c>
    </row>
    <row r="106" spans="1:23" x14ac:dyDescent="0.45">
      <c r="A106" t="s">
        <v>337</v>
      </c>
      <c r="B106">
        <v>6.5</v>
      </c>
      <c r="C106" s="1">
        <v>43890</v>
      </c>
      <c r="D106" s="1">
        <v>43860</v>
      </c>
      <c r="E106" t="s">
        <v>428</v>
      </c>
      <c r="F106" t="s">
        <v>429</v>
      </c>
      <c r="G106" t="s">
        <v>429</v>
      </c>
      <c r="H106" t="s">
        <v>429</v>
      </c>
      <c r="I106" t="s">
        <v>447</v>
      </c>
      <c r="J106" t="s">
        <v>428</v>
      </c>
      <c r="K106" t="s">
        <v>429</v>
      </c>
      <c r="L106" t="str">
        <f>HYPERLINK("https://www.commcarehq.org/a/demo-18/api/form/attachment/8a2bdc86-f10d-47c1-a500-a72bfda551cb/1580366073154.jpg")</f>
        <v>https://www.commcarehq.org/a/demo-18/api/form/attachment/8a2bdc86-f10d-47c1-a500-a72bfda551cb/1580366073154.jpg</v>
      </c>
      <c r="M106" t="str">
        <f>HYPERLINK("https://www.commcarehq.org/a/demo-18/api/form/attachment/8a2bdc86-f10d-47c1-a500-a72bfda551cb/1580366085735.jpg")</f>
        <v>https://www.commcarehq.org/a/demo-18/api/form/attachment/8a2bdc86-f10d-47c1-a500-a72bfda551cb/1580366085735.jpg</v>
      </c>
      <c r="N106" t="str">
        <f>HYPERLINK("https://www.commcarehq.org/a/demo-18/api/form/attachment/8a2bdc86-f10d-47c1-a500-a72bfda551cb/1580366116856.jpg")</f>
        <v>https://www.commcarehq.org/a/demo-18/api/form/attachment/8a2bdc86-f10d-47c1-a500-a72bfda551cb/1580366116856.jpg</v>
      </c>
      <c r="O106" t="str">
        <f>HYPERLINK("https://www.commcarehq.org/a/demo-18/api/form/attachment/8a2bdc86-f10d-47c1-a500-a72bfda551cb/1580366126933.jpg")</f>
        <v>https://www.commcarehq.org/a/demo-18/api/form/attachment/8a2bdc86-f10d-47c1-a500-a72bfda551cb/1580366126933.jpg</v>
      </c>
      <c r="P106" t="str">
        <f>HYPERLINK("https://www.commcarehq.org/a/demo-18/api/form/attachment/8a2bdc86-f10d-47c1-a500-a72bfda551cb/1580366155333.jpg")</f>
        <v>https://www.commcarehq.org/a/demo-18/api/form/attachment/8a2bdc86-f10d-47c1-a500-a72bfda551cb/1580366155333.jpg</v>
      </c>
      <c r="Q106" t="str">
        <f>HYPERLINK("https://www.commcarehq.org/a/demo-18/api/form/attachment/8a2bdc86-f10d-47c1-a500-a72bfda551cb/1580366164662.jpg")</f>
        <v>https://www.commcarehq.org/a/demo-18/api/form/attachment/8a2bdc86-f10d-47c1-a500-a72bfda551cb/1580366164662.jpg</v>
      </c>
      <c r="R106" s="2">
        <v>43860.275069444448</v>
      </c>
      <c r="S106" s="2">
        <v>43860.273680555554</v>
      </c>
      <c r="T106" t="s">
        <v>32</v>
      </c>
      <c r="U106" s="2">
        <v>43860.275324074071</v>
      </c>
      <c r="V106" t="s">
        <v>1237</v>
      </c>
      <c r="W106" t="s">
        <v>1238</v>
      </c>
    </row>
    <row r="107" spans="1:23" x14ac:dyDescent="0.45">
      <c r="A107" t="s">
        <v>56</v>
      </c>
      <c r="B107">
        <v>6.7</v>
      </c>
      <c r="C107" s="1">
        <v>43915</v>
      </c>
      <c r="D107" s="1">
        <v>43885</v>
      </c>
      <c r="E107" t="s">
        <v>428</v>
      </c>
      <c r="F107" t="s">
        <v>429</v>
      </c>
      <c r="G107" t="s">
        <v>429</v>
      </c>
      <c r="H107" t="s">
        <v>429</v>
      </c>
      <c r="I107" t="s">
        <v>626</v>
      </c>
      <c r="J107" t="s">
        <v>428</v>
      </c>
      <c r="K107" t="s">
        <v>429</v>
      </c>
      <c r="L107" t="str">
        <f>HYPERLINK("https://www.commcarehq.org/a/demo-18/api/form/attachment/2c51e4cf-7172-4ce3-a9a7-6fd48e55a824/1582539481993.jpg")</f>
        <v>https://www.commcarehq.org/a/demo-18/api/form/attachment/2c51e4cf-7172-4ce3-a9a7-6fd48e55a824/1582539481993.jpg</v>
      </c>
      <c r="M107" t="str">
        <f>HYPERLINK("https://www.commcarehq.org/a/demo-18/api/form/attachment/2c51e4cf-7172-4ce3-a9a7-6fd48e55a824/1582539496005.jpg")</f>
        <v>https://www.commcarehq.org/a/demo-18/api/form/attachment/2c51e4cf-7172-4ce3-a9a7-6fd48e55a824/1582539496005.jpg</v>
      </c>
      <c r="N107" t="str">
        <f>HYPERLINK("https://www.commcarehq.org/a/demo-18/api/form/attachment/2c51e4cf-7172-4ce3-a9a7-6fd48e55a824/1582539534912.jpg")</f>
        <v>https://www.commcarehq.org/a/demo-18/api/form/attachment/2c51e4cf-7172-4ce3-a9a7-6fd48e55a824/1582539534912.jpg</v>
      </c>
      <c r="O107" t="str">
        <f>HYPERLINK("https://www.commcarehq.org/a/demo-18/api/form/attachment/2c51e4cf-7172-4ce3-a9a7-6fd48e55a824/1582539546059.jpg")</f>
        <v>https://www.commcarehq.org/a/demo-18/api/form/attachment/2c51e4cf-7172-4ce3-a9a7-6fd48e55a824/1582539546059.jpg</v>
      </c>
      <c r="P107" t="str">
        <f>HYPERLINK("https://www.commcarehq.org/a/demo-18/api/form/attachment/2c51e4cf-7172-4ce3-a9a7-6fd48e55a824/1582539562417.jpg")</f>
        <v>https://www.commcarehq.org/a/demo-18/api/form/attachment/2c51e4cf-7172-4ce3-a9a7-6fd48e55a824/1582539562417.jpg</v>
      </c>
      <c r="Q107" t="str">
        <f>HYPERLINK("https://www.commcarehq.org/a/demo-18/api/form/attachment/2c51e4cf-7172-4ce3-a9a7-6fd48e55a824/1582539573889.jpg")</f>
        <v>https://www.commcarehq.org/a/demo-18/api/form/attachment/2c51e4cf-7172-4ce3-a9a7-6fd48e55a824/1582539573889.jpg</v>
      </c>
      <c r="R107" s="2">
        <v>43885.430277777778</v>
      </c>
      <c r="S107" s="2">
        <v>43885.428831018522</v>
      </c>
      <c r="T107" t="s">
        <v>32</v>
      </c>
      <c r="U107" s="2">
        <v>43885.430474537039</v>
      </c>
      <c r="V107" t="s">
        <v>1359</v>
      </c>
      <c r="W107" t="s">
        <v>1360</v>
      </c>
    </row>
    <row r="108" spans="1:23" x14ac:dyDescent="0.45">
      <c r="A108" t="s">
        <v>119</v>
      </c>
      <c r="B108">
        <v>4.8</v>
      </c>
      <c r="C108" s="1">
        <v>43905</v>
      </c>
      <c r="D108" s="1">
        <v>43875</v>
      </c>
      <c r="E108" t="s">
        <v>428</v>
      </c>
      <c r="F108" t="s">
        <v>429</v>
      </c>
      <c r="G108" t="s">
        <v>429</v>
      </c>
      <c r="H108" t="s">
        <v>429</v>
      </c>
      <c r="I108" t="s">
        <v>1349</v>
      </c>
      <c r="J108" t="s">
        <v>428</v>
      </c>
      <c r="K108" t="s">
        <v>429</v>
      </c>
      <c r="L108" t="str">
        <f>HYPERLINK("https://www.commcarehq.org/a/demo-18/api/form/attachment/b91e0efd-38e3-4039-8e16-c7829780f7ac/1581670898080.jpg")</f>
        <v>https://www.commcarehq.org/a/demo-18/api/form/attachment/b91e0efd-38e3-4039-8e16-c7829780f7ac/1581670898080.jpg</v>
      </c>
      <c r="M108" t="str">
        <f>HYPERLINK("https://www.commcarehq.org/a/demo-18/api/form/attachment/b91e0efd-38e3-4039-8e16-c7829780f7ac/1581670909456.jpg")</f>
        <v>https://www.commcarehq.org/a/demo-18/api/form/attachment/b91e0efd-38e3-4039-8e16-c7829780f7ac/1581670909456.jpg</v>
      </c>
      <c r="N108" t="str">
        <f>HYPERLINK("https://www.commcarehq.org/a/demo-18/api/form/attachment/b91e0efd-38e3-4039-8e16-c7829780f7ac/1581670969673.jpg")</f>
        <v>https://www.commcarehq.org/a/demo-18/api/form/attachment/b91e0efd-38e3-4039-8e16-c7829780f7ac/1581670969673.jpg</v>
      </c>
      <c r="O108" t="str">
        <f>HYPERLINK("https://www.commcarehq.org/a/demo-18/api/form/attachment/b91e0efd-38e3-4039-8e16-c7829780f7ac/1581670980926.jpg")</f>
        <v>https://www.commcarehq.org/a/demo-18/api/form/attachment/b91e0efd-38e3-4039-8e16-c7829780f7ac/1581670980926.jpg</v>
      </c>
      <c r="P108" t="str">
        <f>HYPERLINK("https://www.commcarehq.org/a/demo-18/api/form/attachment/b91e0efd-38e3-4039-8e16-c7829780f7ac/1581671008754.jpg")</f>
        <v>https://www.commcarehq.org/a/demo-18/api/form/attachment/b91e0efd-38e3-4039-8e16-c7829780f7ac/1581671008754.jpg</v>
      </c>
      <c r="Q108" t="str">
        <f>HYPERLINK("https://www.commcarehq.org/a/demo-18/api/form/attachment/b91e0efd-38e3-4039-8e16-c7829780f7ac/1581671017378.jpg")</f>
        <v>https://www.commcarehq.org/a/demo-18/api/form/attachment/b91e0efd-38e3-4039-8e16-c7829780f7ac/1581671017378.jpg</v>
      </c>
      <c r="R108" s="2">
        <v>43875.377534722225</v>
      </c>
      <c r="S108" s="2">
        <v>43875.375462962962</v>
      </c>
      <c r="T108" t="s">
        <v>32</v>
      </c>
      <c r="U108" s="2">
        <v>43875.377824074072</v>
      </c>
      <c r="V108" t="s">
        <v>1350</v>
      </c>
      <c r="W108" t="s">
        <v>1351</v>
      </c>
    </row>
    <row r="109" spans="1:23" x14ac:dyDescent="0.45">
      <c r="A109" t="s">
        <v>53</v>
      </c>
      <c r="B109">
        <v>6.3</v>
      </c>
      <c r="C109" s="1">
        <v>43915</v>
      </c>
      <c r="D109" s="1">
        <v>43885</v>
      </c>
      <c r="E109" t="s">
        <v>428</v>
      </c>
      <c r="F109" t="s">
        <v>429</v>
      </c>
      <c r="G109" t="s">
        <v>429</v>
      </c>
      <c r="H109" t="s">
        <v>429</v>
      </c>
      <c r="I109" t="s">
        <v>1321</v>
      </c>
      <c r="J109" t="s">
        <v>428</v>
      </c>
      <c r="K109" t="s">
        <v>429</v>
      </c>
      <c r="L109" t="str">
        <f>HYPERLINK("https://www.commcarehq.org/a/demo-18/api/form/attachment/dfce7e49-b85c-4f5e-9c80-5786d89d41bf/1582531683216.jpg")</f>
        <v>https://www.commcarehq.org/a/demo-18/api/form/attachment/dfce7e49-b85c-4f5e-9c80-5786d89d41bf/1582531683216.jpg</v>
      </c>
      <c r="M109" t="str">
        <f>HYPERLINK("https://www.commcarehq.org/a/demo-18/api/form/attachment/dfce7e49-b85c-4f5e-9c80-5786d89d41bf/1582531696264.jpg")</f>
        <v>https://www.commcarehq.org/a/demo-18/api/form/attachment/dfce7e49-b85c-4f5e-9c80-5786d89d41bf/1582531696264.jpg</v>
      </c>
      <c r="N109" t="str">
        <f>HYPERLINK("https://www.commcarehq.org/a/demo-18/api/form/attachment/dfce7e49-b85c-4f5e-9c80-5786d89d41bf/1582531822616.jpg")</f>
        <v>https://www.commcarehq.org/a/demo-18/api/form/attachment/dfce7e49-b85c-4f5e-9c80-5786d89d41bf/1582531822616.jpg</v>
      </c>
      <c r="O109" t="str">
        <f>HYPERLINK("https://www.commcarehq.org/a/demo-18/api/form/attachment/dfce7e49-b85c-4f5e-9c80-5786d89d41bf/1582531831798.jpg")</f>
        <v>https://www.commcarehq.org/a/demo-18/api/form/attachment/dfce7e49-b85c-4f5e-9c80-5786d89d41bf/1582531831798.jpg</v>
      </c>
      <c r="P109" t="str">
        <f>HYPERLINK("https://www.commcarehq.org/a/demo-18/api/form/attachment/dfce7e49-b85c-4f5e-9c80-5786d89d41bf/1582531846982.jpg")</f>
        <v>https://www.commcarehq.org/a/demo-18/api/form/attachment/dfce7e49-b85c-4f5e-9c80-5786d89d41bf/1582531846982.jpg</v>
      </c>
      <c r="Q109" t="str">
        <f>HYPERLINK("https://www.commcarehq.org/a/demo-18/api/form/attachment/dfce7e49-b85c-4f5e-9c80-5786d89d41bf/1582531855525.jpg")</f>
        <v>https://www.commcarehq.org/a/demo-18/api/form/attachment/dfce7e49-b85c-4f5e-9c80-5786d89d41bf/1582531855525.jpg</v>
      </c>
      <c r="R109" s="2">
        <v>43885.340937499997</v>
      </c>
      <c r="S109" s="2">
        <v>43885.338414351849</v>
      </c>
      <c r="T109" t="s">
        <v>32</v>
      </c>
      <c r="U109" s="2">
        <v>43885.341157407405</v>
      </c>
      <c r="V109" t="s">
        <v>1403</v>
      </c>
      <c r="W109" t="s">
        <v>1404</v>
      </c>
    </row>
    <row r="110" spans="1:23" x14ac:dyDescent="0.45">
      <c r="A110" t="s">
        <v>214</v>
      </c>
      <c r="B110">
        <v>6.5</v>
      </c>
      <c r="C110" s="1">
        <v>43911</v>
      </c>
      <c r="D110" s="1">
        <v>43881</v>
      </c>
      <c r="E110" t="s">
        <v>428</v>
      </c>
      <c r="F110" t="s">
        <v>429</v>
      </c>
      <c r="G110" t="s">
        <v>429</v>
      </c>
      <c r="H110" t="s">
        <v>429</v>
      </c>
      <c r="I110" t="s">
        <v>498</v>
      </c>
      <c r="J110" t="s">
        <v>428</v>
      </c>
      <c r="K110" t="s">
        <v>429</v>
      </c>
      <c r="L110" t="str">
        <f>HYPERLINK("https://www.commcarehq.org/a/demo-18/api/form/attachment/dd91e468-7ba6-46ad-8853-f4bc4497aba1/1582182319357.jpg")</f>
        <v>https://www.commcarehq.org/a/demo-18/api/form/attachment/dd91e468-7ba6-46ad-8853-f4bc4497aba1/1582182319357.jpg</v>
      </c>
      <c r="M110" t="str">
        <f>HYPERLINK("https://www.commcarehq.org/a/demo-18/api/form/attachment/dd91e468-7ba6-46ad-8853-f4bc4497aba1/1582182337282.jpg")</f>
        <v>https://www.commcarehq.org/a/demo-18/api/form/attachment/dd91e468-7ba6-46ad-8853-f4bc4497aba1/1582182337282.jpg</v>
      </c>
      <c r="N110" t="str">
        <f>HYPERLINK("https://www.commcarehq.org/a/demo-18/api/form/attachment/dd91e468-7ba6-46ad-8853-f4bc4497aba1/1582182365423.jpg")</f>
        <v>https://www.commcarehq.org/a/demo-18/api/form/attachment/dd91e468-7ba6-46ad-8853-f4bc4497aba1/1582182365423.jpg</v>
      </c>
      <c r="O110" t="str">
        <f>HYPERLINK("https://www.commcarehq.org/a/demo-18/api/form/attachment/dd91e468-7ba6-46ad-8853-f4bc4497aba1/1582182374331.jpg")</f>
        <v>https://www.commcarehq.org/a/demo-18/api/form/attachment/dd91e468-7ba6-46ad-8853-f4bc4497aba1/1582182374331.jpg</v>
      </c>
      <c r="P110" t="str">
        <f>HYPERLINK("https://www.commcarehq.org/a/demo-18/api/form/attachment/dd91e468-7ba6-46ad-8853-f4bc4497aba1/1582182393662.jpg")</f>
        <v>https://www.commcarehq.org/a/demo-18/api/form/attachment/dd91e468-7ba6-46ad-8853-f4bc4497aba1/1582182393662.jpg</v>
      </c>
      <c r="Q110" t="str">
        <f>HYPERLINK("https://www.commcarehq.org/a/demo-18/api/form/attachment/dd91e468-7ba6-46ad-8853-f4bc4497aba1/1582182408278.jpg")</f>
        <v>https://www.commcarehq.org/a/demo-18/api/form/attachment/dd91e468-7ba6-46ad-8853-f4bc4497aba1/1582182408278.jpg</v>
      </c>
      <c r="R110" s="2">
        <v>43881.296412037038</v>
      </c>
      <c r="S110" s="2">
        <v>43881.294965277775</v>
      </c>
      <c r="T110" t="s">
        <v>32</v>
      </c>
      <c r="U110" s="2">
        <v>43881.296678240738</v>
      </c>
      <c r="V110" s="3" t="s">
        <v>1375</v>
      </c>
      <c r="W110" t="s">
        <v>1376</v>
      </c>
    </row>
    <row r="111" spans="1:23" x14ac:dyDescent="0.45">
      <c r="A111" t="s">
        <v>271</v>
      </c>
      <c r="B111">
        <v>6.1</v>
      </c>
      <c r="C111" s="1">
        <v>43915</v>
      </c>
      <c r="D111" s="1">
        <v>43885</v>
      </c>
      <c r="E111" t="s">
        <v>428</v>
      </c>
      <c r="F111" t="s">
        <v>429</v>
      </c>
      <c r="G111" t="s">
        <v>429</v>
      </c>
      <c r="H111" t="s">
        <v>429</v>
      </c>
      <c r="I111" t="s">
        <v>1321</v>
      </c>
      <c r="J111" t="s">
        <v>428</v>
      </c>
      <c r="K111" t="s">
        <v>429</v>
      </c>
      <c r="L111" t="str">
        <f>HYPERLINK("https://www.commcarehq.org/a/demo-18/api/form/attachment/c446789d-4b97-403e-a4df-d7cab5c4965c/1582527667872.jpg")</f>
        <v>https://www.commcarehq.org/a/demo-18/api/form/attachment/c446789d-4b97-403e-a4df-d7cab5c4965c/1582527667872.jpg</v>
      </c>
      <c r="M111" t="str">
        <f>HYPERLINK("https://www.commcarehq.org/a/demo-18/api/form/attachment/c446789d-4b97-403e-a4df-d7cab5c4965c/1582527683226.jpg")</f>
        <v>https://www.commcarehq.org/a/demo-18/api/form/attachment/c446789d-4b97-403e-a4df-d7cab5c4965c/1582527683226.jpg</v>
      </c>
      <c r="N111" t="str">
        <f>HYPERLINK("https://www.commcarehq.org/a/demo-18/api/form/attachment/c446789d-4b97-403e-a4df-d7cab5c4965c/1582527707987.jpg")</f>
        <v>https://www.commcarehq.org/a/demo-18/api/form/attachment/c446789d-4b97-403e-a4df-d7cab5c4965c/1582527707987.jpg</v>
      </c>
      <c r="O111" t="str">
        <f>HYPERLINK("https://www.commcarehq.org/a/demo-18/api/form/attachment/c446789d-4b97-403e-a4df-d7cab5c4965c/1582527715677.jpg")</f>
        <v>https://www.commcarehq.org/a/demo-18/api/form/attachment/c446789d-4b97-403e-a4df-d7cab5c4965c/1582527715677.jpg</v>
      </c>
      <c r="P111" t="str">
        <f>HYPERLINK("https://www.commcarehq.org/a/demo-18/api/form/attachment/c446789d-4b97-403e-a4df-d7cab5c4965c/1582527732467.jpg")</f>
        <v>https://www.commcarehq.org/a/demo-18/api/form/attachment/c446789d-4b97-403e-a4df-d7cab5c4965c/1582527732467.jpg</v>
      </c>
      <c r="Q111" t="str">
        <f>HYPERLINK("https://www.commcarehq.org/a/demo-18/api/form/attachment/c446789d-4b97-403e-a4df-d7cab5c4965c/1582527741013.jpg")</f>
        <v>https://www.commcarehq.org/a/demo-18/api/form/attachment/c446789d-4b97-403e-a4df-d7cab5c4965c/1582527741013.jpg</v>
      </c>
      <c r="R111" s="2">
        <v>43885.293310185189</v>
      </c>
      <c r="S111" s="2">
        <v>43885.292002314818</v>
      </c>
      <c r="T111" t="s">
        <v>32</v>
      </c>
      <c r="U111" s="2">
        <v>43885.293599537035</v>
      </c>
      <c r="V111" t="s">
        <v>1409</v>
      </c>
      <c r="W111" t="s">
        <v>1410</v>
      </c>
    </row>
    <row r="112" spans="1:23" x14ac:dyDescent="0.45">
      <c r="A112" t="s">
        <v>41</v>
      </c>
      <c r="B112">
        <v>8.1</v>
      </c>
      <c r="C112" s="1">
        <v>43917</v>
      </c>
      <c r="D112" s="1">
        <v>43887</v>
      </c>
      <c r="E112" t="s">
        <v>428</v>
      </c>
      <c r="F112" t="s">
        <v>429</v>
      </c>
      <c r="G112" t="s">
        <v>429</v>
      </c>
      <c r="H112" t="s">
        <v>429</v>
      </c>
      <c r="I112" t="s">
        <v>447</v>
      </c>
      <c r="J112" t="s">
        <v>428</v>
      </c>
      <c r="K112" t="s">
        <v>429</v>
      </c>
      <c r="L112" t="str">
        <f>HYPERLINK("https://www.commcarehq.org/a/demo-18/api/form/attachment/75801e05-a5d9-4a7f-a4a7-8f9483633dcf/1582702938866.jpg")</f>
        <v>https://www.commcarehq.org/a/demo-18/api/form/attachment/75801e05-a5d9-4a7f-a4a7-8f9483633dcf/1582702938866.jpg</v>
      </c>
      <c r="M112" t="str">
        <f>HYPERLINK("https://www.commcarehq.org/a/demo-18/api/form/attachment/75801e05-a5d9-4a7f-a4a7-8f9483633dcf/1582702956215.jpg")</f>
        <v>https://www.commcarehq.org/a/demo-18/api/form/attachment/75801e05-a5d9-4a7f-a4a7-8f9483633dcf/1582702956215.jpg</v>
      </c>
      <c r="N112" t="str">
        <f>HYPERLINK("https://www.commcarehq.org/a/demo-18/api/form/attachment/75801e05-a5d9-4a7f-a4a7-8f9483633dcf/1582703085117.jpg")</f>
        <v>https://www.commcarehq.org/a/demo-18/api/form/attachment/75801e05-a5d9-4a7f-a4a7-8f9483633dcf/1582703085117.jpg</v>
      </c>
      <c r="O112" t="str">
        <f>HYPERLINK("https://www.commcarehq.org/a/demo-18/api/form/attachment/75801e05-a5d9-4a7f-a4a7-8f9483633dcf/1582703113178.jpg")</f>
        <v>https://www.commcarehq.org/a/demo-18/api/form/attachment/75801e05-a5d9-4a7f-a4a7-8f9483633dcf/1582703113178.jpg</v>
      </c>
      <c r="P112" t="str">
        <f>HYPERLINK("https://www.commcarehq.org/a/demo-18/api/form/attachment/75801e05-a5d9-4a7f-a4a7-8f9483633dcf/1582703135647.jpg")</f>
        <v>https://www.commcarehq.org/a/demo-18/api/form/attachment/75801e05-a5d9-4a7f-a4a7-8f9483633dcf/1582703135647.jpg</v>
      </c>
      <c r="Q112" t="str">
        <f>HYPERLINK("https://www.commcarehq.org/a/demo-18/api/form/attachment/75801e05-a5d9-4a7f-a4a7-8f9483633dcf/1582703171341.jpg")</f>
        <v>https://www.commcarehq.org/a/demo-18/api/form/attachment/75801e05-a5d9-4a7f-a4a7-8f9483633dcf/1582703171341.jpg</v>
      </c>
      <c r="R112" s="2">
        <v>43887.323761574073</v>
      </c>
      <c r="S112" s="2">
        <v>43887.320023148146</v>
      </c>
      <c r="T112" t="s">
        <v>32</v>
      </c>
      <c r="U112" s="2">
        <v>43887.471944444442</v>
      </c>
      <c r="V112" t="s">
        <v>1542</v>
      </c>
      <c r="W112" t="s">
        <v>1543</v>
      </c>
    </row>
    <row r="113" spans="1:23" x14ac:dyDescent="0.45">
      <c r="A113" t="s">
        <v>44</v>
      </c>
      <c r="B113">
        <v>6.9</v>
      </c>
      <c r="C113" s="1">
        <v>43915</v>
      </c>
      <c r="D113" s="1">
        <v>43885</v>
      </c>
      <c r="E113" t="s">
        <v>428</v>
      </c>
      <c r="F113" t="s">
        <v>429</v>
      </c>
      <c r="G113" t="s">
        <v>429</v>
      </c>
      <c r="H113" t="s">
        <v>429</v>
      </c>
      <c r="I113" t="s">
        <v>1321</v>
      </c>
      <c r="J113" t="s">
        <v>428</v>
      </c>
      <c r="K113" t="s">
        <v>429</v>
      </c>
      <c r="L113" t="str">
        <f>HYPERLINK("https://www.commcarehq.org/a/demo-18/api/form/attachment/30a50d6f-6fa3-45ba-bb50-3eb22c4f429c/1582526516777.jpg")</f>
        <v>https://www.commcarehq.org/a/demo-18/api/form/attachment/30a50d6f-6fa3-45ba-bb50-3eb22c4f429c/1582526516777.jpg</v>
      </c>
      <c r="M113" t="str">
        <f>HYPERLINK("https://www.commcarehq.org/a/demo-18/api/form/attachment/30a50d6f-6fa3-45ba-bb50-3eb22c4f429c/1582526533697.jpg")</f>
        <v>https://www.commcarehq.org/a/demo-18/api/form/attachment/30a50d6f-6fa3-45ba-bb50-3eb22c4f429c/1582526533697.jpg</v>
      </c>
      <c r="N113" t="str">
        <f>HYPERLINK("https://www.commcarehq.org/a/demo-18/api/form/attachment/30a50d6f-6fa3-45ba-bb50-3eb22c4f429c/1582526589046.jpg")</f>
        <v>https://www.commcarehq.org/a/demo-18/api/form/attachment/30a50d6f-6fa3-45ba-bb50-3eb22c4f429c/1582526589046.jpg</v>
      </c>
      <c r="O113" t="str">
        <f>HYPERLINK("https://www.commcarehq.org/a/demo-18/api/form/attachment/30a50d6f-6fa3-45ba-bb50-3eb22c4f429c/1582526598372.jpg")</f>
        <v>https://www.commcarehq.org/a/demo-18/api/form/attachment/30a50d6f-6fa3-45ba-bb50-3eb22c4f429c/1582526598372.jpg</v>
      </c>
      <c r="P113" t="str">
        <f>HYPERLINK("https://www.commcarehq.org/a/demo-18/api/form/attachment/30a50d6f-6fa3-45ba-bb50-3eb22c4f429c/1582526611619.jpg")</f>
        <v>https://www.commcarehq.org/a/demo-18/api/form/attachment/30a50d6f-6fa3-45ba-bb50-3eb22c4f429c/1582526611619.jpg</v>
      </c>
      <c r="Q113" t="str">
        <f>HYPERLINK("https://www.commcarehq.org/a/demo-18/api/form/attachment/30a50d6f-6fa3-45ba-bb50-3eb22c4f429c/1582526619950.jpg")</f>
        <v>https://www.commcarehq.org/a/demo-18/api/form/attachment/30a50d6f-6fa3-45ba-bb50-3eb22c4f429c/1582526619950.jpg</v>
      </c>
      <c r="R113" s="2">
        <v>43885.280335648145</v>
      </c>
      <c r="S113" s="2">
        <v>43885.278657407405</v>
      </c>
      <c r="T113" t="s">
        <v>32</v>
      </c>
      <c r="U113" s="2">
        <v>43885.280543981484</v>
      </c>
      <c r="V113" t="s">
        <v>1397</v>
      </c>
      <c r="W113" t="s">
        <v>1398</v>
      </c>
    </row>
    <row r="114" spans="1:23" x14ac:dyDescent="0.45">
      <c r="A114" t="s">
        <v>47</v>
      </c>
      <c r="B114">
        <v>6</v>
      </c>
      <c r="C114" s="1">
        <v>43915</v>
      </c>
      <c r="D114" s="1">
        <v>43885</v>
      </c>
      <c r="E114" t="s">
        <v>428</v>
      </c>
      <c r="F114" t="s">
        <v>429</v>
      </c>
      <c r="G114" t="s">
        <v>429</v>
      </c>
      <c r="H114" t="s">
        <v>429</v>
      </c>
      <c r="I114" t="s">
        <v>1321</v>
      </c>
      <c r="J114" t="s">
        <v>428</v>
      </c>
      <c r="K114" t="s">
        <v>429</v>
      </c>
      <c r="L114" t="str">
        <f>HYPERLINK("https://www.commcarehq.org/a/demo-18/api/form/attachment/e27af5af-9675-441f-956e-f9f890cb98c6/1582532900670.jpg")</f>
        <v>https://www.commcarehq.org/a/demo-18/api/form/attachment/e27af5af-9675-441f-956e-f9f890cb98c6/1582532900670.jpg</v>
      </c>
      <c r="M114" t="str">
        <f>HYPERLINK("https://www.commcarehq.org/a/demo-18/api/form/attachment/e27af5af-9675-441f-956e-f9f890cb98c6/1582532915505.jpg")</f>
        <v>https://www.commcarehq.org/a/demo-18/api/form/attachment/e27af5af-9675-441f-956e-f9f890cb98c6/1582532915505.jpg</v>
      </c>
      <c r="N114" t="str">
        <f>HYPERLINK("https://www.commcarehq.org/a/demo-18/api/form/attachment/e27af5af-9675-441f-956e-f9f890cb98c6/1582532949052.jpg")</f>
        <v>https://www.commcarehq.org/a/demo-18/api/form/attachment/e27af5af-9675-441f-956e-f9f890cb98c6/1582532949052.jpg</v>
      </c>
      <c r="O114" t="str">
        <f>HYPERLINK("https://www.commcarehq.org/a/demo-18/api/form/attachment/e27af5af-9675-441f-956e-f9f890cb98c6/1582532958180.jpg")</f>
        <v>https://www.commcarehq.org/a/demo-18/api/form/attachment/e27af5af-9675-441f-956e-f9f890cb98c6/1582532958180.jpg</v>
      </c>
      <c r="P114" t="str">
        <f>HYPERLINK("https://www.commcarehq.org/a/demo-18/api/form/attachment/e27af5af-9675-441f-956e-f9f890cb98c6/1582532973382.jpg")</f>
        <v>https://www.commcarehq.org/a/demo-18/api/form/attachment/e27af5af-9675-441f-956e-f9f890cb98c6/1582532973382.jpg</v>
      </c>
      <c r="Q114" t="str">
        <f>HYPERLINK("https://www.commcarehq.org/a/demo-18/api/form/attachment/e27af5af-9675-441f-956e-f9f890cb98c6/1582532983011.jpg")</f>
        <v>https://www.commcarehq.org/a/demo-18/api/form/attachment/e27af5af-9675-441f-956e-f9f890cb98c6/1582532983011.jpg</v>
      </c>
      <c r="R114" s="2">
        <v>43885.353981481479</v>
      </c>
      <c r="S114" s="2">
        <v>43885.352453703701</v>
      </c>
      <c r="T114" t="s">
        <v>32</v>
      </c>
      <c r="U114" s="2">
        <v>43885.354189814818</v>
      </c>
      <c r="V114" t="s">
        <v>1401</v>
      </c>
      <c r="W114" t="s">
        <v>1402</v>
      </c>
    </row>
    <row r="115" spans="1:23" x14ac:dyDescent="0.45">
      <c r="A115" t="s">
        <v>340</v>
      </c>
      <c r="B115">
        <v>6.4</v>
      </c>
      <c r="C115" s="1">
        <v>43915</v>
      </c>
      <c r="D115" s="1">
        <v>43885</v>
      </c>
      <c r="E115" t="s">
        <v>428</v>
      </c>
      <c r="F115" t="s">
        <v>429</v>
      </c>
      <c r="G115" t="s">
        <v>429</v>
      </c>
      <c r="H115" t="s">
        <v>429</v>
      </c>
      <c r="I115" t="s">
        <v>498</v>
      </c>
      <c r="J115" t="s">
        <v>428</v>
      </c>
      <c r="K115" t="s">
        <v>429</v>
      </c>
      <c r="L115" t="str">
        <f>HYPERLINK("https://www.commcarehq.org/a/demo-18/api/form/attachment/7328ac3d-7509-4c67-8e04-91fbaf540c26/1582526894990.jpg")</f>
        <v>https://www.commcarehq.org/a/demo-18/api/form/attachment/7328ac3d-7509-4c67-8e04-91fbaf540c26/1582526894990.jpg</v>
      </c>
      <c r="M115" t="str">
        <f>HYPERLINK("https://www.commcarehq.org/a/demo-18/api/form/attachment/7328ac3d-7509-4c67-8e04-91fbaf540c26/1582526912118.jpg")</f>
        <v>https://www.commcarehq.org/a/demo-18/api/form/attachment/7328ac3d-7509-4c67-8e04-91fbaf540c26/1582526912118.jpg</v>
      </c>
      <c r="N115" t="str">
        <f>HYPERLINK("https://www.commcarehq.org/a/demo-18/api/form/attachment/7328ac3d-7509-4c67-8e04-91fbaf540c26/1582526972137.jpg")</f>
        <v>https://www.commcarehq.org/a/demo-18/api/form/attachment/7328ac3d-7509-4c67-8e04-91fbaf540c26/1582526972137.jpg</v>
      </c>
      <c r="O115" t="str">
        <f>HYPERLINK("https://www.commcarehq.org/a/demo-18/api/form/attachment/7328ac3d-7509-4c67-8e04-91fbaf540c26/1582526983770.jpg")</f>
        <v>https://www.commcarehq.org/a/demo-18/api/form/attachment/7328ac3d-7509-4c67-8e04-91fbaf540c26/1582526983770.jpg</v>
      </c>
      <c r="P115" t="str">
        <f>HYPERLINK("https://www.commcarehq.org/a/demo-18/api/form/attachment/7328ac3d-7509-4c67-8e04-91fbaf540c26/1582527005394.jpg")</f>
        <v>https://www.commcarehq.org/a/demo-18/api/form/attachment/7328ac3d-7509-4c67-8e04-91fbaf540c26/1582527005394.jpg</v>
      </c>
      <c r="Q115" t="str">
        <f>HYPERLINK("https://www.commcarehq.org/a/demo-18/api/form/attachment/7328ac3d-7509-4c67-8e04-91fbaf540c26/1582527013518.jpg")</f>
        <v>https://www.commcarehq.org/a/demo-18/api/form/attachment/7328ac3d-7509-4c67-8e04-91fbaf540c26/1582527013518.jpg</v>
      </c>
      <c r="R115" s="2">
        <v>43885.284907407404</v>
      </c>
      <c r="S115" s="2">
        <v>43885.283067129632</v>
      </c>
      <c r="T115" t="s">
        <v>32</v>
      </c>
      <c r="U115" s="2">
        <v>43885.28528935185</v>
      </c>
      <c r="V115" s="3" t="s">
        <v>1399</v>
      </c>
      <c r="W115" t="s">
        <v>1400</v>
      </c>
    </row>
    <row r="116" spans="1:23" x14ac:dyDescent="0.45">
      <c r="A116" t="s">
        <v>217</v>
      </c>
      <c r="B116">
        <v>6</v>
      </c>
      <c r="C116" s="1">
        <v>43917</v>
      </c>
      <c r="D116" s="1">
        <v>43887</v>
      </c>
      <c r="E116" t="s">
        <v>428</v>
      </c>
      <c r="F116" t="s">
        <v>429</v>
      </c>
      <c r="G116" t="s">
        <v>429</v>
      </c>
      <c r="H116" t="s">
        <v>429</v>
      </c>
      <c r="I116" t="s">
        <v>447</v>
      </c>
      <c r="J116" t="s">
        <v>428</v>
      </c>
      <c r="K116" t="s">
        <v>429</v>
      </c>
      <c r="L116" t="str">
        <f>HYPERLINK("https://www.commcarehq.org/a/demo-18/api/form/attachment/11414e9a-ec3c-4756-b8ef-0a15e73a2225/1582700875751.jpg")</f>
        <v>https://www.commcarehq.org/a/demo-18/api/form/attachment/11414e9a-ec3c-4756-b8ef-0a15e73a2225/1582700875751.jpg</v>
      </c>
      <c r="M116" t="str">
        <f>HYPERLINK("https://www.commcarehq.org/a/demo-18/api/form/attachment/11414e9a-ec3c-4756-b8ef-0a15e73a2225/1582700892847.jpg")</f>
        <v>https://www.commcarehq.org/a/demo-18/api/form/attachment/11414e9a-ec3c-4756-b8ef-0a15e73a2225/1582700892847.jpg</v>
      </c>
      <c r="N116" t="str">
        <f>HYPERLINK("https://www.commcarehq.org/a/demo-18/api/form/attachment/11414e9a-ec3c-4756-b8ef-0a15e73a2225/1582700934799.jpg")</f>
        <v>https://www.commcarehq.org/a/demo-18/api/form/attachment/11414e9a-ec3c-4756-b8ef-0a15e73a2225/1582700934799.jpg</v>
      </c>
      <c r="O116" t="str">
        <f>HYPERLINK("https://www.commcarehq.org/a/demo-18/api/form/attachment/11414e9a-ec3c-4756-b8ef-0a15e73a2225/1582700952471.jpg")</f>
        <v>https://www.commcarehq.org/a/demo-18/api/form/attachment/11414e9a-ec3c-4756-b8ef-0a15e73a2225/1582700952471.jpg</v>
      </c>
      <c r="P116" t="str">
        <f>HYPERLINK("https://www.commcarehq.org/a/demo-18/api/form/attachment/11414e9a-ec3c-4756-b8ef-0a15e73a2225/1582700965718.jpg")</f>
        <v>https://www.commcarehq.org/a/demo-18/api/form/attachment/11414e9a-ec3c-4756-b8ef-0a15e73a2225/1582700965718.jpg</v>
      </c>
      <c r="Q116" t="str">
        <f>HYPERLINK("https://www.commcarehq.org/a/demo-18/api/form/attachment/11414e9a-ec3c-4756-b8ef-0a15e73a2225/1582700974882.jpg")</f>
        <v>https://www.commcarehq.org/a/demo-18/api/form/attachment/11414e9a-ec3c-4756-b8ef-0a15e73a2225/1582700974882.jpg</v>
      </c>
      <c r="R116" s="2">
        <v>43887.298333333332</v>
      </c>
      <c r="S116" s="2">
        <v>43887.295370370368</v>
      </c>
      <c r="T116" t="s">
        <v>32</v>
      </c>
      <c r="U116" s="2">
        <v>43887.471516203703</v>
      </c>
      <c r="V116" t="s">
        <v>1530</v>
      </c>
      <c r="W116" t="s">
        <v>1531</v>
      </c>
    </row>
    <row r="117" spans="1:23" x14ac:dyDescent="0.45">
      <c r="A117" t="s">
        <v>50</v>
      </c>
      <c r="B117">
        <v>6</v>
      </c>
      <c r="C117" s="1">
        <v>43912</v>
      </c>
      <c r="D117" s="1">
        <v>43882</v>
      </c>
      <c r="E117" t="s">
        <v>428</v>
      </c>
      <c r="F117" t="s">
        <v>429</v>
      </c>
      <c r="G117" t="s">
        <v>429</v>
      </c>
      <c r="H117" t="s">
        <v>429</v>
      </c>
      <c r="I117" t="s">
        <v>447</v>
      </c>
      <c r="J117" t="s">
        <v>428</v>
      </c>
      <c r="K117" t="s">
        <v>429</v>
      </c>
      <c r="L117" t="str">
        <f>HYPERLINK("https://www.commcarehq.org/a/demo-18/api/form/attachment/a5d36cf0-8245-4f29-9a97-d77b7c5319af/1582267959240.jpg")</f>
        <v>https://www.commcarehq.org/a/demo-18/api/form/attachment/a5d36cf0-8245-4f29-9a97-d77b7c5319af/1582267959240.jpg</v>
      </c>
      <c r="M117" t="str">
        <f>HYPERLINK("https://www.commcarehq.org/a/demo-18/api/form/attachment/a5d36cf0-8245-4f29-9a97-d77b7c5319af/1582267975269.jpg")</f>
        <v>https://www.commcarehq.org/a/demo-18/api/form/attachment/a5d36cf0-8245-4f29-9a97-d77b7c5319af/1582267975269.jpg</v>
      </c>
      <c r="N117" t="str">
        <f>HYPERLINK("https://www.commcarehq.org/a/demo-18/api/form/attachment/a5d36cf0-8245-4f29-9a97-d77b7c5319af/1582268111907.jpg")</f>
        <v>https://www.commcarehq.org/a/demo-18/api/form/attachment/a5d36cf0-8245-4f29-9a97-d77b7c5319af/1582268111907.jpg</v>
      </c>
      <c r="O117" t="str">
        <f>HYPERLINK("https://www.commcarehq.org/a/demo-18/api/form/attachment/a5d36cf0-8245-4f29-9a97-d77b7c5319af/1582268120542.jpg")</f>
        <v>https://www.commcarehq.org/a/demo-18/api/form/attachment/a5d36cf0-8245-4f29-9a97-d77b7c5319af/1582268120542.jpg</v>
      </c>
      <c r="P117" t="str">
        <f>HYPERLINK("https://www.commcarehq.org/a/demo-18/api/form/attachment/a5d36cf0-8245-4f29-9a97-d77b7c5319af/1582268141771.jpg")</f>
        <v>https://www.commcarehq.org/a/demo-18/api/form/attachment/a5d36cf0-8245-4f29-9a97-d77b7c5319af/1582268141771.jpg</v>
      </c>
      <c r="Q117" t="str">
        <f>HYPERLINK("https://www.commcarehq.org/a/demo-18/api/form/attachment/a5d36cf0-8245-4f29-9a97-d77b7c5319af/1582268150706.jpg")</f>
        <v>https://www.commcarehq.org/a/demo-18/api/form/attachment/a5d36cf0-8245-4f29-9a97-d77b7c5319af/1582268150706.jpg</v>
      </c>
      <c r="R117" s="2">
        <v>43882.2887962963</v>
      </c>
      <c r="S117" s="2">
        <v>43882.28633101852</v>
      </c>
      <c r="T117" t="s">
        <v>32</v>
      </c>
      <c r="U117" s="2">
        <v>43882.289074074077</v>
      </c>
      <c r="V117" s="3" t="s">
        <v>1413</v>
      </c>
      <c r="W117" t="s">
        <v>1414</v>
      </c>
    </row>
    <row r="118" spans="1:23" x14ac:dyDescent="0.45">
      <c r="A118" t="s">
        <v>292</v>
      </c>
      <c r="B118">
        <v>7.9</v>
      </c>
      <c r="C118" s="1">
        <v>43915</v>
      </c>
      <c r="D118" s="1">
        <v>43885</v>
      </c>
      <c r="E118" t="s">
        <v>428</v>
      </c>
      <c r="F118" t="s">
        <v>429</v>
      </c>
      <c r="G118" t="s">
        <v>429</v>
      </c>
      <c r="H118" t="s">
        <v>429</v>
      </c>
      <c r="I118" t="s">
        <v>498</v>
      </c>
      <c r="J118" t="s">
        <v>428</v>
      </c>
      <c r="K118" t="s">
        <v>429</v>
      </c>
      <c r="L118" t="str">
        <f>HYPERLINK("https://www.commcarehq.org/a/demo-18/api/form/attachment/a09ceeeb-bbe2-49a5-94be-947cf6097dff/1582529719119.jpg")</f>
        <v>https://www.commcarehq.org/a/demo-18/api/form/attachment/a09ceeeb-bbe2-49a5-94be-947cf6097dff/1582529719119.jpg</v>
      </c>
      <c r="M118" t="str">
        <f>HYPERLINK("https://www.commcarehq.org/a/demo-18/api/form/attachment/a09ceeeb-bbe2-49a5-94be-947cf6097dff/1582529737693.jpg")</f>
        <v>https://www.commcarehq.org/a/demo-18/api/form/attachment/a09ceeeb-bbe2-49a5-94be-947cf6097dff/1582529737693.jpg</v>
      </c>
      <c r="N118" t="str">
        <f>HYPERLINK("https://www.commcarehq.org/a/demo-18/api/form/attachment/a09ceeeb-bbe2-49a5-94be-947cf6097dff/1582529785760.jpg")</f>
        <v>https://www.commcarehq.org/a/demo-18/api/form/attachment/a09ceeeb-bbe2-49a5-94be-947cf6097dff/1582529785760.jpg</v>
      </c>
      <c r="O118" t="str">
        <f>HYPERLINK("https://www.commcarehq.org/a/demo-18/api/form/attachment/a09ceeeb-bbe2-49a5-94be-947cf6097dff/1582529796415.jpg")</f>
        <v>https://www.commcarehq.org/a/demo-18/api/form/attachment/a09ceeeb-bbe2-49a5-94be-947cf6097dff/1582529796415.jpg</v>
      </c>
      <c r="P118" t="str">
        <f>HYPERLINK("https://www.commcarehq.org/a/demo-18/api/form/attachment/a09ceeeb-bbe2-49a5-94be-947cf6097dff/1582529834771.jpg")</f>
        <v>https://www.commcarehq.org/a/demo-18/api/form/attachment/a09ceeeb-bbe2-49a5-94be-947cf6097dff/1582529834771.jpg</v>
      </c>
      <c r="Q118" t="str">
        <f>HYPERLINK("https://www.commcarehq.org/a/demo-18/api/form/attachment/a09ceeeb-bbe2-49a5-94be-947cf6097dff/1582529844765.jpg")</f>
        <v>https://www.commcarehq.org/a/demo-18/api/form/attachment/a09ceeeb-bbe2-49a5-94be-947cf6097dff/1582529844765.jpg</v>
      </c>
      <c r="R118" s="2">
        <v>43885.317662037036</v>
      </c>
      <c r="S118" s="2">
        <v>43885.315682870372</v>
      </c>
      <c r="T118" t="s">
        <v>32</v>
      </c>
      <c r="U118" s="2">
        <v>43885.31790509259</v>
      </c>
      <c r="V118" t="s">
        <v>1352</v>
      </c>
      <c r="W118" t="s">
        <v>1353</v>
      </c>
    </row>
    <row r="119" spans="1:23" x14ac:dyDescent="0.45">
      <c r="A119" t="s">
        <v>361</v>
      </c>
      <c r="B119">
        <v>5.8</v>
      </c>
      <c r="C119" s="1">
        <v>43912</v>
      </c>
      <c r="D119" s="1">
        <v>43882</v>
      </c>
      <c r="E119" t="s">
        <v>428</v>
      </c>
      <c r="F119" t="s">
        <v>429</v>
      </c>
      <c r="G119" t="s">
        <v>429</v>
      </c>
      <c r="H119" t="s">
        <v>429</v>
      </c>
      <c r="I119" t="s">
        <v>447</v>
      </c>
      <c r="J119" t="s">
        <v>428</v>
      </c>
      <c r="K119" t="s">
        <v>429</v>
      </c>
      <c r="L119" t="str">
        <f>HYPERLINK("https://www.commcarehq.org/a/demo-18/api/form/attachment/c341b218-395f-4a48-9614-bab55ef0c74c/1582268759872.jpg")</f>
        <v>https://www.commcarehq.org/a/demo-18/api/form/attachment/c341b218-395f-4a48-9614-bab55ef0c74c/1582268759872.jpg</v>
      </c>
      <c r="M119" t="str">
        <f>HYPERLINK("https://www.commcarehq.org/a/demo-18/api/form/attachment/c341b218-395f-4a48-9614-bab55ef0c74c/1582268775901.jpg")</f>
        <v>https://www.commcarehq.org/a/demo-18/api/form/attachment/c341b218-395f-4a48-9614-bab55ef0c74c/1582268775901.jpg</v>
      </c>
      <c r="N119" t="str">
        <f>HYPERLINK("https://www.commcarehq.org/a/demo-18/api/form/attachment/c341b218-395f-4a48-9614-bab55ef0c74c/1582268927129.jpg")</f>
        <v>https://www.commcarehq.org/a/demo-18/api/form/attachment/c341b218-395f-4a48-9614-bab55ef0c74c/1582268927129.jpg</v>
      </c>
      <c r="O119" t="str">
        <f>HYPERLINK("https://www.commcarehq.org/a/demo-18/api/form/attachment/c341b218-395f-4a48-9614-bab55ef0c74c/1582268935374.jpg")</f>
        <v>https://www.commcarehq.org/a/demo-18/api/form/attachment/c341b218-395f-4a48-9614-bab55ef0c74c/1582268935374.jpg</v>
      </c>
      <c r="P119" t="str">
        <f>HYPERLINK("https://www.commcarehq.org/a/demo-18/api/form/attachment/c341b218-395f-4a48-9614-bab55ef0c74c/1582268948818.jpg")</f>
        <v>https://www.commcarehq.org/a/demo-18/api/form/attachment/c341b218-395f-4a48-9614-bab55ef0c74c/1582268948818.jpg</v>
      </c>
      <c r="Q119" t="str">
        <f>HYPERLINK("https://www.commcarehq.org/a/demo-18/api/form/attachment/c341b218-395f-4a48-9614-bab55ef0c74c/1582268958103.jpg")</f>
        <v>https://www.commcarehq.org/a/demo-18/api/form/attachment/c341b218-395f-4a48-9614-bab55ef0c74c/1582268958103.jpg</v>
      </c>
      <c r="R119" s="2">
        <v>43882.298136574071</v>
      </c>
      <c r="S119" s="2">
        <v>43882.295381944445</v>
      </c>
      <c r="T119" t="s">
        <v>32</v>
      </c>
      <c r="U119" s="2">
        <v>43882.298391203702</v>
      </c>
      <c r="V119" t="s">
        <v>1379</v>
      </c>
      <c r="W119" t="s">
        <v>1380</v>
      </c>
    </row>
    <row r="120" spans="1:23" x14ac:dyDescent="0.45">
      <c r="A120" t="s">
        <v>295</v>
      </c>
      <c r="B120">
        <v>7.9</v>
      </c>
      <c r="C120" s="1">
        <v>43911</v>
      </c>
      <c r="D120" s="1">
        <v>43881</v>
      </c>
      <c r="E120" t="s">
        <v>428</v>
      </c>
      <c r="F120" t="s">
        <v>429</v>
      </c>
      <c r="G120" t="s">
        <v>429</v>
      </c>
      <c r="H120" t="s">
        <v>429</v>
      </c>
      <c r="I120" t="s">
        <v>498</v>
      </c>
      <c r="J120" t="s">
        <v>428</v>
      </c>
      <c r="K120" t="s">
        <v>429</v>
      </c>
      <c r="L120" t="str">
        <f>HYPERLINK("https://www.commcarehq.org/a/demo-18/api/form/attachment/872bc9b0-7653-43ce-872c-1e162aee67ae/1582184906427.jpg")</f>
        <v>https://www.commcarehq.org/a/demo-18/api/form/attachment/872bc9b0-7653-43ce-872c-1e162aee67ae/1582184906427.jpg</v>
      </c>
      <c r="M120" t="str">
        <f>HYPERLINK("https://www.commcarehq.org/a/demo-18/api/form/attachment/872bc9b0-7653-43ce-872c-1e162aee67ae/1582184925749.jpg")</f>
        <v>https://www.commcarehq.org/a/demo-18/api/form/attachment/872bc9b0-7653-43ce-872c-1e162aee67ae/1582184925749.jpg</v>
      </c>
      <c r="N120" t="str">
        <f>HYPERLINK("https://www.commcarehq.org/a/demo-18/api/form/attachment/872bc9b0-7653-43ce-872c-1e162aee67ae/1582184956479.jpg")</f>
        <v>https://www.commcarehq.org/a/demo-18/api/form/attachment/872bc9b0-7653-43ce-872c-1e162aee67ae/1582184956479.jpg</v>
      </c>
      <c r="O120" t="str">
        <f>HYPERLINK("https://www.commcarehq.org/a/demo-18/api/form/attachment/872bc9b0-7653-43ce-872c-1e162aee67ae/1582184965252.jpg")</f>
        <v>https://www.commcarehq.org/a/demo-18/api/form/attachment/872bc9b0-7653-43ce-872c-1e162aee67ae/1582184965252.jpg</v>
      </c>
      <c r="P120" t="str">
        <f>HYPERLINK("https://www.commcarehq.org/a/demo-18/api/form/attachment/872bc9b0-7653-43ce-872c-1e162aee67ae/1582184980104.jpg")</f>
        <v>https://www.commcarehq.org/a/demo-18/api/form/attachment/872bc9b0-7653-43ce-872c-1e162aee67ae/1582184980104.jpg</v>
      </c>
      <c r="Q120" t="str">
        <f>HYPERLINK("https://www.commcarehq.org/a/demo-18/api/form/attachment/872bc9b0-7653-43ce-872c-1e162aee67ae/1582184989096.jpg")</f>
        <v>https://www.commcarehq.org/a/demo-18/api/form/attachment/872bc9b0-7653-43ce-872c-1e162aee67ae/1582184989096.jpg</v>
      </c>
      <c r="R120" s="2">
        <v>43881.326307870368</v>
      </c>
      <c r="S120" s="2">
        <v>43881.324918981481</v>
      </c>
      <c r="T120" t="s">
        <v>32</v>
      </c>
      <c r="U120" s="2">
        <v>43881.326539351852</v>
      </c>
      <c r="V120" t="s">
        <v>1423</v>
      </c>
      <c r="W120" t="s">
        <v>1424</v>
      </c>
    </row>
    <row r="121" spans="1:23" x14ac:dyDescent="0.45">
      <c r="A121" t="s">
        <v>175</v>
      </c>
      <c r="B121">
        <v>5.3</v>
      </c>
      <c r="C121" s="1">
        <v>43911</v>
      </c>
      <c r="D121" s="1">
        <v>43881</v>
      </c>
      <c r="E121" t="s">
        <v>428</v>
      </c>
      <c r="F121" t="s">
        <v>429</v>
      </c>
      <c r="G121" t="s">
        <v>429</v>
      </c>
      <c r="H121" t="s">
        <v>429</v>
      </c>
      <c r="I121" t="s">
        <v>498</v>
      </c>
      <c r="J121" t="s">
        <v>428</v>
      </c>
      <c r="K121" t="s">
        <v>429</v>
      </c>
      <c r="L121" t="str">
        <f>HYPERLINK("https://www.commcarehq.org/a/demo-18/api/form/attachment/647c1f52-8eaf-47db-89f5-cfab3ede7076/1582181015343.jpg")</f>
        <v>https://www.commcarehq.org/a/demo-18/api/form/attachment/647c1f52-8eaf-47db-89f5-cfab3ede7076/1582181015343.jpg</v>
      </c>
      <c r="M121" t="str">
        <f>HYPERLINK("https://www.commcarehq.org/a/demo-18/api/form/attachment/647c1f52-8eaf-47db-89f5-cfab3ede7076/1582181029731.jpg")</f>
        <v>https://www.commcarehq.org/a/demo-18/api/form/attachment/647c1f52-8eaf-47db-89f5-cfab3ede7076/1582181029731.jpg</v>
      </c>
      <c r="N121" t="str">
        <f>HYPERLINK("https://www.commcarehq.org/a/demo-18/api/form/attachment/647c1f52-8eaf-47db-89f5-cfab3ede7076/1582181119792.jpg")</f>
        <v>https://www.commcarehq.org/a/demo-18/api/form/attachment/647c1f52-8eaf-47db-89f5-cfab3ede7076/1582181119792.jpg</v>
      </c>
      <c r="O121" t="str">
        <f>HYPERLINK("https://www.commcarehq.org/a/demo-18/api/form/attachment/647c1f52-8eaf-47db-89f5-cfab3ede7076/1582181128873.jpg")</f>
        <v>https://www.commcarehq.org/a/demo-18/api/form/attachment/647c1f52-8eaf-47db-89f5-cfab3ede7076/1582181128873.jpg</v>
      </c>
      <c r="P121" t="str">
        <f>HYPERLINK("https://www.commcarehq.org/a/demo-18/api/form/attachment/647c1f52-8eaf-47db-89f5-cfab3ede7076/1582181140465.jpg")</f>
        <v>https://www.commcarehq.org/a/demo-18/api/form/attachment/647c1f52-8eaf-47db-89f5-cfab3ede7076/1582181140465.jpg</v>
      </c>
      <c r="Q121" t="str">
        <f>HYPERLINK("https://www.commcarehq.org/a/demo-18/api/form/attachment/647c1f52-8eaf-47db-89f5-cfab3ede7076/1582181148634.jpg")</f>
        <v>https://www.commcarehq.org/a/demo-18/api/form/attachment/647c1f52-8eaf-47db-89f5-cfab3ede7076/1582181148634.jpg</v>
      </c>
      <c r="R121" s="2">
        <v>43881.281828703701</v>
      </c>
      <c r="S121" s="2">
        <v>43881.279768518521</v>
      </c>
      <c r="T121" t="s">
        <v>32</v>
      </c>
      <c r="U121" s="2">
        <v>43881.282048611109</v>
      </c>
      <c r="V121" t="s">
        <v>1373</v>
      </c>
      <c r="W121" t="s">
        <v>1374</v>
      </c>
    </row>
    <row r="122" spans="1:23" x14ac:dyDescent="0.45">
      <c r="A122" t="s">
        <v>65</v>
      </c>
      <c r="B122">
        <v>5.5</v>
      </c>
      <c r="C122" s="1">
        <v>43912</v>
      </c>
      <c r="D122" s="1">
        <v>43882</v>
      </c>
      <c r="E122" t="s">
        <v>428</v>
      </c>
      <c r="F122" t="s">
        <v>429</v>
      </c>
      <c r="G122" t="s">
        <v>429</v>
      </c>
      <c r="H122" t="s">
        <v>429</v>
      </c>
      <c r="I122" t="s">
        <v>484</v>
      </c>
      <c r="J122" t="s">
        <v>428</v>
      </c>
      <c r="K122" t="s">
        <v>429</v>
      </c>
      <c r="L122" t="str">
        <f>HYPERLINK("https://www.commcarehq.org/a/demo-18/api/form/attachment/59428a7f-2625-4ee6-a58c-c0d276df09f5/1582267619226.jpg")</f>
        <v>https://www.commcarehq.org/a/demo-18/api/form/attachment/59428a7f-2625-4ee6-a58c-c0d276df09f5/1582267619226.jpg</v>
      </c>
      <c r="M122" t="str">
        <f>HYPERLINK("https://www.commcarehq.org/a/demo-18/api/form/attachment/59428a7f-2625-4ee6-a58c-c0d276df09f5/1582267640449.jpg")</f>
        <v>https://www.commcarehq.org/a/demo-18/api/form/attachment/59428a7f-2625-4ee6-a58c-c0d276df09f5/1582267640449.jpg</v>
      </c>
      <c r="N122" t="str">
        <f>HYPERLINK("https://www.commcarehq.org/a/demo-18/api/form/attachment/59428a7f-2625-4ee6-a58c-c0d276df09f5/1582267705303.jpg")</f>
        <v>https://www.commcarehq.org/a/demo-18/api/form/attachment/59428a7f-2625-4ee6-a58c-c0d276df09f5/1582267705303.jpg</v>
      </c>
      <c r="O122" t="str">
        <f>HYPERLINK("https://www.commcarehq.org/a/demo-18/api/form/attachment/59428a7f-2625-4ee6-a58c-c0d276df09f5/1582267714438.jpg")</f>
        <v>https://www.commcarehq.org/a/demo-18/api/form/attachment/59428a7f-2625-4ee6-a58c-c0d276df09f5/1582267714438.jpg</v>
      </c>
      <c r="P122" t="str">
        <f>HYPERLINK("https://www.commcarehq.org/a/demo-18/api/form/attachment/59428a7f-2625-4ee6-a58c-c0d276df09f5/1582267747952.jpg")</f>
        <v>https://www.commcarehq.org/a/demo-18/api/form/attachment/59428a7f-2625-4ee6-a58c-c0d276df09f5/1582267747952.jpg</v>
      </c>
      <c r="Q122" t="str">
        <f>HYPERLINK("https://www.commcarehq.org/a/demo-18/api/form/attachment/59428a7f-2625-4ee6-a58c-c0d276df09f5/1582267757450.jpg")</f>
        <v>https://www.commcarehq.org/a/demo-18/api/form/attachment/59428a7f-2625-4ee6-a58c-c0d276df09f5/1582267757450.jpg</v>
      </c>
      <c r="R122" s="2">
        <v>43882.284236111111</v>
      </c>
      <c r="S122" s="2">
        <v>43882.282222222224</v>
      </c>
      <c r="T122" t="s">
        <v>32</v>
      </c>
      <c r="U122" s="2">
        <v>43882.284537037034</v>
      </c>
      <c r="V122" t="s">
        <v>1377</v>
      </c>
      <c r="W122" t="s">
        <v>1378</v>
      </c>
    </row>
    <row r="123" spans="1:23" x14ac:dyDescent="0.45">
      <c r="A123" t="s">
        <v>125</v>
      </c>
      <c r="B123">
        <v>6.8</v>
      </c>
      <c r="C123" s="1">
        <v>43911</v>
      </c>
      <c r="D123" s="1">
        <v>43881</v>
      </c>
      <c r="E123" t="s">
        <v>428</v>
      </c>
      <c r="F123" t="s">
        <v>429</v>
      </c>
      <c r="G123" t="s">
        <v>429</v>
      </c>
      <c r="H123" t="s">
        <v>429</v>
      </c>
      <c r="I123" t="s">
        <v>498</v>
      </c>
      <c r="J123" t="s">
        <v>428</v>
      </c>
      <c r="K123" t="s">
        <v>429</v>
      </c>
      <c r="L123" t="str">
        <f>HYPERLINK("https://www.commcarehq.org/a/demo-18/api/form/attachment/0647eb06-07f6-46f2-a288-681ddc673fdb/1582185228600.jpg")</f>
        <v>https://www.commcarehq.org/a/demo-18/api/form/attachment/0647eb06-07f6-46f2-a288-681ddc673fdb/1582185228600.jpg</v>
      </c>
      <c r="M123" t="str">
        <f>HYPERLINK("https://www.commcarehq.org/a/demo-18/api/form/attachment/0647eb06-07f6-46f2-a288-681ddc673fdb/1582185242523.jpg")</f>
        <v>https://www.commcarehq.org/a/demo-18/api/form/attachment/0647eb06-07f6-46f2-a288-681ddc673fdb/1582185242523.jpg</v>
      </c>
      <c r="N123" t="str">
        <f>HYPERLINK("https://www.commcarehq.org/a/demo-18/api/form/attachment/0647eb06-07f6-46f2-a288-681ddc673fdb/1582185291192.jpg")</f>
        <v>https://www.commcarehq.org/a/demo-18/api/form/attachment/0647eb06-07f6-46f2-a288-681ddc673fdb/1582185291192.jpg</v>
      </c>
      <c r="O123" t="str">
        <f>HYPERLINK("https://www.commcarehq.org/a/demo-18/api/form/attachment/0647eb06-07f6-46f2-a288-681ddc673fdb/1582185301049.jpg")</f>
        <v>https://www.commcarehq.org/a/demo-18/api/form/attachment/0647eb06-07f6-46f2-a288-681ddc673fdb/1582185301049.jpg</v>
      </c>
      <c r="P123" t="str">
        <f>HYPERLINK("https://www.commcarehq.org/a/demo-18/api/form/attachment/0647eb06-07f6-46f2-a288-681ddc673fdb/1582185328201.jpg")</f>
        <v>https://www.commcarehq.org/a/demo-18/api/form/attachment/0647eb06-07f6-46f2-a288-681ddc673fdb/1582185328201.jpg</v>
      </c>
      <c r="Q123" t="str">
        <f>HYPERLINK("https://www.commcarehq.org/a/demo-18/api/form/attachment/0647eb06-07f6-46f2-a288-681ddc673fdb/1582185337905.jpg")</f>
        <v>https://www.commcarehq.org/a/demo-18/api/form/attachment/0647eb06-07f6-46f2-a288-681ddc673fdb/1582185337905.jpg</v>
      </c>
      <c r="R123" s="2">
        <v>43881.330312500002</v>
      </c>
      <c r="S123" s="2">
        <v>43881.328680555554</v>
      </c>
      <c r="T123" t="s">
        <v>32</v>
      </c>
      <c r="U123" s="2">
        <v>43881.330590277779</v>
      </c>
      <c r="V123" t="s">
        <v>1395</v>
      </c>
      <c r="W123" t="s">
        <v>1396</v>
      </c>
    </row>
    <row r="124" spans="1:23" x14ac:dyDescent="0.45">
      <c r="A124" t="s">
        <v>358</v>
      </c>
      <c r="B124">
        <v>5.4</v>
      </c>
      <c r="C124" s="1">
        <v>43915</v>
      </c>
      <c r="D124" s="1">
        <v>43885</v>
      </c>
      <c r="E124" t="s">
        <v>428</v>
      </c>
      <c r="F124" t="s">
        <v>429</v>
      </c>
      <c r="G124" t="s">
        <v>429</v>
      </c>
      <c r="H124" t="s">
        <v>429</v>
      </c>
      <c r="I124" t="s">
        <v>1354</v>
      </c>
      <c r="J124" t="s">
        <v>428</v>
      </c>
      <c r="K124" t="s">
        <v>429</v>
      </c>
      <c r="L124" t="str">
        <f>HYPERLINK("https://www.commcarehq.org/a/demo-18/api/form/attachment/4b201776-d4b3-4bdb-8c6d-5a4c9cb2ff52/1582536660965.jpg")</f>
        <v>https://www.commcarehq.org/a/demo-18/api/form/attachment/4b201776-d4b3-4bdb-8c6d-5a4c9cb2ff52/1582536660965.jpg</v>
      </c>
      <c r="M124" t="str">
        <f>HYPERLINK("https://www.commcarehq.org/a/demo-18/api/form/attachment/4b201776-d4b3-4bdb-8c6d-5a4c9cb2ff52/1582536676589.jpg")</f>
        <v>https://www.commcarehq.org/a/demo-18/api/form/attachment/4b201776-d4b3-4bdb-8c6d-5a4c9cb2ff52/1582536676589.jpg</v>
      </c>
      <c r="N124" t="str">
        <f>HYPERLINK("https://www.commcarehq.org/a/demo-18/api/form/attachment/4b201776-d4b3-4bdb-8c6d-5a4c9cb2ff52/1582536738653.jpg")</f>
        <v>https://www.commcarehq.org/a/demo-18/api/form/attachment/4b201776-d4b3-4bdb-8c6d-5a4c9cb2ff52/1582536738653.jpg</v>
      </c>
      <c r="O124" t="str">
        <f>HYPERLINK("https://www.commcarehq.org/a/demo-18/api/form/attachment/4b201776-d4b3-4bdb-8c6d-5a4c9cb2ff52/1582536747863.jpg")</f>
        <v>https://www.commcarehq.org/a/demo-18/api/form/attachment/4b201776-d4b3-4bdb-8c6d-5a4c9cb2ff52/1582536747863.jpg</v>
      </c>
      <c r="P124" t="str">
        <f>HYPERLINK("https://www.commcarehq.org/a/demo-18/api/form/attachment/4b201776-d4b3-4bdb-8c6d-5a4c9cb2ff52/1582536767443.jpg")</f>
        <v>https://www.commcarehq.org/a/demo-18/api/form/attachment/4b201776-d4b3-4bdb-8c6d-5a4c9cb2ff52/1582536767443.jpg</v>
      </c>
      <c r="Q124" t="str">
        <f>HYPERLINK("https://www.commcarehq.org/a/demo-18/api/form/attachment/4b201776-d4b3-4bdb-8c6d-5a4c9cb2ff52/1582536776472.jpg")</f>
        <v>https://www.commcarehq.org/a/demo-18/api/form/attachment/4b201776-d4b3-4bdb-8c6d-5a4c9cb2ff52/1582536776472.jpg</v>
      </c>
      <c r="R124" s="2">
        <v>43885.397893518515</v>
      </c>
      <c r="S124" s="2">
        <v>43885.396018518521</v>
      </c>
      <c r="T124" t="s">
        <v>32</v>
      </c>
      <c r="U124" s="2">
        <v>43885.398136574076</v>
      </c>
      <c r="V124" t="s">
        <v>1355</v>
      </c>
      <c r="W124" t="s">
        <v>1356</v>
      </c>
    </row>
    <row r="125" spans="1:23" x14ac:dyDescent="0.45">
      <c r="A125" t="s">
        <v>373</v>
      </c>
      <c r="B125">
        <v>8.3000000000000007</v>
      </c>
      <c r="C125" s="1">
        <v>43919</v>
      </c>
      <c r="D125" s="1">
        <v>43889</v>
      </c>
      <c r="E125" t="s">
        <v>428</v>
      </c>
      <c r="F125" t="s">
        <v>429</v>
      </c>
      <c r="G125" t="s">
        <v>429</v>
      </c>
      <c r="H125" t="s">
        <v>429</v>
      </c>
      <c r="I125" t="s">
        <v>447</v>
      </c>
      <c r="J125" t="s">
        <v>428</v>
      </c>
      <c r="K125" t="s">
        <v>429</v>
      </c>
      <c r="L125" t="str">
        <f>HYPERLINK("https://www.commcarehq.org/a/demo-18/api/form/attachment/82980344-bf4a-4b77-9dbb-3f4aacab4d16/1582880175830.jpg")</f>
        <v>https://www.commcarehq.org/a/demo-18/api/form/attachment/82980344-bf4a-4b77-9dbb-3f4aacab4d16/1582880175830.jpg</v>
      </c>
      <c r="M125" t="str">
        <f>HYPERLINK("https://www.commcarehq.org/a/demo-18/api/form/attachment/82980344-bf4a-4b77-9dbb-3f4aacab4d16/1582880191572.jpg")</f>
        <v>https://www.commcarehq.org/a/demo-18/api/form/attachment/82980344-bf4a-4b77-9dbb-3f4aacab4d16/1582880191572.jpg</v>
      </c>
      <c r="N125" t="str">
        <f>HYPERLINK("https://www.commcarehq.org/a/demo-18/api/form/attachment/82980344-bf4a-4b77-9dbb-3f4aacab4d16/1582880349034.jpg")</f>
        <v>https://www.commcarehq.org/a/demo-18/api/form/attachment/82980344-bf4a-4b77-9dbb-3f4aacab4d16/1582880349034.jpg</v>
      </c>
      <c r="O125" t="str">
        <f>HYPERLINK("https://www.commcarehq.org/a/demo-18/api/form/attachment/82980344-bf4a-4b77-9dbb-3f4aacab4d16/1582880357507.jpg")</f>
        <v>https://www.commcarehq.org/a/demo-18/api/form/attachment/82980344-bf4a-4b77-9dbb-3f4aacab4d16/1582880357507.jpg</v>
      </c>
      <c r="P125" t="str">
        <f>HYPERLINK("https://www.commcarehq.org/a/demo-18/api/form/attachment/82980344-bf4a-4b77-9dbb-3f4aacab4d16/1582880378149.jpg")</f>
        <v>https://www.commcarehq.org/a/demo-18/api/form/attachment/82980344-bf4a-4b77-9dbb-3f4aacab4d16/1582880378149.jpg</v>
      </c>
      <c r="Q125" t="str">
        <f>HYPERLINK("https://www.commcarehq.org/a/demo-18/api/form/attachment/82980344-bf4a-4b77-9dbb-3f4aacab4d16/1582880393697.jpg")</f>
        <v>https://www.commcarehq.org/a/demo-18/api/form/attachment/82980344-bf4a-4b77-9dbb-3f4aacab4d16/1582880393697.jpg</v>
      </c>
      <c r="R125" s="2">
        <v>43889.374965277777</v>
      </c>
      <c r="S125" s="2">
        <v>43889.371990740743</v>
      </c>
      <c r="T125" t="s">
        <v>32</v>
      </c>
      <c r="U125" s="2">
        <v>43889.375405092593</v>
      </c>
      <c r="V125" t="s">
        <v>1560</v>
      </c>
      <c r="W125" t="s">
        <v>1561</v>
      </c>
    </row>
    <row r="126" spans="1:23" x14ac:dyDescent="0.45">
      <c r="A126" t="s">
        <v>187</v>
      </c>
      <c r="B126">
        <v>6.3</v>
      </c>
      <c r="C126" s="1">
        <v>43919</v>
      </c>
      <c r="D126" s="1">
        <v>43889</v>
      </c>
      <c r="E126" t="s">
        <v>428</v>
      </c>
      <c r="F126" t="s">
        <v>429</v>
      </c>
      <c r="G126" t="s">
        <v>429</v>
      </c>
      <c r="H126" t="s">
        <v>429</v>
      </c>
      <c r="I126" t="s">
        <v>1321</v>
      </c>
      <c r="J126" t="s">
        <v>428</v>
      </c>
      <c r="K126" t="s">
        <v>429</v>
      </c>
      <c r="L126" t="str">
        <f>HYPERLINK("https://www.commcarehq.org/a/demo-18/api/form/attachment/3cbe21cc-6fa2-4a44-9a7c-9ab7f77e67f8/1582879208511.jpg")</f>
        <v>https://www.commcarehq.org/a/demo-18/api/form/attachment/3cbe21cc-6fa2-4a44-9a7c-9ab7f77e67f8/1582879208511.jpg</v>
      </c>
      <c r="M126" t="str">
        <f>HYPERLINK("https://www.commcarehq.org/a/demo-18/api/form/attachment/3cbe21cc-6fa2-4a44-9a7c-9ab7f77e67f8/1582879228200.jpg")</f>
        <v>https://www.commcarehq.org/a/demo-18/api/form/attachment/3cbe21cc-6fa2-4a44-9a7c-9ab7f77e67f8/1582879228200.jpg</v>
      </c>
      <c r="N126" t="str">
        <f>HYPERLINK("https://www.commcarehq.org/a/demo-18/api/form/attachment/3cbe21cc-6fa2-4a44-9a7c-9ab7f77e67f8/1582879257825.jpg")</f>
        <v>https://www.commcarehq.org/a/demo-18/api/form/attachment/3cbe21cc-6fa2-4a44-9a7c-9ab7f77e67f8/1582879257825.jpg</v>
      </c>
      <c r="O126" t="str">
        <f>HYPERLINK("https://www.commcarehq.org/a/demo-18/api/form/attachment/3cbe21cc-6fa2-4a44-9a7c-9ab7f77e67f8/1582879266334.jpg")</f>
        <v>https://www.commcarehq.org/a/demo-18/api/form/attachment/3cbe21cc-6fa2-4a44-9a7c-9ab7f77e67f8/1582879266334.jpg</v>
      </c>
      <c r="P126" t="str">
        <f>HYPERLINK("https://www.commcarehq.org/a/demo-18/api/form/attachment/3cbe21cc-6fa2-4a44-9a7c-9ab7f77e67f8/1582879282468.jpg")</f>
        <v>https://www.commcarehq.org/a/demo-18/api/form/attachment/3cbe21cc-6fa2-4a44-9a7c-9ab7f77e67f8/1582879282468.jpg</v>
      </c>
      <c r="Q126" t="str">
        <f>HYPERLINK("https://www.commcarehq.org/a/demo-18/api/form/attachment/3cbe21cc-6fa2-4a44-9a7c-9ab7f77e67f8/1582879291147.jpg")</f>
        <v>https://www.commcarehq.org/a/demo-18/api/form/attachment/3cbe21cc-6fa2-4a44-9a7c-9ab7f77e67f8/1582879291147.jpg</v>
      </c>
      <c r="R126" s="2">
        <v>43889.362187500003</v>
      </c>
      <c r="S126" s="2">
        <v>43889.360648148147</v>
      </c>
      <c r="T126" t="s">
        <v>32</v>
      </c>
      <c r="U126" s="2">
        <v>43889.362430555557</v>
      </c>
      <c r="V126" t="s">
        <v>1594</v>
      </c>
      <c r="W126" t="s">
        <v>1595</v>
      </c>
    </row>
    <row r="127" spans="1:23" x14ac:dyDescent="0.45">
      <c r="A127" t="s">
        <v>196</v>
      </c>
      <c r="B127">
        <v>7.5</v>
      </c>
      <c r="C127" s="1">
        <v>43908</v>
      </c>
      <c r="D127" s="1">
        <v>43878</v>
      </c>
      <c r="E127" t="s">
        <v>428</v>
      </c>
      <c r="F127" t="s">
        <v>429</v>
      </c>
      <c r="G127" t="s">
        <v>429</v>
      </c>
      <c r="H127" t="s">
        <v>429</v>
      </c>
      <c r="I127" t="s">
        <v>498</v>
      </c>
      <c r="J127" t="s">
        <v>428</v>
      </c>
      <c r="K127" t="s">
        <v>429</v>
      </c>
      <c r="L127" t="str">
        <f>HYPERLINK("https://www.commcarehq.org/a/demo-18/api/form/attachment/079f89ca-2d9b-45fd-af81-6a1543d47f3e/1581924286449.jpg")</f>
        <v>https://www.commcarehq.org/a/demo-18/api/form/attachment/079f89ca-2d9b-45fd-af81-6a1543d47f3e/1581924286449.jpg</v>
      </c>
      <c r="M127" t="str">
        <f>HYPERLINK("https://www.commcarehq.org/a/demo-18/api/form/attachment/079f89ca-2d9b-45fd-af81-6a1543d47f3e/1581924304641.jpg")</f>
        <v>https://www.commcarehq.org/a/demo-18/api/form/attachment/079f89ca-2d9b-45fd-af81-6a1543d47f3e/1581924304641.jpg</v>
      </c>
      <c r="N127" t="str">
        <f>HYPERLINK("https://www.commcarehq.org/a/demo-18/api/form/attachment/079f89ca-2d9b-45fd-af81-6a1543d47f3e/1581924343825.jpg")</f>
        <v>https://www.commcarehq.org/a/demo-18/api/form/attachment/079f89ca-2d9b-45fd-af81-6a1543d47f3e/1581924343825.jpg</v>
      </c>
      <c r="O127" t="str">
        <f>HYPERLINK("https://www.commcarehq.org/a/demo-18/api/form/attachment/079f89ca-2d9b-45fd-af81-6a1543d47f3e/1581924353914.jpg")</f>
        <v>https://www.commcarehq.org/a/demo-18/api/form/attachment/079f89ca-2d9b-45fd-af81-6a1543d47f3e/1581924353914.jpg</v>
      </c>
      <c r="P127" t="str">
        <f>HYPERLINK("https://www.commcarehq.org/a/demo-18/api/form/attachment/079f89ca-2d9b-45fd-af81-6a1543d47f3e/1581924373082.jpg")</f>
        <v>https://www.commcarehq.org/a/demo-18/api/form/attachment/079f89ca-2d9b-45fd-af81-6a1543d47f3e/1581924373082.jpg</v>
      </c>
      <c r="Q127" t="str">
        <f>HYPERLINK("https://www.commcarehq.org/a/demo-18/api/form/attachment/079f89ca-2d9b-45fd-af81-6a1543d47f3e/1581924383450.jpg")</f>
        <v>https://www.commcarehq.org/a/demo-18/api/form/attachment/079f89ca-2d9b-45fd-af81-6a1543d47f3e/1581924383450.jpg</v>
      </c>
      <c r="R127" s="2">
        <v>43878.310011574074</v>
      </c>
      <c r="S127" s="2">
        <v>43878.308009259257</v>
      </c>
      <c r="T127" t="s">
        <v>32</v>
      </c>
      <c r="U127" s="2">
        <v>43878.310300925928</v>
      </c>
      <c r="V127" t="s">
        <v>1429</v>
      </c>
      <c r="W127" t="s">
        <v>1430</v>
      </c>
    </row>
    <row r="128" spans="1:23" x14ac:dyDescent="0.45">
      <c r="A128" t="s">
        <v>298</v>
      </c>
      <c r="B128">
        <v>6.8</v>
      </c>
      <c r="C128" s="1">
        <v>43911</v>
      </c>
      <c r="D128" s="1">
        <v>43881</v>
      </c>
      <c r="E128" t="s">
        <v>428</v>
      </c>
      <c r="F128" t="s">
        <v>429</v>
      </c>
      <c r="G128" t="s">
        <v>429</v>
      </c>
      <c r="H128" t="s">
        <v>429</v>
      </c>
      <c r="I128" t="s">
        <v>447</v>
      </c>
      <c r="J128" t="s">
        <v>428</v>
      </c>
      <c r="K128" t="s">
        <v>429</v>
      </c>
      <c r="L128" t="str">
        <f>HYPERLINK("https://www.commcarehq.org/a/demo-18/api/form/attachment/ea923db8-af7e-4614-9fa6-621614c60c7f/1582190841122.jpg")</f>
        <v>https://www.commcarehq.org/a/demo-18/api/form/attachment/ea923db8-af7e-4614-9fa6-621614c60c7f/1582190841122.jpg</v>
      </c>
      <c r="M128" t="str">
        <f>HYPERLINK("https://www.commcarehq.org/a/demo-18/api/form/attachment/ea923db8-af7e-4614-9fa6-621614c60c7f/1582190857643.jpg")</f>
        <v>https://www.commcarehq.org/a/demo-18/api/form/attachment/ea923db8-af7e-4614-9fa6-621614c60c7f/1582190857643.jpg</v>
      </c>
      <c r="N128" t="str">
        <f>HYPERLINK("https://www.commcarehq.org/a/demo-18/api/form/attachment/ea923db8-af7e-4614-9fa6-621614c60c7f/1582190889863.jpg")</f>
        <v>https://www.commcarehq.org/a/demo-18/api/form/attachment/ea923db8-af7e-4614-9fa6-621614c60c7f/1582190889863.jpg</v>
      </c>
      <c r="O128" t="str">
        <f>HYPERLINK("https://www.commcarehq.org/a/demo-18/api/form/attachment/ea923db8-af7e-4614-9fa6-621614c60c7f/1582190901996.jpg")</f>
        <v>https://www.commcarehq.org/a/demo-18/api/form/attachment/ea923db8-af7e-4614-9fa6-621614c60c7f/1582190901996.jpg</v>
      </c>
      <c r="P128" t="str">
        <f>HYPERLINK("https://www.commcarehq.org/a/demo-18/api/form/attachment/ea923db8-af7e-4614-9fa6-621614c60c7f/1582190917289.jpg")</f>
        <v>https://www.commcarehq.org/a/demo-18/api/form/attachment/ea923db8-af7e-4614-9fa6-621614c60c7f/1582190917289.jpg</v>
      </c>
      <c r="Q128" t="str">
        <f>HYPERLINK("https://www.commcarehq.org/a/demo-18/api/form/attachment/ea923db8-af7e-4614-9fa6-621614c60c7f/1582190926441.jpg")</f>
        <v>https://www.commcarehq.org/a/demo-18/api/form/attachment/ea923db8-af7e-4614-9fa6-621614c60c7f/1582190926441.jpg</v>
      </c>
      <c r="R128" s="2">
        <v>43881.394988425927</v>
      </c>
      <c r="S128" s="2">
        <v>43881.393541666665</v>
      </c>
      <c r="T128" t="s">
        <v>32</v>
      </c>
      <c r="U128" s="2">
        <v>43881.395254629628</v>
      </c>
      <c r="V128" t="s">
        <v>1371</v>
      </c>
      <c r="W128" t="s">
        <v>1372</v>
      </c>
    </row>
    <row r="129" spans="1:23" x14ac:dyDescent="0.45">
      <c r="A129" t="s">
        <v>143</v>
      </c>
      <c r="B129">
        <v>7.1</v>
      </c>
      <c r="C129" s="1">
        <v>43915</v>
      </c>
      <c r="D129" s="1">
        <v>43885</v>
      </c>
      <c r="E129" t="s">
        <v>428</v>
      </c>
      <c r="F129" t="s">
        <v>429</v>
      </c>
      <c r="G129" t="s">
        <v>429</v>
      </c>
      <c r="H129" t="s">
        <v>429</v>
      </c>
      <c r="I129" t="s">
        <v>447</v>
      </c>
      <c r="J129" t="s">
        <v>428</v>
      </c>
      <c r="K129" t="s">
        <v>429</v>
      </c>
      <c r="L129" t="str">
        <f>HYPERLINK("https://www.commcarehq.org/a/demo-18/api/form/attachment/e6de9ab8-e0f4-4428-a3a0-fe5fe059c211/1582530999162.jpg")</f>
        <v>https://www.commcarehq.org/a/demo-18/api/form/attachment/e6de9ab8-e0f4-4428-a3a0-fe5fe059c211/1582530999162.jpg</v>
      </c>
      <c r="M129" t="str">
        <f>HYPERLINK("https://www.commcarehq.org/a/demo-18/api/form/attachment/e6de9ab8-e0f4-4428-a3a0-fe5fe059c211/1582531016743.jpg")</f>
        <v>https://www.commcarehq.org/a/demo-18/api/form/attachment/e6de9ab8-e0f4-4428-a3a0-fe5fe059c211/1582531016743.jpg</v>
      </c>
      <c r="N129" t="str">
        <f>HYPERLINK("https://www.commcarehq.org/a/demo-18/api/form/attachment/e6de9ab8-e0f4-4428-a3a0-fe5fe059c211/1582531057313.jpg")</f>
        <v>https://www.commcarehq.org/a/demo-18/api/form/attachment/e6de9ab8-e0f4-4428-a3a0-fe5fe059c211/1582531057313.jpg</v>
      </c>
      <c r="O129" t="str">
        <f>HYPERLINK("https://www.commcarehq.org/a/demo-18/api/form/attachment/e6de9ab8-e0f4-4428-a3a0-fe5fe059c211/1582531070536.jpg")</f>
        <v>https://www.commcarehq.org/a/demo-18/api/form/attachment/e6de9ab8-e0f4-4428-a3a0-fe5fe059c211/1582531070536.jpg</v>
      </c>
      <c r="P129" t="str">
        <f>HYPERLINK("https://www.commcarehq.org/a/demo-18/api/form/attachment/e6de9ab8-e0f4-4428-a3a0-fe5fe059c211/1582531087930.jpg")</f>
        <v>https://www.commcarehq.org/a/demo-18/api/form/attachment/e6de9ab8-e0f4-4428-a3a0-fe5fe059c211/1582531087930.jpg</v>
      </c>
      <c r="Q129" t="str">
        <f>HYPERLINK("https://www.commcarehq.org/a/demo-18/api/form/attachment/e6de9ab8-e0f4-4428-a3a0-fe5fe059c211/1582531097173.jpg")</f>
        <v>https://www.commcarehq.org/a/demo-18/api/form/attachment/e6de9ab8-e0f4-4428-a3a0-fe5fe059c211/1582531097173.jpg</v>
      </c>
      <c r="R129" s="2">
        <v>43885.332152777781</v>
      </c>
      <c r="S129" s="2">
        <v>43885.330567129633</v>
      </c>
      <c r="T129" t="s">
        <v>32</v>
      </c>
      <c r="U129" s="2">
        <v>43885.332453703704</v>
      </c>
      <c r="V129" t="s">
        <v>1445</v>
      </c>
      <c r="W129" t="s">
        <v>1446</v>
      </c>
    </row>
    <row r="130" spans="1:23" x14ac:dyDescent="0.45">
      <c r="A130" t="s">
        <v>193</v>
      </c>
      <c r="B130">
        <v>6.5</v>
      </c>
      <c r="C130" s="1">
        <v>43915</v>
      </c>
      <c r="D130" s="1">
        <v>43885</v>
      </c>
      <c r="E130" t="s">
        <v>428</v>
      </c>
      <c r="F130" t="s">
        <v>429</v>
      </c>
      <c r="G130" t="s">
        <v>429</v>
      </c>
      <c r="H130" t="s">
        <v>429</v>
      </c>
      <c r="I130" t="s">
        <v>579</v>
      </c>
      <c r="J130" t="s">
        <v>428</v>
      </c>
      <c r="K130" t="s">
        <v>429</v>
      </c>
      <c r="L130" t="str">
        <f>HYPERLINK("https://www.commcarehq.org/a/demo-18/api/form/attachment/639eb1e1-743e-4a7d-9f1a-c2505fdb3675/1582531247977.jpg")</f>
        <v>https://www.commcarehq.org/a/demo-18/api/form/attachment/639eb1e1-743e-4a7d-9f1a-c2505fdb3675/1582531247977.jpg</v>
      </c>
      <c r="M130" t="str">
        <f>HYPERLINK("https://www.commcarehq.org/a/demo-18/api/form/attachment/639eb1e1-743e-4a7d-9f1a-c2505fdb3675/1582531263510.jpg")</f>
        <v>https://www.commcarehq.org/a/demo-18/api/form/attachment/639eb1e1-743e-4a7d-9f1a-c2505fdb3675/1582531263510.jpg</v>
      </c>
      <c r="N130" t="str">
        <f>HYPERLINK("https://www.commcarehq.org/a/demo-18/api/form/attachment/639eb1e1-743e-4a7d-9f1a-c2505fdb3675/1582531301603.jpg")</f>
        <v>https://www.commcarehq.org/a/demo-18/api/form/attachment/639eb1e1-743e-4a7d-9f1a-c2505fdb3675/1582531301603.jpg</v>
      </c>
      <c r="O130" t="str">
        <f>HYPERLINK("https://www.commcarehq.org/a/demo-18/api/form/attachment/639eb1e1-743e-4a7d-9f1a-c2505fdb3675/1582531310641.jpg")</f>
        <v>https://www.commcarehq.org/a/demo-18/api/form/attachment/639eb1e1-743e-4a7d-9f1a-c2505fdb3675/1582531310641.jpg</v>
      </c>
      <c r="P130" t="str">
        <f>HYPERLINK("https://www.commcarehq.org/a/demo-18/api/form/attachment/639eb1e1-743e-4a7d-9f1a-c2505fdb3675/1582531326359.jpg")</f>
        <v>https://www.commcarehq.org/a/demo-18/api/form/attachment/639eb1e1-743e-4a7d-9f1a-c2505fdb3675/1582531326359.jpg</v>
      </c>
      <c r="Q130" t="str">
        <f>HYPERLINK("https://www.commcarehq.org/a/demo-18/api/form/attachment/639eb1e1-743e-4a7d-9f1a-c2505fdb3675/1582531335528.jpg")</f>
        <v>https://www.commcarehq.org/a/demo-18/api/form/attachment/639eb1e1-743e-4a7d-9f1a-c2505fdb3675/1582531335528.jpg</v>
      </c>
      <c r="R130" s="2">
        <v>43885.334918981483</v>
      </c>
      <c r="S130" s="2">
        <v>43885.333541666667</v>
      </c>
      <c r="T130" t="s">
        <v>32</v>
      </c>
      <c r="U130" s="2">
        <v>43885.335231481484</v>
      </c>
      <c r="V130" t="s">
        <v>1447</v>
      </c>
      <c r="W130" t="s">
        <v>1448</v>
      </c>
    </row>
    <row r="131" spans="1:23" x14ac:dyDescent="0.45">
      <c r="A131" t="s">
        <v>137</v>
      </c>
      <c r="B131">
        <v>5</v>
      </c>
      <c r="C131" s="1">
        <v>43903</v>
      </c>
      <c r="D131" s="1">
        <v>43873</v>
      </c>
      <c r="E131" t="s">
        <v>428</v>
      </c>
      <c r="F131" t="s">
        <v>429</v>
      </c>
      <c r="G131" t="s">
        <v>429</v>
      </c>
      <c r="H131" t="s">
        <v>429</v>
      </c>
      <c r="I131" t="s">
        <v>1321</v>
      </c>
      <c r="J131" t="s">
        <v>428</v>
      </c>
      <c r="K131" t="s">
        <v>429</v>
      </c>
      <c r="L131" t="str">
        <f>HYPERLINK("https://www.commcarehq.org/a/demo-18/api/form/attachment/26505b36-f12f-45dc-b056-81cddfed7f3e/1581496362856.jpg")</f>
        <v>https://www.commcarehq.org/a/demo-18/api/form/attachment/26505b36-f12f-45dc-b056-81cddfed7f3e/1581496362856.jpg</v>
      </c>
      <c r="M131" t="str">
        <f>HYPERLINK("https://www.commcarehq.org/a/demo-18/api/form/attachment/26505b36-f12f-45dc-b056-81cddfed7f3e/1581496386491.jpg")</f>
        <v>https://www.commcarehq.org/a/demo-18/api/form/attachment/26505b36-f12f-45dc-b056-81cddfed7f3e/1581496386491.jpg</v>
      </c>
      <c r="N131" t="str">
        <f>HYPERLINK("https://www.commcarehq.org/a/demo-18/api/form/attachment/26505b36-f12f-45dc-b056-81cddfed7f3e/1581496441228.jpg")</f>
        <v>https://www.commcarehq.org/a/demo-18/api/form/attachment/26505b36-f12f-45dc-b056-81cddfed7f3e/1581496441228.jpg</v>
      </c>
      <c r="O131" t="str">
        <f>HYPERLINK("https://www.commcarehq.org/a/demo-18/api/form/attachment/26505b36-f12f-45dc-b056-81cddfed7f3e/1581496450838.jpg")</f>
        <v>https://www.commcarehq.org/a/demo-18/api/form/attachment/26505b36-f12f-45dc-b056-81cddfed7f3e/1581496450838.jpg</v>
      </c>
      <c r="P131" t="str">
        <f>HYPERLINK("https://www.commcarehq.org/a/demo-18/api/form/attachment/26505b36-f12f-45dc-b056-81cddfed7f3e/1581496466605.jpg")</f>
        <v>https://www.commcarehq.org/a/demo-18/api/form/attachment/26505b36-f12f-45dc-b056-81cddfed7f3e/1581496466605.jpg</v>
      </c>
      <c r="Q131" t="str">
        <f>HYPERLINK("https://www.commcarehq.org/a/demo-18/api/form/attachment/26505b36-f12f-45dc-b056-81cddfed7f3e/1581496477607.jpg")</f>
        <v>https://www.commcarehq.org/a/demo-18/api/form/attachment/26505b36-f12f-45dc-b056-81cddfed7f3e/1581496477607.jpg</v>
      </c>
      <c r="R131" s="2">
        <v>43873.357395833336</v>
      </c>
      <c r="S131" s="2">
        <v>43873.355497685188</v>
      </c>
      <c r="T131" t="s">
        <v>32</v>
      </c>
      <c r="U131" s="2">
        <v>43873.35765046296</v>
      </c>
      <c r="V131" t="s">
        <v>1431</v>
      </c>
      <c r="W131" t="s">
        <v>1432</v>
      </c>
    </row>
    <row r="132" spans="1:23" x14ac:dyDescent="0.45">
      <c r="A132" t="s">
        <v>376</v>
      </c>
      <c r="B132">
        <v>5.5</v>
      </c>
      <c r="C132" s="1">
        <v>43915</v>
      </c>
      <c r="D132" s="1">
        <v>43885</v>
      </c>
      <c r="E132" t="s">
        <v>428</v>
      </c>
      <c r="F132" t="s">
        <v>429</v>
      </c>
      <c r="G132" t="s">
        <v>429</v>
      </c>
      <c r="H132" t="s">
        <v>429</v>
      </c>
      <c r="I132" t="s">
        <v>579</v>
      </c>
      <c r="J132" t="s">
        <v>428</v>
      </c>
      <c r="K132" t="s">
        <v>429</v>
      </c>
      <c r="L132" t="str">
        <f>HYPERLINK("https://www.commcarehq.org/a/demo-18/api/form/attachment/57291ccb-a687-4110-9755-998f9c4be179/1582538411726.jpg")</f>
        <v>https://www.commcarehq.org/a/demo-18/api/form/attachment/57291ccb-a687-4110-9755-998f9c4be179/1582538411726.jpg</v>
      </c>
      <c r="M132" t="str">
        <f>HYPERLINK("https://www.commcarehq.org/a/demo-18/api/form/attachment/57291ccb-a687-4110-9755-998f9c4be179/1582538424391.jpg")</f>
        <v>https://www.commcarehq.org/a/demo-18/api/form/attachment/57291ccb-a687-4110-9755-998f9c4be179/1582538424391.jpg</v>
      </c>
      <c r="N132" t="str">
        <f>HYPERLINK("https://www.commcarehq.org/a/demo-18/api/form/attachment/57291ccb-a687-4110-9755-998f9c4be179/1582538478173.jpg")</f>
        <v>https://www.commcarehq.org/a/demo-18/api/form/attachment/57291ccb-a687-4110-9755-998f9c4be179/1582538478173.jpg</v>
      </c>
      <c r="O132" t="str">
        <f>HYPERLINK("https://www.commcarehq.org/a/demo-18/api/form/attachment/57291ccb-a687-4110-9755-998f9c4be179/1582538487450.jpg")</f>
        <v>https://www.commcarehq.org/a/demo-18/api/form/attachment/57291ccb-a687-4110-9755-998f9c4be179/1582538487450.jpg</v>
      </c>
      <c r="P132" t="str">
        <f>HYPERLINK("https://www.commcarehq.org/a/demo-18/api/form/attachment/57291ccb-a687-4110-9755-998f9c4be179/1582538501472.jpg")</f>
        <v>https://www.commcarehq.org/a/demo-18/api/form/attachment/57291ccb-a687-4110-9755-998f9c4be179/1582538501472.jpg</v>
      </c>
      <c r="Q132" t="str">
        <f>HYPERLINK("https://www.commcarehq.org/a/demo-18/api/form/attachment/57291ccb-a687-4110-9755-998f9c4be179/1582538513819.jpg")</f>
        <v>https://www.commcarehq.org/a/demo-18/api/form/attachment/57291ccb-a687-4110-9755-998f9c4be179/1582538513819.jpg</v>
      </c>
      <c r="R132" s="2">
        <v>43885.417997685188</v>
      </c>
      <c r="S132" s="2">
        <v>43885.416250000002</v>
      </c>
      <c r="T132" t="s">
        <v>32</v>
      </c>
      <c r="U132" s="2">
        <v>43885.418263888889</v>
      </c>
      <c r="V132" t="s">
        <v>1411</v>
      </c>
      <c r="W132" t="s">
        <v>1412</v>
      </c>
    </row>
    <row r="133" spans="1:23" x14ac:dyDescent="0.45">
      <c r="A133" t="s">
        <v>140</v>
      </c>
      <c r="B133">
        <v>8</v>
      </c>
      <c r="C133" s="1">
        <v>43918</v>
      </c>
      <c r="D133" s="1">
        <v>43888</v>
      </c>
      <c r="E133" t="s">
        <v>428</v>
      </c>
      <c r="F133" t="s">
        <v>429</v>
      </c>
      <c r="G133" t="s">
        <v>429</v>
      </c>
      <c r="H133" t="s">
        <v>429</v>
      </c>
      <c r="I133" t="s">
        <v>447</v>
      </c>
      <c r="J133" t="s">
        <v>428</v>
      </c>
      <c r="K133" t="s">
        <v>429</v>
      </c>
      <c r="L133" t="str">
        <f>HYPERLINK("https://www.commcarehq.org/a/demo-18/api/form/attachment/abb685e7-5ae0-49fb-94e1-f3b3eb5da2f1/1582785669689.jpg")</f>
        <v>https://www.commcarehq.org/a/demo-18/api/form/attachment/abb685e7-5ae0-49fb-94e1-f3b3eb5da2f1/1582785669689.jpg</v>
      </c>
      <c r="M133" t="str">
        <f>HYPERLINK("https://www.commcarehq.org/a/demo-18/api/form/attachment/abb685e7-5ae0-49fb-94e1-f3b3eb5da2f1/1582785683841.jpg")</f>
        <v>https://www.commcarehq.org/a/demo-18/api/form/attachment/abb685e7-5ae0-49fb-94e1-f3b3eb5da2f1/1582785683841.jpg</v>
      </c>
      <c r="N133" t="str">
        <f>HYPERLINK("https://www.commcarehq.org/a/demo-18/api/form/attachment/abb685e7-5ae0-49fb-94e1-f3b3eb5da2f1/1582785724037.jpg")</f>
        <v>https://www.commcarehq.org/a/demo-18/api/form/attachment/abb685e7-5ae0-49fb-94e1-f3b3eb5da2f1/1582785724037.jpg</v>
      </c>
      <c r="O133" t="str">
        <f>HYPERLINK("https://www.commcarehq.org/a/demo-18/api/form/attachment/abb685e7-5ae0-49fb-94e1-f3b3eb5da2f1/1582785732137.jpg")</f>
        <v>https://www.commcarehq.org/a/demo-18/api/form/attachment/abb685e7-5ae0-49fb-94e1-f3b3eb5da2f1/1582785732137.jpg</v>
      </c>
      <c r="P133" t="str">
        <f>HYPERLINK("https://www.commcarehq.org/a/demo-18/api/form/attachment/abb685e7-5ae0-49fb-94e1-f3b3eb5da2f1/1582785751550.jpg")</f>
        <v>https://www.commcarehq.org/a/demo-18/api/form/attachment/abb685e7-5ae0-49fb-94e1-f3b3eb5da2f1/1582785751550.jpg</v>
      </c>
      <c r="Q133" t="str">
        <f>HYPERLINK("https://www.commcarehq.org/a/demo-18/api/form/attachment/abb685e7-5ae0-49fb-94e1-f3b3eb5da2f1/1582785759693.jpg")</f>
        <v>https://www.commcarehq.org/a/demo-18/api/form/attachment/abb685e7-5ae0-49fb-94e1-f3b3eb5da2f1/1582785759693.jpg</v>
      </c>
      <c r="R133" s="2">
        <v>43888.279641203706</v>
      </c>
      <c r="S133" s="2">
        <v>43888.278101851851</v>
      </c>
      <c r="T133" t="s">
        <v>32</v>
      </c>
      <c r="U133" s="2">
        <v>43888.27988425926</v>
      </c>
      <c r="V133" t="s">
        <v>1528</v>
      </c>
      <c r="W133" t="s">
        <v>1529</v>
      </c>
    </row>
    <row r="134" spans="1:23" x14ac:dyDescent="0.45">
      <c r="A134" t="s">
        <v>379</v>
      </c>
      <c r="B134">
        <v>6.7</v>
      </c>
      <c r="C134" s="1">
        <v>43912</v>
      </c>
      <c r="D134" s="1">
        <v>43882</v>
      </c>
      <c r="E134" t="s">
        <v>428</v>
      </c>
      <c r="F134" t="s">
        <v>429</v>
      </c>
      <c r="G134" t="s">
        <v>429</v>
      </c>
      <c r="H134" t="s">
        <v>429</v>
      </c>
      <c r="I134" t="s">
        <v>447</v>
      </c>
      <c r="J134" t="s">
        <v>428</v>
      </c>
      <c r="K134" t="s">
        <v>429</v>
      </c>
      <c r="L134" t="str">
        <f>HYPERLINK("https://www.commcarehq.org/a/demo-18/api/form/attachment/dd528639-4851-49fd-8932-9b782bc4cd03/1582269149900.jpg")</f>
        <v>https://www.commcarehq.org/a/demo-18/api/form/attachment/dd528639-4851-49fd-8932-9b782bc4cd03/1582269149900.jpg</v>
      </c>
      <c r="M134" t="str">
        <f>HYPERLINK("https://www.commcarehq.org/a/demo-18/api/form/attachment/dd528639-4851-49fd-8932-9b782bc4cd03/1582269165696.jpg")</f>
        <v>https://www.commcarehq.org/a/demo-18/api/form/attachment/dd528639-4851-49fd-8932-9b782bc4cd03/1582269165696.jpg</v>
      </c>
      <c r="N134" t="str">
        <f>HYPERLINK("https://www.commcarehq.org/a/demo-18/api/form/attachment/dd528639-4851-49fd-8932-9b782bc4cd03/1582269217862.jpg")</f>
        <v>https://www.commcarehq.org/a/demo-18/api/form/attachment/dd528639-4851-49fd-8932-9b782bc4cd03/1582269217862.jpg</v>
      </c>
      <c r="O134" t="str">
        <f>HYPERLINK("https://www.commcarehq.org/a/demo-18/api/form/attachment/dd528639-4851-49fd-8932-9b782bc4cd03/1582269227458.jpg")</f>
        <v>https://www.commcarehq.org/a/demo-18/api/form/attachment/dd528639-4851-49fd-8932-9b782bc4cd03/1582269227458.jpg</v>
      </c>
      <c r="P134" t="str">
        <f>HYPERLINK("https://www.commcarehq.org/a/demo-18/api/form/attachment/dd528639-4851-49fd-8932-9b782bc4cd03/1582269243674.jpg")</f>
        <v>https://www.commcarehq.org/a/demo-18/api/form/attachment/dd528639-4851-49fd-8932-9b782bc4cd03/1582269243674.jpg</v>
      </c>
      <c r="Q134" t="str">
        <f>HYPERLINK("https://www.commcarehq.org/a/demo-18/api/form/attachment/dd528639-4851-49fd-8932-9b782bc4cd03/1582269253582.jpg")</f>
        <v>https://www.commcarehq.org/a/demo-18/api/form/attachment/dd528639-4851-49fd-8932-9b782bc4cd03/1582269253582.jpg</v>
      </c>
      <c r="R134" s="2">
        <v>43882.301562499997</v>
      </c>
      <c r="S134" s="2">
        <v>43882.300023148149</v>
      </c>
      <c r="T134" t="s">
        <v>32</v>
      </c>
      <c r="U134" s="2">
        <v>43882.301817129628</v>
      </c>
      <c r="V134" t="s">
        <v>1381</v>
      </c>
      <c r="W134" t="s">
        <v>1382</v>
      </c>
    </row>
    <row r="135" spans="1:23" x14ac:dyDescent="0.45">
      <c r="A135" t="s">
        <v>92</v>
      </c>
      <c r="B135">
        <v>6.5</v>
      </c>
      <c r="C135" s="1">
        <v>43905</v>
      </c>
      <c r="D135" s="1">
        <v>43875</v>
      </c>
      <c r="E135" t="s">
        <v>428</v>
      </c>
      <c r="F135" t="s">
        <v>429</v>
      </c>
      <c r="G135" t="s">
        <v>429</v>
      </c>
      <c r="H135" t="s">
        <v>429</v>
      </c>
      <c r="I135" t="s">
        <v>1321</v>
      </c>
      <c r="J135" t="s">
        <v>428</v>
      </c>
      <c r="K135" t="s">
        <v>429</v>
      </c>
      <c r="L135" t="str">
        <f>HYPERLINK("https://www.commcarehq.org/a/demo-18/api/form/attachment/bd230a75-d5a6-4855-b075-3f4866f498c2/1581667819422.jpg")</f>
        <v>https://www.commcarehq.org/a/demo-18/api/form/attachment/bd230a75-d5a6-4855-b075-3f4866f498c2/1581667819422.jpg</v>
      </c>
      <c r="M135" t="str">
        <f>HYPERLINK("https://www.commcarehq.org/a/demo-18/api/form/attachment/bd230a75-d5a6-4855-b075-3f4866f498c2/1581667834908.jpg")</f>
        <v>https://www.commcarehq.org/a/demo-18/api/form/attachment/bd230a75-d5a6-4855-b075-3f4866f498c2/1581667834908.jpg</v>
      </c>
      <c r="N135" t="str">
        <f>HYPERLINK("https://www.commcarehq.org/a/demo-18/api/form/attachment/bd230a75-d5a6-4855-b075-3f4866f498c2/1581667884342.jpg")</f>
        <v>https://www.commcarehq.org/a/demo-18/api/form/attachment/bd230a75-d5a6-4855-b075-3f4866f498c2/1581667884342.jpg</v>
      </c>
      <c r="O135" t="str">
        <f>HYPERLINK("https://www.commcarehq.org/a/demo-18/api/form/attachment/bd230a75-d5a6-4855-b075-3f4866f498c2/1581667893501.jpg")</f>
        <v>https://www.commcarehq.org/a/demo-18/api/form/attachment/bd230a75-d5a6-4855-b075-3f4866f498c2/1581667893501.jpg</v>
      </c>
      <c r="P135" t="str">
        <f>HYPERLINK("https://www.commcarehq.org/a/demo-18/api/form/attachment/bd230a75-d5a6-4855-b075-3f4866f498c2/1581667906959.jpg")</f>
        <v>https://www.commcarehq.org/a/demo-18/api/form/attachment/bd230a75-d5a6-4855-b075-3f4866f498c2/1581667906959.jpg</v>
      </c>
      <c r="Q135" t="str">
        <f>HYPERLINK("https://www.commcarehq.org/a/demo-18/api/form/attachment/bd230a75-d5a6-4855-b075-3f4866f498c2/1581667916796.jpg")</f>
        <v>https://www.commcarehq.org/a/demo-18/api/form/attachment/bd230a75-d5a6-4855-b075-3f4866f498c2/1581667916796.jpg</v>
      </c>
      <c r="R135" s="2">
        <v>43875.341643518521</v>
      </c>
      <c r="S135" s="2">
        <v>43875.339988425927</v>
      </c>
      <c r="T135" t="s">
        <v>32</v>
      </c>
      <c r="U135" s="2">
        <v>43875.341979166667</v>
      </c>
      <c r="V135" t="s">
        <v>1387</v>
      </c>
      <c r="W135" t="s">
        <v>1388</v>
      </c>
    </row>
    <row r="136" spans="1:23" x14ac:dyDescent="0.45">
      <c r="A136" t="s">
        <v>59</v>
      </c>
      <c r="B136">
        <v>5.9</v>
      </c>
      <c r="C136" s="1">
        <v>43911</v>
      </c>
      <c r="D136" s="1">
        <v>43881</v>
      </c>
      <c r="E136" t="s">
        <v>428</v>
      </c>
      <c r="F136" t="s">
        <v>429</v>
      </c>
      <c r="G136" t="s">
        <v>429</v>
      </c>
      <c r="H136" t="s">
        <v>429</v>
      </c>
      <c r="I136" t="s">
        <v>498</v>
      </c>
      <c r="J136" t="s">
        <v>428</v>
      </c>
      <c r="K136" t="s">
        <v>429</v>
      </c>
      <c r="L136" t="str">
        <f>HYPERLINK("https://www.commcarehq.org/a/demo-18/api/form/attachment/f02096a6-d407-41dd-8911-ac09942f9fb5/1582183061194.jpg")</f>
        <v>https://www.commcarehq.org/a/demo-18/api/form/attachment/f02096a6-d407-41dd-8911-ac09942f9fb5/1582183061194.jpg</v>
      </c>
      <c r="M136" t="str">
        <f>HYPERLINK("https://www.commcarehq.org/a/demo-18/api/form/attachment/f02096a6-d407-41dd-8911-ac09942f9fb5/1582183078288.jpg")</f>
        <v>https://www.commcarehq.org/a/demo-18/api/form/attachment/f02096a6-d407-41dd-8911-ac09942f9fb5/1582183078288.jpg</v>
      </c>
      <c r="N136" t="str">
        <f>HYPERLINK("https://www.commcarehq.org/a/demo-18/api/form/attachment/f02096a6-d407-41dd-8911-ac09942f9fb5/1582183136090.jpg")</f>
        <v>https://www.commcarehq.org/a/demo-18/api/form/attachment/f02096a6-d407-41dd-8911-ac09942f9fb5/1582183136090.jpg</v>
      </c>
      <c r="O136" t="str">
        <f>HYPERLINK("https://www.commcarehq.org/a/demo-18/api/form/attachment/f02096a6-d407-41dd-8911-ac09942f9fb5/1582183145274.jpg")</f>
        <v>https://www.commcarehq.org/a/demo-18/api/form/attachment/f02096a6-d407-41dd-8911-ac09942f9fb5/1582183145274.jpg</v>
      </c>
      <c r="P136" t="str">
        <f>HYPERLINK("https://www.commcarehq.org/a/demo-18/api/form/attachment/f02096a6-d407-41dd-8911-ac09942f9fb5/1582183184992.jpg")</f>
        <v>https://www.commcarehq.org/a/demo-18/api/form/attachment/f02096a6-d407-41dd-8911-ac09942f9fb5/1582183184992.jpg</v>
      </c>
      <c r="Q136" t="str">
        <f>HYPERLINK("https://www.commcarehq.org/a/demo-18/api/form/attachment/f02096a6-d407-41dd-8911-ac09942f9fb5/1582183194452.jpg")</f>
        <v>https://www.commcarehq.org/a/demo-18/api/form/attachment/f02096a6-d407-41dd-8911-ac09942f9fb5/1582183194452.jpg</v>
      </c>
      <c r="R136" s="2">
        <v>43881.305509259262</v>
      </c>
      <c r="S136" s="2">
        <v>43881.30327546296</v>
      </c>
      <c r="T136" t="s">
        <v>32</v>
      </c>
      <c r="U136" s="2">
        <v>43881.305752314816</v>
      </c>
      <c r="V136" t="s">
        <v>1417</v>
      </c>
      <c r="W136" t="s">
        <v>1418</v>
      </c>
    </row>
    <row r="137" spans="1:23" x14ac:dyDescent="0.45">
      <c r="A137" t="s">
        <v>367</v>
      </c>
      <c r="B137">
        <v>7.4</v>
      </c>
      <c r="C137" s="1">
        <v>43919</v>
      </c>
      <c r="D137" s="1">
        <v>43889</v>
      </c>
      <c r="E137" t="s">
        <v>428</v>
      </c>
      <c r="F137" t="s">
        <v>429</v>
      </c>
      <c r="G137" t="s">
        <v>429</v>
      </c>
      <c r="H137" t="s">
        <v>429</v>
      </c>
      <c r="I137" t="s">
        <v>579</v>
      </c>
      <c r="J137" t="s">
        <v>428</v>
      </c>
      <c r="K137" t="s">
        <v>429</v>
      </c>
      <c r="L137" t="str">
        <f>HYPERLINK("https://www.commcarehq.org/a/demo-18/api/form/attachment/aab38e10-6b14-4301-a350-3e23c5019f7f/1582879761058.jpg")</f>
        <v>https://www.commcarehq.org/a/demo-18/api/form/attachment/aab38e10-6b14-4301-a350-3e23c5019f7f/1582879761058.jpg</v>
      </c>
      <c r="M137" t="str">
        <f>HYPERLINK("https://www.commcarehq.org/a/demo-18/api/form/attachment/aab38e10-6b14-4301-a350-3e23c5019f7f/1582879777925.jpg")</f>
        <v>https://www.commcarehq.org/a/demo-18/api/form/attachment/aab38e10-6b14-4301-a350-3e23c5019f7f/1582879777925.jpg</v>
      </c>
      <c r="N137" t="str">
        <f>HYPERLINK("https://www.commcarehq.org/a/demo-18/api/form/attachment/aab38e10-6b14-4301-a350-3e23c5019f7f/1582879816478.jpg")</f>
        <v>https://www.commcarehq.org/a/demo-18/api/form/attachment/aab38e10-6b14-4301-a350-3e23c5019f7f/1582879816478.jpg</v>
      </c>
      <c r="O137" t="str">
        <f>HYPERLINK("https://www.commcarehq.org/a/demo-18/api/form/attachment/aab38e10-6b14-4301-a350-3e23c5019f7f/1582879825262.jpg")</f>
        <v>https://www.commcarehq.org/a/demo-18/api/form/attachment/aab38e10-6b14-4301-a350-3e23c5019f7f/1582879825262.jpg</v>
      </c>
      <c r="P137" t="str">
        <f>HYPERLINK("https://www.commcarehq.org/a/demo-18/api/form/attachment/aab38e10-6b14-4301-a350-3e23c5019f7f/1582879841074.jpg")</f>
        <v>https://www.commcarehq.org/a/demo-18/api/form/attachment/aab38e10-6b14-4301-a350-3e23c5019f7f/1582879841074.jpg</v>
      </c>
      <c r="Q137" t="str">
        <f>HYPERLINK("https://www.commcarehq.org/a/demo-18/api/form/attachment/aab38e10-6b14-4301-a350-3e23c5019f7f/1582879852230.jpg")</f>
        <v>https://www.commcarehq.org/a/demo-18/api/form/attachment/aab38e10-6b14-4301-a350-3e23c5019f7f/1582879852230.jpg</v>
      </c>
      <c r="R137" s="2">
        <v>43889.368668981479</v>
      </c>
      <c r="S137" s="2">
        <v>43889.367175925923</v>
      </c>
      <c r="T137" t="s">
        <v>32</v>
      </c>
      <c r="U137" s="2">
        <v>43889.368900462963</v>
      </c>
      <c r="V137" t="s">
        <v>1562</v>
      </c>
      <c r="W137" t="s">
        <v>1563</v>
      </c>
    </row>
    <row r="138" spans="1:23" x14ac:dyDescent="0.45">
      <c r="A138" t="s">
        <v>178</v>
      </c>
      <c r="B138">
        <v>6.1</v>
      </c>
      <c r="C138" s="1">
        <v>43922</v>
      </c>
      <c r="D138" s="1">
        <v>43892</v>
      </c>
      <c r="E138" t="s">
        <v>428</v>
      </c>
      <c r="F138" t="s">
        <v>429</v>
      </c>
      <c r="G138" t="s">
        <v>429</v>
      </c>
      <c r="H138" t="s">
        <v>429</v>
      </c>
      <c r="I138" t="s">
        <v>447</v>
      </c>
      <c r="J138" t="s">
        <v>428</v>
      </c>
      <c r="K138" t="s">
        <v>429</v>
      </c>
      <c r="L138" t="str">
        <f>HYPERLINK("https://www.commcarehq.org/a/demo-18/api/form/attachment/2d925c48-ba77-4cb3-a31a-e397d883c10f/1583137322927.jpg")</f>
        <v>https://www.commcarehq.org/a/demo-18/api/form/attachment/2d925c48-ba77-4cb3-a31a-e397d883c10f/1583137322927.jpg</v>
      </c>
      <c r="M138" t="str">
        <f>HYPERLINK("https://www.commcarehq.org/a/demo-18/api/form/attachment/2d925c48-ba77-4cb3-a31a-e397d883c10f/1583137339263.jpg")</f>
        <v>https://www.commcarehq.org/a/demo-18/api/form/attachment/2d925c48-ba77-4cb3-a31a-e397d883c10f/1583137339263.jpg</v>
      </c>
      <c r="N138" t="str">
        <f>HYPERLINK("https://www.commcarehq.org/a/demo-18/api/form/attachment/2d925c48-ba77-4cb3-a31a-e397d883c10f/1583137481171.jpg")</f>
        <v>https://www.commcarehq.org/a/demo-18/api/form/attachment/2d925c48-ba77-4cb3-a31a-e397d883c10f/1583137481171.jpg</v>
      </c>
      <c r="O138" t="str">
        <f>HYPERLINK("https://www.commcarehq.org/a/demo-18/api/form/attachment/2d925c48-ba77-4cb3-a31a-e397d883c10f/1583137490654.jpg")</f>
        <v>https://www.commcarehq.org/a/demo-18/api/form/attachment/2d925c48-ba77-4cb3-a31a-e397d883c10f/1583137490654.jpg</v>
      </c>
      <c r="P138" t="str">
        <f>HYPERLINK("https://www.commcarehq.org/a/demo-18/api/form/attachment/2d925c48-ba77-4cb3-a31a-e397d883c10f/1583137506286.jpg")</f>
        <v>https://www.commcarehq.org/a/demo-18/api/form/attachment/2d925c48-ba77-4cb3-a31a-e397d883c10f/1583137506286.jpg</v>
      </c>
      <c r="Q138" t="str">
        <f>HYPERLINK("https://www.commcarehq.org/a/demo-18/api/form/attachment/2d925c48-ba77-4cb3-a31a-e397d883c10f/1583137516092.jpg")</f>
        <v>https://www.commcarehq.org/a/demo-18/api/form/attachment/2d925c48-ba77-4cb3-a31a-e397d883c10f/1583137516092.jpg</v>
      </c>
      <c r="R138" s="2">
        <v>43892.350891203707</v>
      </c>
      <c r="S138" s="2">
        <v>43892.347962962966</v>
      </c>
      <c r="T138" t="s">
        <v>32</v>
      </c>
      <c r="U138" s="2">
        <v>43892.351076388892</v>
      </c>
      <c r="V138" t="s">
        <v>1564</v>
      </c>
      <c r="W138" t="s">
        <v>1565</v>
      </c>
    </row>
    <row r="139" spans="1:23" x14ac:dyDescent="0.45">
      <c r="A139" t="s">
        <v>71</v>
      </c>
      <c r="B139">
        <v>7.1</v>
      </c>
      <c r="C139" s="1">
        <v>43915</v>
      </c>
      <c r="D139" s="1">
        <v>43885</v>
      </c>
      <c r="E139" t="s">
        <v>428</v>
      </c>
      <c r="F139" t="s">
        <v>429</v>
      </c>
      <c r="G139" t="s">
        <v>429</v>
      </c>
      <c r="H139" t="s">
        <v>429</v>
      </c>
      <c r="I139" t="s">
        <v>1321</v>
      </c>
      <c r="J139" t="s">
        <v>428</v>
      </c>
      <c r="K139" t="s">
        <v>429</v>
      </c>
      <c r="L139" t="str">
        <f>HYPERLINK("https://www.commcarehq.org/a/demo-18/api/form/attachment/e1453ab0-53df-4ee0-91df-9c93c044cd3e/1582528745539.jpg")</f>
        <v>https://www.commcarehq.org/a/demo-18/api/form/attachment/e1453ab0-53df-4ee0-91df-9c93c044cd3e/1582528745539.jpg</v>
      </c>
      <c r="M139" t="str">
        <f>HYPERLINK("https://www.commcarehq.org/a/demo-18/api/form/attachment/e1453ab0-53df-4ee0-91df-9c93c044cd3e/1582528762705.jpg")</f>
        <v>https://www.commcarehq.org/a/demo-18/api/form/attachment/e1453ab0-53df-4ee0-91df-9c93c044cd3e/1582528762705.jpg</v>
      </c>
      <c r="N139" t="str">
        <f>HYPERLINK("https://www.commcarehq.org/a/demo-18/api/form/attachment/e1453ab0-53df-4ee0-91df-9c93c044cd3e/1582528821322.jpg")</f>
        <v>https://www.commcarehq.org/a/demo-18/api/form/attachment/e1453ab0-53df-4ee0-91df-9c93c044cd3e/1582528821322.jpg</v>
      </c>
      <c r="O139" t="str">
        <f>HYPERLINK("https://www.commcarehq.org/a/demo-18/api/form/attachment/e1453ab0-53df-4ee0-91df-9c93c044cd3e/1582528829792.jpg")</f>
        <v>https://www.commcarehq.org/a/demo-18/api/form/attachment/e1453ab0-53df-4ee0-91df-9c93c044cd3e/1582528829792.jpg</v>
      </c>
      <c r="P139" t="str">
        <f>HYPERLINK("https://www.commcarehq.org/a/demo-18/api/form/attachment/e1453ab0-53df-4ee0-91df-9c93c044cd3e/1582528874139.jpg")</f>
        <v>https://www.commcarehq.org/a/demo-18/api/form/attachment/e1453ab0-53df-4ee0-91df-9c93c044cd3e/1582528874139.jpg</v>
      </c>
      <c r="Q139" t="str">
        <f>HYPERLINK("https://www.commcarehq.org/a/demo-18/api/form/attachment/e1453ab0-53df-4ee0-91df-9c93c044cd3e/1582528882813.jpg")</f>
        <v>https://www.commcarehq.org/a/demo-18/api/form/attachment/e1453ab0-53df-4ee0-91df-9c93c044cd3e/1582528882813.jpg</v>
      </c>
      <c r="R139" s="2">
        <v>43885.306527777779</v>
      </c>
      <c r="S139" s="2">
        <v>43885.304652777777</v>
      </c>
      <c r="T139" t="s">
        <v>32</v>
      </c>
      <c r="U139" s="2">
        <v>43885.306770833333</v>
      </c>
      <c r="V139" t="s">
        <v>1443</v>
      </c>
      <c r="W139" t="s">
        <v>1444</v>
      </c>
    </row>
    <row r="140" spans="1:23" x14ac:dyDescent="0.45">
      <c r="A140" t="s">
        <v>364</v>
      </c>
      <c r="B140">
        <v>5.0999999999999996</v>
      </c>
      <c r="C140" s="1">
        <v>43915</v>
      </c>
      <c r="D140" s="1">
        <v>43885</v>
      </c>
      <c r="E140" t="s">
        <v>428</v>
      </c>
      <c r="F140" t="s">
        <v>429</v>
      </c>
      <c r="G140" t="s">
        <v>429</v>
      </c>
      <c r="H140" t="s">
        <v>429</v>
      </c>
      <c r="I140" t="s">
        <v>447</v>
      </c>
      <c r="J140" t="s">
        <v>428</v>
      </c>
      <c r="K140" t="s">
        <v>429</v>
      </c>
      <c r="L140" t="str">
        <f>HYPERLINK("https://www.commcarehq.org/a/demo-18/api/form/attachment/b11f721c-40b5-4f94-a5db-653b302f12ed/1582525254077.jpg")</f>
        <v>https://www.commcarehq.org/a/demo-18/api/form/attachment/b11f721c-40b5-4f94-a5db-653b302f12ed/1582525254077.jpg</v>
      </c>
      <c r="M140" t="str">
        <f>HYPERLINK("https://www.commcarehq.org/a/demo-18/api/form/attachment/b11f721c-40b5-4f94-a5db-653b302f12ed/1582525269951.jpg")</f>
        <v>https://www.commcarehq.org/a/demo-18/api/form/attachment/b11f721c-40b5-4f94-a5db-653b302f12ed/1582525269951.jpg</v>
      </c>
      <c r="N140" t="str">
        <f>HYPERLINK("https://www.commcarehq.org/a/demo-18/api/form/attachment/b11f721c-40b5-4f94-a5db-653b302f12ed/1582525302406.jpg")</f>
        <v>https://www.commcarehq.org/a/demo-18/api/form/attachment/b11f721c-40b5-4f94-a5db-653b302f12ed/1582525302406.jpg</v>
      </c>
      <c r="O140" t="str">
        <f>HYPERLINK("https://www.commcarehq.org/a/demo-18/api/form/attachment/b11f721c-40b5-4f94-a5db-653b302f12ed/1582525311844.jpg")</f>
        <v>https://www.commcarehq.org/a/demo-18/api/form/attachment/b11f721c-40b5-4f94-a5db-653b302f12ed/1582525311844.jpg</v>
      </c>
      <c r="P140" t="str">
        <f>HYPERLINK("https://www.commcarehq.org/a/demo-18/api/form/attachment/b11f721c-40b5-4f94-a5db-653b302f12ed/1582525354839.jpg")</f>
        <v>https://www.commcarehq.org/a/demo-18/api/form/attachment/b11f721c-40b5-4f94-a5db-653b302f12ed/1582525354839.jpg</v>
      </c>
      <c r="Q140" t="str">
        <f>HYPERLINK("https://www.commcarehq.org/a/demo-18/api/form/attachment/b11f721c-40b5-4f94-a5db-653b302f12ed/1582525369142.jpg")</f>
        <v>https://www.commcarehq.org/a/demo-18/api/form/attachment/b11f721c-40b5-4f94-a5db-653b302f12ed/1582525369142.jpg</v>
      </c>
      <c r="R140" s="2">
        <v>43885.265856481485</v>
      </c>
      <c r="S140" s="2">
        <v>43885.264016203706</v>
      </c>
      <c r="T140" t="s">
        <v>32</v>
      </c>
      <c r="U140" s="2">
        <v>43885.266099537039</v>
      </c>
      <c r="V140" t="s">
        <v>1383</v>
      </c>
      <c r="W140" t="s">
        <v>1384</v>
      </c>
    </row>
    <row r="141" spans="1:23" x14ac:dyDescent="0.45">
      <c r="A141" t="s">
        <v>184</v>
      </c>
      <c r="B141">
        <v>6.8</v>
      </c>
      <c r="C141" s="1">
        <v>43917</v>
      </c>
      <c r="D141" s="1">
        <v>43887</v>
      </c>
      <c r="E141" t="s">
        <v>428</v>
      </c>
      <c r="F141" t="s">
        <v>429</v>
      </c>
      <c r="G141" t="s">
        <v>429</v>
      </c>
      <c r="H141" t="s">
        <v>429</v>
      </c>
      <c r="I141" t="s">
        <v>447</v>
      </c>
      <c r="J141" t="s">
        <v>428</v>
      </c>
      <c r="K141" t="s">
        <v>429</v>
      </c>
      <c r="L141" t="str">
        <f>HYPERLINK("https://www.commcarehq.org/a/demo-18/api/form/attachment/aee05eb4-54e3-4313-a062-0bb16795f0c8/1582700527717.jpg")</f>
        <v>https://www.commcarehq.org/a/demo-18/api/form/attachment/aee05eb4-54e3-4313-a062-0bb16795f0c8/1582700527717.jpg</v>
      </c>
      <c r="M141" t="str">
        <f>HYPERLINK("https://www.commcarehq.org/a/demo-18/api/form/attachment/aee05eb4-54e3-4313-a062-0bb16795f0c8/1582700546209.jpg")</f>
        <v>https://www.commcarehq.org/a/demo-18/api/form/attachment/aee05eb4-54e3-4313-a062-0bb16795f0c8/1582700546209.jpg</v>
      </c>
      <c r="N141" t="str">
        <f>HYPERLINK("https://www.commcarehq.org/a/demo-18/api/form/attachment/aee05eb4-54e3-4313-a062-0bb16795f0c8/1582700582958.jpg")</f>
        <v>https://www.commcarehq.org/a/demo-18/api/form/attachment/aee05eb4-54e3-4313-a062-0bb16795f0c8/1582700582958.jpg</v>
      </c>
      <c r="O141" t="str">
        <f>HYPERLINK("https://www.commcarehq.org/a/demo-18/api/form/attachment/aee05eb4-54e3-4313-a062-0bb16795f0c8/1582700593982.jpg")</f>
        <v>https://www.commcarehq.org/a/demo-18/api/form/attachment/aee05eb4-54e3-4313-a062-0bb16795f0c8/1582700593982.jpg</v>
      </c>
      <c r="P141" t="str">
        <f>HYPERLINK("https://www.commcarehq.org/a/demo-18/api/form/attachment/aee05eb4-54e3-4313-a062-0bb16795f0c8/1582700610641.jpg")</f>
        <v>https://www.commcarehq.org/a/demo-18/api/form/attachment/aee05eb4-54e3-4313-a062-0bb16795f0c8/1582700610641.jpg</v>
      </c>
      <c r="Q141" t="str">
        <f>HYPERLINK("https://www.commcarehq.org/a/demo-18/api/form/attachment/aee05eb4-54e3-4313-a062-0bb16795f0c8/1582700625465.jpg")</f>
        <v>https://www.commcarehq.org/a/demo-18/api/form/attachment/aee05eb4-54e3-4313-a062-0bb16795f0c8/1582700625465.jpg</v>
      </c>
      <c r="R141" s="2">
        <v>43887.294293981482</v>
      </c>
      <c r="S141" s="2">
        <v>43887.292534722219</v>
      </c>
      <c r="T141" t="s">
        <v>32</v>
      </c>
      <c r="U141" s="2">
        <v>43887.471331018518</v>
      </c>
      <c r="V141" t="s">
        <v>1540</v>
      </c>
      <c r="W141" t="s">
        <v>1541</v>
      </c>
    </row>
    <row r="142" spans="1:23" x14ac:dyDescent="0.45">
      <c r="A142" t="s">
        <v>181</v>
      </c>
      <c r="B142">
        <v>6.1</v>
      </c>
      <c r="C142" s="1">
        <v>43915</v>
      </c>
      <c r="D142" s="1">
        <v>43885</v>
      </c>
      <c r="E142" t="s">
        <v>428</v>
      </c>
      <c r="F142" t="s">
        <v>429</v>
      </c>
      <c r="G142" t="s">
        <v>429</v>
      </c>
      <c r="H142" t="s">
        <v>429</v>
      </c>
      <c r="I142" t="s">
        <v>498</v>
      </c>
      <c r="J142" t="s">
        <v>428</v>
      </c>
      <c r="K142" t="s">
        <v>429</v>
      </c>
      <c r="L142" t="str">
        <f>HYPERLINK("https://www.commcarehq.org/a/demo-18/api/form/attachment/df2113c7-8284-4cc7-9937-2533c02d1286/1582529160267.jpg")</f>
        <v>https://www.commcarehq.org/a/demo-18/api/form/attachment/df2113c7-8284-4cc7-9937-2533c02d1286/1582529160267.jpg</v>
      </c>
      <c r="M142" t="str">
        <f>HYPERLINK("https://www.commcarehq.org/a/demo-18/api/form/attachment/df2113c7-8284-4cc7-9937-2533c02d1286/1582529175662.jpg")</f>
        <v>https://www.commcarehq.org/a/demo-18/api/form/attachment/df2113c7-8284-4cc7-9937-2533c02d1286/1582529175662.jpg</v>
      </c>
      <c r="N142" t="str">
        <f>HYPERLINK("https://www.commcarehq.org/a/demo-18/api/form/attachment/df2113c7-8284-4cc7-9937-2533c02d1286/1582529221378.jpg")</f>
        <v>https://www.commcarehq.org/a/demo-18/api/form/attachment/df2113c7-8284-4cc7-9937-2533c02d1286/1582529221378.jpg</v>
      </c>
      <c r="O142" t="str">
        <f>HYPERLINK("https://www.commcarehq.org/a/demo-18/api/form/attachment/df2113c7-8284-4cc7-9937-2533c02d1286/1582529229384.jpg")</f>
        <v>https://www.commcarehq.org/a/demo-18/api/form/attachment/df2113c7-8284-4cc7-9937-2533c02d1286/1582529229384.jpg</v>
      </c>
      <c r="P142" t="str">
        <f>HYPERLINK("https://www.commcarehq.org/a/demo-18/api/form/attachment/df2113c7-8284-4cc7-9937-2533c02d1286/1582529250310.jpg")</f>
        <v>https://www.commcarehq.org/a/demo-18/api/form/attachment/df2113c7-8284-4cc7-9937-2533c02d1286/1582529250310.jpg</v>
      </c>
      <c r="Q142" t="str">
        <f>HYPERLINK("https://www.commcarehq.org/a/demo-18/api/form/attachment/df2113c7-8284-4cc7-9937-2533c02d1286/1582529257924.jpg")</f>
        <v>https://www.commcarehq.org/a/demo-18/api/form/attachment/df2113c7-8284-4cc7-9937-2533c02d1286/1582529257924.jpg</v>
      </c>
      <c r="R142" s="2">
        <v>43885.310868055552</v>
      </c>
      <c r="S142" s="2">
        <v>43885.309247685182</v>
      </c>
      <c r="T142" t="s">
        <v>32</v>
      </c>
      <c r="U142" s="2">
        <v>43885.311180555553</v>
      </c>
      <c r="V142" t="s">
        <v>1441</v>
      </c>
      <c r="W142" t="s">
        <v>1442</v>
      </c>
    </row>
    <row r="143" spans="1:23" x14ac:dyDescent="0.45">
      <c r="A143" t="s">
        <v>19</v>
      </c>
      <c r="B143">
        <v>6.7</v>
      </c>
      <c r="C143" s="1">
        <v>43903</v>
      </c>
      <c r="D143" s="1">
        <v>43873</v>
      </c>
      <c r="E143" t="s">
        <v>428</v>
      </c>
      <c r="F143" t="s">
        <v>429</v>
      </c>
      <c r="G143" t="s">
        <v>429</v>
      </c>
      <c r="H143" t="s">
        <v>429</v>
      </c>
      <c r="I143" t="s">
        <v>1321</v>
      </c>
      <c r="J143" t="s">
        <v>428</v>
      </c>
      <c r="K143" t="s">
        <v>429</v>
      </c>
      <c r="L143" t="str">
        <f>HYPERLINK("https://www.commcarehq.org/a/demo-18/api/form/attachment/b080bddf-d4e2-4429-9c93-a5248283f66b/1581496942069.jpg")</f>
        <v>https://www.commcarehq.org/a/demo-18/api/form/attachment/b080bddf-d4e2-4429-9c93-a5248283f66b/1581496942069.jpg</v>
      </c>
      <c r="M143" t="str">
        <f>HYPERLINK("https://www.commcarehq.org/a/demo-18/api/form/attachment/b080bddf-d4e2-4429-9c93-a5248283f66b/1581496959546.jpg")</f>
        <v>https://www.commcarehq.org/a/demo-18/api/form/attachment/b080bddf-d4e2-4429-9c93-a5248283f66b/1581496959546.jpg</v>
      </c>
      <c r="N143" t="str">
        <f>HYPERLINK("https://www.commcarehq.org/a/demo-18/api/form/attachment/b080bddf-d4e2-4429-9c93-a5248283f66b/1581497014379.jpg")</f>
        <v>https://www.commcarehq.org/a/demo-18/api/form/attachment/b080bddf-d4e2-4429-9c93-a5248283f66b/1581497014379.jpg</v>
      </c>
      <c r="O143" t="str">
        <f>HYPERLINK("https://www.commcarehq.org/a/demo-18/api/form/attachment/b080bddf-d4e2-4429-9c93-a5248283f66b/1581497025769.jpg")</f>
        <v>https://www.commcarehq.org/a/demo-18/api/form/attachment/b080bddf-d4e2-4429-9c93-a5248283f66b/1581497025769.jpg</v>
      </c>
      <c r="P143" t="str">
        <f>HYPERLINK("https://www.commcarehq.org/a/demo-18/api/form/attachment/b080bddf-d4e2-4429-9c93-a5248283f66b/1581497079245.jpg")</f>
        <v>https://www.commcarehq.org/a/demo-18/api/form/attachment/b080bddf-d4e2-4429-9c93-a5248283f66b/1581497079245.jpg</v>
      </c>
      <c r="Q143" t="str">
        <f>HYPERLINK("https://www.commcarehq.org/a/demo-18/api/form/attachment/b080bddf-d4e2-4429-9c93-a5248283f66b/1581497091431.jpg")</f>
        <v>https://www.commcarehq.org/a/demo-18/api/form/attachment/b080bddf-d4e2-4429-9c93-a5248283f66b/1581497091431.jpg</v>
      </c>
      <c r="R143" s="2">
        <v>43873.364502314813</v>
      </c>
      <c r="S143" s="2">
        <v>43873.362164351849</v>
      </c>
      <c r="T143" t="s">
        <v>32</v>
      </c>
      <c r="U143" s="2">
        <v>43873.364733796298</v>
      </c>
      <c r="V143" t="s">
        <v>1433</v>
      </c>
      <c r="W143" t="s">
        <v>1434</v>
      </c>
    </row>
    <row r="144" spans="1:23" x14ac:dyDescent="0.45">
      <c r="A144" t="s">
        <v>223</v>
      </c>
      <c r="B144">
        <v>6.2</v>
      </c>
      <c r="C144" s="1">
        <v>43918</v>
      </c>
      <c r="D144" s="1">
        <v>43888</v>
      </c>
      <c r="E144" t="s">
        <v>428</v>
      </c>
      <c r="F144" t="s">
        <v>429</v>
      </c>
      <c r="G144" t="s">
        <v>429</v>
      </c>
      <c r="H144" t="s">
        <v>429</v>
      </c>
      <c r="I144" t="s">
        <v>447</v>
      </c>
      <c r="J144" t="s">
        <v>428</v>
      </c>
      <c r="K144" t="s">
        <v>429</v>
      </c>
      <c r="L144" t="str">
        <f>HYPERLINK("https://www.commcarehq.org/a/demo-18/api/form/attachment/ef36eb7a-e14c-485a-b7b5-8e007563d36e/1582790752280.jpg")</f>
        <v>https://www.commcarehq.org/a/demo-18/api/form/attachment/ef36eb7a-e14c-485a-b7b5-8e007563d36e/1582790752280.jpg</v>
      </c>
      <c r="M144" t="str">
        <f>HYPERLINK("https://www.commcarehq.org/a/demo-18/api/form/attachment/ef36eb7a-e14c-485a-b7b5-8e007563d36e/1582790773311.jpg")</f>
        <v>https://www.commcarehq.org/a/demo-18/api/form/attachment/ef36eb7a-e14c-485a-b7b5-8e007563d36e/1582790773311.jpg</v>
      </c>
      <c r="N144" t="str">
        <f>HYPERLINK("https://www.commcarehq.org/a/demo-18/api/form/attachment/ef36eb7a-e14c-485a-b7b5-8e007563d36e/1582790818329.jpg")</f>
        <v>https://www.commcarehq.org/a/demo-18/api/form/attachment/ef36eb7a-e14c-485a-b7b5-8e007563d36e/1582790818329.jpg</v>
      </c>
      <c r="O144" t="str">
        <f>HYPERLINK("https://www.commcarehq.org/a/demo-18/api/form/attachment/ef36eb7a-e14c-485a-b7b5-8e007563d36e/1582790828441.jpg")</f>
        <v>https://www.commcarehq.org/a/demo-18/api/form/attachment/ef36eb7a-e14c-485a-b7b5-8e007563d36e/1582790828441.jpg</v>
      </c>
      <c r="P144" t="str">
        <f>HYPERLINK("https://www.commcarehq.org/a/demo-18/api/form/attachment/ef36eb7a-e14c-485a-b7b5-8e007563d36e/1582790845515.jpg")</f>
        <v>https://www.commcarehq.org/a/demo-18/api/form/attachment/ef36eb7a-e14c-485a-b7b5-8e007563d36e/1582790845515.jpg</v>
      </c>
      <c r="Q144" t="str">
        <f>HYPERLINK("https://www.commcarehq.org/a/demo-18/api/form/attachment/ef36eb7a-e14c-485a-b7b5-8e007563d36e/1582790855458.jpg")</f>
        <v>https://www.commcarehq.org/a/demo-18/api/form/attachment/ef36eb7a-e14c-485a-b7b5-8e007563d36e/1582790855458.jpg</v>
      </c>
      <c r="R144" s="2">
        <v>43888.33861111111</v>
      </c>
      <c r="S144" s="2">
        <v>43888.337060185186</v>
      </c>
      <c r="T144" t="s">
        <v>32</v>
      </c>
      <c r="U144" s="2">
        <v>43888.338854166665</v>
      </c>
      <c r="V144" t="s">
        <v>1532</v>
      </c>
      <c r="W144" t="s">
        <v>1533</v>
      </c>
    </row>
    <row r="145" spans="1:23" x14ac:dyDescent="0.45">
      <c r="A145" t="s">
        <v>226</v>
      </c>
      <c r="B145">
        <v>7.8</v>
      </c>
      <c r="C145" s="1">
        <v>43918</v>
      </c>
      <c r="D145" s="1">
        <v>43888</v>
      </c>
      <c r="E145" t="s">
        <v>428</v>
      </c>
      <c r="F145" t="s">
        <v>429</v>
      </c>
      <c r="G145" t="s">
        <v>429</v>
      </c>
      <c r="H145" t="s">
        <v>429</v>
      </c>
      <c r="I145" t="s">
        <v>579</v>
      </c>
      <c r="J145" t="s">
        <v>428</v>
      </c>
      <c r="K145" t="s">
        <v>429</v>
      </c>
      <c r="L145" t="str">
        <f>HYPERLINK("https://www.commcarehq.org/a/demo-18/api/form/attachment/a20b3a0e-4143-427c-85ab-d88131ef0b15/1582785350417.jpg")</f>
        <v>https://www.commcarehq.org/a/demo-18/api/form/attachment/a20b3a0e-4143-427c-85ab-d88131ef0b15/1582785350417.jpg</v>
      </c>
      <c r="M145" t="str">
        <f>HYPERLINK("https://www.commcarehq.org/a/demo-18/api/form/attachment/a20b3a0e-4143-427c-85ab-d88131ef0b15/1582785366791.jpg")</f>
        <v>https://www.commcarehq.org/a/demo-18/api/form/attachment/a20b3a0e-4143-427c-85ab-d88131ef0b15/1582785366791.jpg</v>
      </c>
      <c r="N145" t="str">
        <f>HYPERLINK("https://www.commcarehq.org/a/demo-18/api/form/attachment/a20b3a0e-4143-427c-85ab-d88131ef0b15/1582785424933.jpg")</f>
        <v>https://www.commcarehq.org/a/demo-18/api/form/attachment/a20b3a0e-4143-427c-85ab-d88131ef0b15/1582785424933.jpg</v>
      </c>
      <c r="O145" t="str">
        <f>HYPERLINK("https://www.commcarehq.org/a/demo-18/api/form/attachment/a20b3a0e-4143-427c-85ab-d88131ef0b15/1582785438249.jpg")</f>
        <v>https://www.commcarehq.org/a/demo-18/api/form/attachment/a20b3a0e-4143-427c-85ab-d88131ef0b15/1582785438249.jpg</v>
      </c>
      <c r="P145" t="str">
        <f>HYPERLINK("https://www.commcarehq.org/a/demo-18/api/form/attachment/a20b3a0e-4143-427c-85ab-d88131ef0b15/1582785467042.jpg")</f>
        <v>https://www.commcarehq.org/a/demo-18/api/form/attachment/a20b3a0e-4143-427c-85ab-d88131ef0b15/1582785467042.jpg</v>
      </c>
      <c r="Q145" t="str">
        <f>HYPERLINK("https://www.commcarehq.org/a/demo-18/api/form/attachment/a20b3a0e-4143-427c-85ab-d88131ef0b15/1582785479811.jpg")</f>
        <v>https://www.commcarehq.org/a/demo-18/api/form/attachment/a20b3a0e-4143-427c-85ab-d88131ef0b15/1582785479811.jpg</v>
      </c>
      <c r="R145" s="2">
        <v>43888.276412037034</v>
      </c>
      <c r="S145" s="2">
        <v>43888.27447916667</v>
      </c>
      <c r="T145" t="s">
        <v>32</v>
      </c>
      <c r="U145" s="2">
        <v>43888.276805555557</v>
      </c>
      <c r="V145" t="s">
        <v>1536</v>
      </c>
      <c r="W145" t="s">
        <v>1537</v>
      </c>
    </row>
    <row r="146" spans="1:23" x14ac:dyDescent="0.45">
      <c r="A146" t="s">
        <v>146</v>
      </c>
      <c r="B146">
        <v>8</v>
      </c>
      <c r="C146" s="1">
        <v>43922</v>
      </c>
      <c r="D146" s="1">
        <v>43892</v>
      </c>
      <c r="E146" t="s">
        <v>428</v>
      </c>
      <c r="F146" t="s">
        <v>429</v>
      </c>
      <c r="G146" t="s">
        <v>429</v>
      </c>
      <c r="H146" t="s">
        <v>429</v>
      </c>
      <c r="I146" t="s">
        <v>447</v>
      </c>
      <c r="J146" t="s">
        <v>428</v>
      </c>
      <c r="K146" t="s">
        <v>429</v>
      </c>
      <c r="L146" t="str">
        <f>HYPERLINK("https://www.commcarehq.org/a/demo-18/api/form/attachment/3c1f0f36-cf8a-4ea8-aac9-ac9b7b0a7e81/1583137005184.jpg")</f>
        <v>https://www.commcarehq.org/a/demo-18/api/form/attachment/3c1f0f36-cf8a-4ea8-aac9-ac9b7b0a7e81/1583137005184.jpg</v>
      </c>
      <c r="M146" t="str">
        <f>HYPERLINK("https://www.commcarehq.org/a/demo-18/api/form/attachment/3c1f0f36-cf8a-4ea8-aac9-ac9b7b0a7e81/1583137020173.jpg")</f>
        <v>https://www.commcarehq.org/a/demo-18/api/form/attachment/3c1f0f36-cf8a-4ea8-aac9-ac9b7b0a7e81/1583137020173.jpg</v>
      </c>
      <c r="N146" t="str">
        <f>HYPERLINK("https://www.commcarehq.org/a/demo-18/api/form/attachment/3c1f0f36-cf8a-4ea8-aac9-ac9b7b0a7e81/1583137088176.jpg")</f>
        <v>https://www.commcarehq.org/a/demo-18/api/form/attachment/3c1f0f36-cf8a-4ea8-aac9-ac9b7b0a7e81/1583137088176.jpg</v>
      </c>
      <c r="O146" t="str">
        <f>HYPERLINK("https://www.commcarehq.org/a/demo-18/api/form/attachment/3c1f0f36-cf8a-4ea8-aac9-ac9b7b0a7e81/1583137097927.jpg")</f>
        <v>https://www.commcarehq.org/a/demo-18/api/form/attachment/3c1f0f36-cf8a-4ea8-aac9-ac9b7b0a7e81/1583137097927.jpg</v>
      </c>
      <c r="P146" t="str">
        <f>HYPERLINK("https://www.commcarehq.org/a/demo-18/api/form/attachment/3c1f0f36-cf8a-4ea8-aac9-ac9b7b0a7e81/1583137111446.jpg")</f>
        <v>https://www.commcarehq.org/a/demo-18/api/form/attachment/3c1f0f36-cf8a-4ea8-aac9-ac9b7b0a7e81/1583137111446.jpg</v>
      </c>
      <c r="Q146" t="str">
        <f>HYPERLINK("https://www.commcarehq.org/a/demo-18/api/form/attachment/3c1f0f36-cf8a-4ea8-aac9-ac9b7b0a7e81/1583137121076.jpg")</f>
        <v>https://www.commcarehq.org/a/demo-18/api/form/attachment/3c1f0f36-cf8a-4ea8-aac9-ac9b7b0a7e81/1583137121076.jpg</v>
      </c>
      <c r="R146" s="2">
        <v>43892.346331018518</v>
      </c>
      <c r="S146" s="2">
        <v>43892.344155092593</v>
      </c>
      <c r="T146" t="s">
        <v>32</v>
      </c>
      <c r="U146" s="2">
        <v>43892.346550925926</v>
      </c>
      <c r="V146" t="s">
        <v>1566</v>
      </c>
      <c r="W146" t="s">
        <v>1567</v>
      </c>
    </row>
    <row r="147" spans="1:23" x14ac:dyDescent="0.45">
      <c r="A147" t="s">
        <v>301</v>
      </c>
      <c r="B147">
        <v>5.4</v>
      </c>
      <c r="C147" s="1">
        <v>43917</v>
      </c>
      <c r="D147" s="1">
        <v>43887</v>
      </c>
      <c r="E147" t="s">
        <v>428</v>
      </c>
      <c r="F147" t="s">
        <v>429</v>
      </c>
      <c r="G147" t="s">
        <v>429</v>
      </c>
      <c r="H147" t="s">
        <v>429</v>
      </c>
      <c r="I147" t="s">
        <v>702</v>
      </c>
      <c r="J147" t="s">
        <v>428</v>
      </c>
      <c r="K147" t="s">
        <v>429</v>
      </c>
      <c r="L147" t="str">
        <f>HYPERLINK("https://www.commcarehq.org/a/demo-18/api/form/attachment/6cad4b31-4b0a-4585-9258-a4a64c64efc1/1582706403524.jpg")</f>
        <v>https://www.commcarehq.org/a/demo-18/api/form/attachment/6cad4b31-4b0a-4585-9258-a4a64c64efc1/1582706403524.jpg</v>
      </c>
      <c r="M147" t="str">
        <f>HYPERLINK("https://www.commcarehq.org/a/demo-18/api/form/attachment/6cad4b31-4b0a-4585-9258-a4a64c64efc1/1582706423056.jpg")</f>
        <v>https://www.commcarehq.org/a/demo-18/api/form/attachment/6cad4b31-4b0a-4585-9258-a4a64c64efc1/1582706423056.jpg</v>
      </c>
      <c r="N147" t="str">
        <f>HYPERLINK("https://www.commcarehq.org/a/demo-18/api/form/attachment/6cad4b31-4b0a-4585-9258-a4a64c64efc1/1582706469638.jpg")</f>
        <v>https://www.commcarehq.org/a/demo-18/api/form/attachment/6cad4b31-4b0a-4585-9258-a4a64c64efc1/1582706469638.jpg</v>
      </c>
      <c r="O147" t="str">
        <f>HYPERLINK("https://www.commcarehq.org/a/demo-18/api/form/attachment/6cad4b31-4b0a-4585-9258-a4a64c64efc1/1582706479139.jpg")</f>
        <v>https://www.commcarehq.org/a/demo-18/api/form/attachment/6cad4b31-4b0a-4585-9258-a4a64c64efc1/1582706479139.jpg</v>
      </c>
      <c r="P147" t="str">
        <f>HYPERLINK("https://www.commcarehq.org/a/demo-18/api/form/attachment/6cad4b31-4b0a-4585-9258-a4a64c64efc1/1582706500442.jpg")</f>
        <v>https://www.commcarehq.org/a/demo-18/api/form/attachment/6cad4b31-4b0a-4585-9258-a4a64c64efc1/1582706500442.jpg</v>
      </c>
      <c r="Q147" t="str">
        <f>HYPERLINK("https://www.commcarehq.org/a/demo-18/api/form/attachment/6cad4b31-4b0a-4585-9258-a4a64c64efc1/1582706509523.jpg")</f>
        <v>https://www.commcarehq.org/a/demo-18/api/form/attachment/6cad4b31-4b0a-4585-9258-a4a64c64efc1/1582706509523.jpg</v>
      </c>
      <c r="R147" s="2">
        <v>43887.362407407411</v>
      </c>
      <c r="S147" s="2">
        <v>43887.360694444447</v>
      </c>
      <c r="T147" t="s">
        <v>32</v>
      </c>
      <c r="U147" s="2">
        <v>43887.47284722222</v>
      </c>
      <c r="V147" t="s">
        <v>1534</v>
      </c>
      <c r="W147" t="s">
        <v>1535</v>
      </c>
    </row>
    <row r="148" spans="1:23" x14ac:dyDescent="0.45">
      <c r="A148" t="s">
        <v>149</v>
      </c>
      <c r="B148">
        <v>5.6</v>
      </c>
      <c r="C148" s="1">
        <v>43902</v>
      </c>
      <c r="D148" s="1">
        <v>43872</v>
      </c>
      <c r="E148" t="s">
        <v>428</v>
      </c>
      <c r="F148" t="s">
        <v>429</v>
      </c>
      <c r="G148" t="s">
        <v>429</v>
      </c>
      <c r="H148" t="s">
        <v>429</v>
      </c>
      <c r="I148" t="s">
        <v>447</v>
      </c>
      <c r="J148" t="s">
        <v>428</v>
      </c>
      <c r="K148" t="s">
        <v>429</v>
      </c>
      <c r="L148" t="str">
        <f>HYPERLINK("https://www.commcarehq.org/a/demo-18/api/form/attachment/20cd8493-7cb0-4fd3-87ea-430d455a1699/1581407355515.jpg")</f>
        <v>https://www.commcarehq.org/a/demo-18/api/form/attachment/20cd8493-7cb0-4fd3-87ea-430d455a1699/1581407355515.jpg</v>
      </c>
      <c r="M148" t="str">
        <f>HYPERLINK("https://www.commcarehq.org/a/demo-18/api/form/attachment/20cd8493-7cb0-4fd3-87ea-430d455a1699/1581407370600.jpg")</f>
        <v>https://www.commcarehq.org/a/demo-18/api/form/attachment/20cd8493-7cb0-4fd3-87ea-430d455a1699/1581407370600.jpg</v>
      </c>
      <c r="N148" t="str">
        <f>HYPERLINK("https://www.commcarehq.org/a/demo-18/api/form/attachment/20cd8493-7cb0-4fd3-87ea-430d455a1699/1581407404558.jpg")</f>
        <v>https://www.commcarehq.org/a/demo-18/api/form/attachment/20cd8493-7cb0-4fd3-87ea-430d455a1699/1581407404558.jpg</v>
      </c>
      <c r="O148" t="str">
        <f>HYPERLINK("https://www.commcarehq.org/a/demo-18/api/form/attachment/20cd8493-7cb0-4fd3-87ea-430d455a1699/1581407412753.jpg")</f>
        <v>https://www.commcarehq.org/a/demo-18/api/form/attachment/20cd8493-7cb0-4fd3-87ea-430d455a1699/1581407412753.jpg</v>
      </c>
      <c r="P148" t="str">
        <f>HYPERLINK("https://www.commcarehq.org/a/demo-18/api/form/attachment/20cd8493-7cb0-4fd3-87ea-430d455a1699/1581407474296.jpg")</f>
        <v>https://www.commcarehq.org/a/demo-18/api/form/attachment/20cd8493-7cb0-4fd3-87ea-430d455a1699/1581407474296.jpg</v>
      </c>
      <c r="Q148" t="str">
        <f>HYPERLINK("https://www.commcarehq.org/a/demo-18/api/form/attachment/20cd8493-7cb0-4fd3-87ea-430d455a1699/1581407485173.jpg")</f>
        <v>https://www.commcarehq.org/a/demo-18/api/form/attachment/20cd8493-7cb0-4fd3-87ea-430d455a1699/1581407485173.jpg</v>
      </c>
      <c r="R148" s="2">
        <v>43872.327430555553</v>
      </c>
      <c r="S148" s="2">
        <v>43872.325138888889</v>
      </c>
      <c r="T148" t="s">
        <v>32</v>
      </c>
      <c r="U148" s="2">
        <v>43872.327708333331</v>
      </c>
      <c r="V148" t="s">
        <v>1405</v>
      </c>
      <c r="W148" t="s">
        <v>1406</v>
      </c>
    </row>
    <row r="149" spans="1:23" x14ac:dyDescent="0.45">
      <c r="A149" t="s">
        <v>235</v>
      </c>
      <c r="B149">
        <v>5.6</v>
      </c>
      <c r="C149" s="1">
        <v>43931</v>
      </c>
      <c r="D149" s="1">
        <v>43901</v>
      </c>
      <c r="E149" t="s">
        <v>428</v>
      </c>
      <c r="F149" t="s">
        <v>429</v>
      </c>
      <c r="G149" t="s">
        <v>429</v>
      </c>
      <c r="H149" t="s">
        <v>429</v>
      </c>
      <c r="I149" t="s">
        <v>579</v>
      </c>
      <c r="J149" t="s">
        <v>428</v>
      </c>
      <c r="K149" t="s">
        <v>429</v>
      </c>
      <c r="L149" t="str">
        <f>HYPERLINK("https://www.commcarehq.org/a/demo-18/api/form/attachment/b06c0a4d-ee63-4b90-9694-0572dc9042b8/1583910920477.jpg")</f>
        <v>https://www.commcarehq.org/a/demo-18/api/form/attachment/b06c0a4d-ee63-4b90-9694-0572dc9042b8/1583910920477.jpg</v>
      </c>
      <c r="M149" t="str">
        <f>HYPERLINK("https://www.commcarehq.org/a/demo-18/api/form/attachment/b06c0a4d-ee63-4b90-9694-0572dc9042b8/1583910936790.jpg")</f>
        <v>https://www.commcarehq.org/a/demo-18/api/form/attachment/b06c0a4d-ee63-4b90-9694-0572dc9042b8/1583910936790.jpg</v>
      </c>
      <c r="N149" t="str">
        <f>HYPERLINK("https://www.commcarehq.org/a/demo-18/api/form/attachment/b06c0a4d-ee63-4b90-9694-0572dc9042b8/1583910977996.jpg")</f>
        <v>https://www.commcarehq.org/a/demo-18/api/form/attachment/b06c0a4d-ee63-4b90-9694-0572dc9042b8/1583910977996.jpg</v>
      </c>
      <c r="O149" t="str">
        <f>HYPERLINK("https://www.commcarehq.org/a/demo-18/api/form/attachment/b06c0a4d-ee63-4b90-9694-0572dc9042b8/1583910986026.jpg")</f>
        <v>https://www.commcarehq.org/a/demo-18/api/form/attachment/b06c0a4d-ee63-4b90-9694-0572dc9042b8/1583910986026.jpg</v>
      </c>
      <c r="P149" t="str">
        <f>HYPERLINK("https://www.commcarehq.org/a/demo-18/api/form/attachment/b06c0a4d-ee63-4b90-9694-0572dc9042b8/1583911004112.jpg")</f>
        <v>https://www.commcarehq.org/a/demo-18/api/form/attachment/b06c0a4d-ee63-4b90-9694-0572dc9042b8/1583911004112.jpg</v>
      </c>
      <c r="Q149" t="str">
        <f>HYPERLINK("https://www.commcarehq.org/a/demo-18/api/form/attachment/b06c0a4d-ee63-4b90-9694-0572dc9042b8/1583911011743.jpg")</f>
        <v>https://www.commcarehq.org/a/demo-18/api/form/attachment/b06c0a4d-ee63-4b90-9694-0572dc9042b8/1583911011743.jpg</v>
      </c>
      <c r="R149" s="2">
        <v>43901.303391203706</v>
      </c>
      <c r="S149" s="2">
        <v>43901.301874999997</v>
      </c>
      <c r="T149" t="s">
        <v>32</v>
      </c>
      <c r="U149" s="2">
        <v>43901.303622685184</v>
      </c>
      <c r="V149" t="s">
        <v>1615</v>
      </c>
      <c r="W149" t="s">
        <v>1616</v>
      </c>
    </row>
    <row r="150" spans="1:23" x14ac:dyDescent="0.45">
      <c r="A150" t="s">
        <v>403</v>
      </c>
      <c r="B150">
        <v>6.6</v>
      </c>
      <c r="C150" s="1">
        <v>43931</v>
      </c>
      <c r="D150" s="1">
        <v>43901</v>
      </c>
      <c r="E150" t="s">
        <v>428</v>
      </c>
      <c r="F150" t="s">
        <v>429</v>
      </c>
      <c r="G150" t="s">
        <v>429</v>
      </c>
      <c r="H150" t="s">
        <v>429</v>
      </c>
      <c r="I150" t="s">
        <v>1321</v>
      </c>
      <c r="J150" t="s">
        <v>428</v>
      </c>
      <c r="K150" t="s">
        <v>429</v>
      </c>
      <c r="L150" t="str">
        <f>HYPERLINK("https://www.commcarehq.org/a/demo-18/api/form/attachment/86d5f123-839b-48b4-9cea-6d0e4c21f643/1583916137876.jpg")</f>
        <v>https://www.commcarehq.org/a/demo-18/api/form/attachment/86d5f123-839b-48b4-9cea-6d0e4c21f643/1583916137876.jpg</v>
      </c>
      <c r="M150" t="str">
        <f>HYPERLINK("https://www.commcarehq.org/a/demo-18/api/form/attachment/86d5f123-839b-48b4-9cea-6d0e4c21f643/1583916156010.jpg")</f>
        <v>https://www.commcarehq.org/a/demo-18/api/form/attachment/86d5f123-839b-48b4-9cea-6d0e4c21f643/1583916156010.jpg</v>
      </c>
      <c r="N150" t="str">
        <f>HYPERLINK("https://www.commcarehq.org/a/demo-18/api/form/attachment/86d5f123-839b-48b4-9cea-6d0e4c21f643/1583916203704.jpg")</f>
        <v>https://www.commcarehq.org/a/demo-18/api/form/attachment/86d5f123-839b-48b4-9cea-6d0e4c21f643/1583916203704.jpg</v>
      </c>
      <c r="O150" t="str">
        <f>HYPERLINK("https://www.commcarehq.org/a/demo-18/api/form/attachment/86d5f123-839b-48b4-9cea-6d0e4c21f643/1583916212278.jpg")</f>
        <v>https://www.commcarehq.org/a/demo-18/api/form/attachment/86d5f123-839b-48b4-9cea-6d0e4c21f643/1583916212278.jpg</v>
      </c>
      <c r="P150" t="str">
        <f>HYPERLINK("https://www.commcarehq.org/a/demo-18/api/form/attachment/86d5f123-839b-48b4-9cea-6d0e4c21f643/1583916224570.jpg")</f>
        <v>https://www.commcarehq.org/a/demo-18/api/form/attachment/86d5f123-839b-48b4-9cea-6d0e4c21f643/1583916224570.jpg</v>
      </c>
      <c r="Q150" t="str">
        <f>HYPERLINK("https://www.commcarehq.org/a/demo-18/api/form/attachment/86d5f123-839b-48b4-9cea-6d0e4c21f643/1583916236720.jpg")</f>
        <v>https://www.commcarehq.org/a/demo-18/api/form/attachment/86d5f123-839b-48b4-9cea-6d0e4c21f643/1583916236720.jpg</v>
      </c>
      <c r="R150" s="2">
        <v>43901.363865740743</v>
      </c>
      <c r="S150" s="2">
        <v>43901.361967592595</v>
      </c>
      <c r="T150" t="s">
        <v>32</v>
      </c>
      <c r="U150" s="2">
        <v>43901.364166666666</v>
      </c>
      <c r="V150" t="s">
        <v>1617</v>
      </c>
      <c r="W150" t="s">
        <v>1618</v>
      </c>
    </row>
    <row r="151" spans="1:23" x14ac:dyDescent="0.45">
      <c r="A151" t="s">
        <v>400</v>
      </c>
      <c r="B151">
        <v>7.2</v>
      </c>
      <c r="C151" s="1">
        <v>43922</v>
      </c>
      <c r="D151" s="1">
        <v>43892</v>
      </c>
      <c r="E151" t="s">
        <v>428</v>
      </c>
      <c r="F151" t="s">
        <v>429</v>
      </c>
      <c r="G151" t="s">
        <v>429</v>
      </c>
      <c r="H151" t="s">
        <v>429</v>
      </c>
      <c r="I151" t="s">
        <v>498</v>
      </c>
      <c r="J151" t="s">
        <v>428</v>
      </c>
      <c r="K151" t="s">
        <v>429</v>
      </c>
      <c r="L151" t="str">
        <f>HYPERLINK("https://www.commcarehq.org/a/demo-18/api/form/attachment/10f35b97-0e4f-42e4-957d-817b91b47d5d/1583137770315.jpg")</f>
        <v>https://www.commcarehq.org/a/demo-18/api/form/attachment/10f35b97-0e4f-42e4-957d-817b91b47d5d/1583137770315.jpg</v>
      </c>
      <c r="M151" t="str">
        <f>HYPERLINK("https://www.commcarehq.org/a/demo-18/api/form/attachment/10f35b97-0e4f-42e4-957d-817b91b47d5d/1583137788982.jpg")</f>
        <v>https://www.commcarehq.org/a/demo-18/api/form/attachment/10f35b97-0e4f-42e4-957d-817b91b47d5d/1583137788982.jpg</v>
      </c>
      <c r="N151" t="str">
        <f>HYPERLINK("https://www.commcarehq.org/a/demo-18/api/form/attachment/10f35b97-0e4f-42e4-957d-817b91b47d5d/1583137972262.jpg")</f>
        <v>https://www.commcarehq.org/a/demo-18/api/form/attachment/10f35b97-0e4f-42e4-957d-817b91b47d5d/1583137972262.jpg</v>
      </c>
      <c r="O151" t="str">
        <f>HYPERLINK("https://www.commcarehq.org/a/demo-18/api/form/attachment/10f35b97-0e4f-42e4-957d-817b91b47d5d/1583137981103.jpg")</f>
        <v>https://www.commcarehq.org/a/demo-18/api/form/attachment/10f35b97-0e4f-42e4-957d-817b91b47d5d/1583137981103.jpg</v>
      </c>
      <c r="P151" t="str">
        <f>HYPERLINK("https://www.commcarehq.org/a/demo-18/api/form/attachment/10f35b97-0e4f-42e4-957d-817b91b47d5d/1583138015627.jpg")</f>
        <v>https://www.commcarehq.org/a/demo-18/api/form/attachment/10f35b97-0e4f-42e4-957d-817b91b47d5d/1583138015627.jpg</v>
      </c>
      <c r="Q151" t="str">
        <f>HYPERLINK("https://www.commcarehq.org/a/demo-18/api/form/attachment/10f35b97-0e4f-42e4-957d-817b91b47d5d/1583138024872.jpg")</f>
        <v>https://www.commcarehq.org/a/demo-18/api/form/attachment/10f35b97-0e4f-42e4-957d-817b91b47d5d/1583138024872.jpg</v>
      </c>
      <c r="R151" s="2">
        <v>43892.356782407405</v>
      </c>
      <c r="S151" s="2">
        <v>43892.353321759256</v>
      </c>
      <c r="T151" t="s">
        <v>32</v>
      </c>
      <c r="U151" s="2">
        <v>43892.357037037036</v>
      </c>
      <c r="V151" t="s">
        <v>1578</v>
      </c>
      <c r="W151" t="s">
        <v>1579</v>
      </c>
    </row>
  </sheetData>
  <autoFilter ref="A1:W151" xr:uid="{00000000-0009-0000-0000-000004000000}">
    <sortState xmlns:xlrd2="http://schemas.microsoft.com/office/spreadsheetml/2017/richdata2" ref="A2:W151">
      <sortCondition ref="A1:A151"/>
    </sortState>
  </autoFilter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12"/>
  <sheetViews>
    <sheetView workbookViewId="0">
      <selection activeCell="D1" activeCellId="2" sqref="A1:A1048576 B1:B1048576 D1:D1048576"/>
    </sheetView>
  </sheetViews>
  <sheetFormatPr defaultColWidth="8.796875" defaultRowHeight="14.25" x14ac:dyDescent="0.45"/>
  <cols>
    <col min="1" max="1" width="10" bestFit="1" customWidth="1"/>
    <col min="2" max="2" width="12.1328125" bestFit="1" customWidth="1"/>
    <col min="3" max="3" width="8.46484375" bestFit="1" customWidth="1"/>
    <col min="4" max="4" width="15.46484375" bestFit="1" customWidth="1"/>
    <col min="5" max="5" width="16.1328125" bestFit="1" customWidth="1"/>
    <col min="6" max="6" width="8" bestFit="1" customWidth="1"/>
    <col min="7" max="7" width="13.1328125" bestFit="1" customWidth="1"/>
    <col min="8" max="8" width="9" bestFit="1" customWidth="1"/>
    <col min="9" max="9" width="57.6640625" bestFit="1" customWidth="1"/>
    <col min="10" max="10" width="14.33203125" bestFit="1" customWidth="1"/>
    <col min="11" max="11" width="9" bestFit="1" customWidth="1"/>
    <col min="12" max="12" width="11.1328125" bestFit="1" customWidth="1"/>
    <col min="13" max="13" width="10.46484375" bestFit="1" customWidth="1"/>
    <col min="14" max="14" width="6.46484375" bestFit="1" customWidth="1"/>
    <col min="15" max="15" width="9.33203125" bestFit="1" customWidth="1"/>
    <col min="16" max="16" width="7.6640625" bestFit="1" customWidth="1"/>
    <col min="17" max="17" width="10.46484375" bestFit="1" customWidth="1"/>
    <col min="18" max="18" width="16" bestFit="1" customWidth="1"/>
    <col min="19" max="19" width="13.33203125" bestFit="1" customWidth="1"/>
    <col min="20" max="20" width="14.46484375" bestFit="1" customWidth="1"/>
    <col min="21" max="21" width="14.1328125" bestFit="1" customWidth="1"/>
    <col min="22" max="22" width="35.1328125" bestFit="1" customWidth="1"/>
    <col min="23" max="23" width="80.6640625" bestFit="1" customWidth="1"/>
  </cols>
  <sheetData>
    <row r="1" spans="1:23" x14ac:dyDescent="0.45">
      <c r="A1" t="s">
        <v>1</v>
      </c>
      <c r="B1" t="s">
        <v>6</v>
      </c>
      <c r="C1" t="s">
        <v>4</v>
      </c>
      <c r="D1" t="s">
        <v>3</v>
      </c>
      <c r="E1" t="s">
        <v>681</v>
      </c>
      <c r="F1" t="s">
        <v>423</v>
      </c>
      <c r="G1" t="s">
        <v>424</v>
      </c>
      <c r="H1" t="s">
        <v>427</v>
      </c>
      <c r="I1" t="s">
        <v>425</v>
      </c>
      <c r="J1" t="s">
        <v>426</v>
      </c>
      <c r="K1" t="s">
        <v>510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18</v>
      </c>
      <c r="W1" t="s">
        <v>17</v>
      </c>
    </row>
    <row r="2" spans="1:23" x14ac:dyDescent="0.45">
      <c r="A2" t="s">
        <v>769</v>
      </c>
      <c r="B2">
        <v>7.3</v>
      </c>
      <c r="C2" s="1">
        <v>43827</v>
      </c>
      <c r="D2" s="1">
        <v>43797</v>
      </c>
      <c r="E2" t="s">
        <v>428</v>
      </c>
      <c r="F2" t="s">
        <v>429</v>
      </c>
      <c r="G2" t="s">
        <v>429</v>
      </c>
      <c r="H2" t="s">
        <v>429</v>
      </c>
      <c r="I2" t="s">
        <v>498</v>
      </c>
      <c r="J2" t="s">
        <v>428</v>
      </c>
      <c r="K2" t="s">
        <v>429</v>
      </c>
      <c r="L2" t="str">
        <f>HYPERLINK("https://www.commcarehq.org/a/demo-18/api/form/attachment/c5f886ef-788c-4ee1-9c88-c9f0ca203ac4/1574933632778.jpg")</f>
        <v>https://www.commcarehq.org/a/demo-18/api/form/attachment/c5f886ef-788c-4ee1-9c88-c9f0ca203ac4/1574933632778.jpg</v>
      </c>
      <c r="M2" t="str">
        <f>HYPERLINK("https://www.commcarehq.org/a/demo-18/api/form/attachment/c5f886ef-788c-4ee1-9c88-c9f0ca203ac4/1574933650974.jpg")</f>
        <v>https://www.commcarehq.org/a/demo-18/api/form/attachment/c5f886ef-788c-4ee1-9c88-c9f0ca203ac4/1574933650974.jpg</v>
      </c>
      <c r="N2" t="str">
        <f>HYPERLINK("https://www.commcarehq.org/a/demo-18/api/form/attachment/c5f886ef-788c-4ee1-9c88-c9f0ca203ac4/1574933782899.jpg")</f>
        <v>https://www.commcarehq.org/a/demo-18/api/form/attachment/c5f886ef-788c-4ee1-9c88-c9f0ca203ac4/1574933782899.jpg</v>
      </c>
      <c r="O2" t="str">
        <f>HYPERLINK("https://www.commcarehq.org/a/demo-18/api/form/attachment/c5f886ef-788c-4ee1-9c88-c9f0ca203ac4/1574933793066.jpg")</f>
        <v>https://www.commcarehq.org/a/demo-18/api/form/attachment/c5f886ef-788c-4ee1-9c88-c9f0ca203ac4/1574933793066.jpg</v>
      </c>
      <c r="P2" t="str">
        <f>HYPERLINK("https://www.commcarehq.org/a/demo-18/api/form/attachment/c5f886ef-788c-4ee1-9c88-c9f0ca203ac4/1574933812141.jpg")</f>
        <v>https://www.commcarehq.org/a/demo-18/api/form/attachment/c5f886ef-788c-4ee1-9c88-c9f0ca203ac4/1574933812141.jpg</v>
      </c>
      <c r="Q2" t="str">
        <f>HYPERLINK("https://www.commcarehq.org/a/demo-18/api/form/attachment/c5f886ef-788c-4ee1-9c88-c9f0ca203ac4/1574933824366.jpg")</f>
        <v>https://www.commcarehq.org/a/demo-18/api/form/attachment/c5f886ef-788c-4ee1-9c88-c9f0ca203ac4/1574933824366.jpg</v>
      </c>
      <c r="R2" s="2">
        <v>43797.400787037041</v>
      </c>
      <c r="S2" s="2">
        <v>43797.397847222222</v>
      </c>
      <c r="T2" t="s">
        <v>32</v>
      </c>
      <c r="U2" s="2">
        <v>43797.400983796295</v>
      </c>
      <c r="V2" t="s">
        <v>770</v>
      </c>
      <c r="W2" t="s">
        <v>771</v>
      </c>
    </row>
    <row r="3" spans="1:23" x14ac:dyDescent="0.45">
      <c r="A3" t="s">
        <v>688</v>
      </c>
      <c r="B3">
        <v>9.1</v>
      </c>
      <c r="C3" s="1">
        <v>43827</v>
      </c>
      <c r="D3" s="1">
        <v>43797</v>
      </c>
      <c r="E3" t="s">
        <v>428</v>
      </c>
      <c r="F3" t="s">
        <v>429</v>
      </c>
      <c r="G3" t="s">
        <v>429</v>
      </c>
      <c r="H3" t="s">
        <v>429</v>
      </c>
      <c r="I3" t="s">
        <v>498</v>
      </c>
      <c r="J3" t="s">
        <v>428</v>
      </c>
      <c r="K3" t="s">
        <v>429</v>
      </c>
      <c r="L3" t="str">
        <f>HYPERLINK("https://www.commcarehq.org/a/demo-18/api/form/attachment/7017c256-07bb-49ed-a2f2-403ef9644f0c/1574925877333.jpg")</f>
        <v>https://www.commcarehq.org/a/demo-18/api/form/attachment/7017c256-07bb-49ed-a2f2-403ef9644f0c/1574925877333.jpg</v>
      </c>
      <c r="M3" t="str">
        <f>HYPERLINK("https://www.commcarehq.org/a/demo-18/api/form/attachment/7017c256-07bb-49ed-a2f2-403ef9644f0c/1574925896797.jpg")</f>
        <v>https://www.commcarehq.org/a/demo-18/api/form/attachment/7017c256-07bb-49ed-a2f2-403ef9644f0c/1574925896797.jpg</v>
      </c>
      <c r="N3" t="str">
        <f>HYPERLINK("https://www.commcarehq.org/a/demo-18/api/form/attachment/7017c256-07bb-49ed-a2f2-403ef9644f0c/1574926023505.jpg")</f>
        <v>https://www.commcarehq.org/a/demo-18/api/form/attachment/7017c256-07bb-49ed-a2f2-403ef9644f0c/1574926023505.jpg</v>
      </c>
      <c r="O3" t="str">
        <f>HYPERLINK("https://www.commcarehq.org/a/demo-18/api/form/attachment/7017c256-07bb-49ed-a2f2-403ef9644f0c/1574926033715.jpg")</f>
        <v>https://www.commcarehq.org/a/demo-18/api/form/attachment/7017c256-07bb-49ed-a2f2-403ef9644f0c/1574926033715.jpg</v>
      </c>
      <c r="P3" t="str">
        <f>HYPERLINK("https://www.commcarehq.org/a/demo-18/api/form/attachment/7017c256-07bb-49ed-a2f2-403ef9644f0c/1574926087890.jpg")</f>
        <v>https://www.commcarehq.org/a/demo-18/api/form/attachment/7017c256-07bb-49ed-a2f2-403ef9644f0c/1574926087890.jpg</v>
      </c>
      <c r="Q3" t="str">
        <f>HYPERLINK("https://www.commcarehq.org/a/demo-18/api/form/attachment/7017c256-07bb-49ed-a2f2-403ef9644f0c/1574926103120.jpg")</f>
        <v>https://www.commcarehq.org/a/demo-18/api/form/attachment/7017c256-07bb-49ed-a2f2-403ef9644f0c/1574926103120.jpg</v>
      </c>
      <c r="R3" s="2">
        <v>43797.311400462961</v>
      </c>
      <c r="S3" s="2">
        <v>43797.307916666665</v>
      </c>
      <c r="T3" t="s">
        <v>32</v>
      </c>
      <c r="U3" s="2">
        <v>43797.311620370368</v>
      </c>
      <c r="V3" t="s">
        <v>689</v>
      </c>
      <c r="W3" t="s">
        <v>690</v>
      </c>
    </row>
    <row r="4" spans="1:23" x14ac:dyDescent="0.45">
      <c r="A4" t="s">
        <v>701</v>
      </c>
      <c r="B4">
        <v>5.7</v>
      </c>
      <c r="C4" s="1">
        <v>43806</v>
      </c>
      <c r="D4" s="1">
        <v>43776</v>
      </c>
      <c r="E4" t="s">
        <v>428</v>
      </c>
      <c r="F4" t="s">
        <v>429</v>
      </c>
      <c r="G4" t="s">
        <v>429</v>
      </c>
      <c r="H4" t="s">
        <v>429</v>
      </c>
      <c r="I4" t="s">
        <v>702</v>
      </c>
      <c r="J4" t="s">
        <v>428</v>
      </c>
      <c r="K4" t="s">
        <v>429</v>
      </c>
      <c r="L4" t="str">
        <f>HYPERLINK("https://www.commcarehq.org/a/demo-18/api/form/attachment/f6479933-7313-4cda-a748-4ed40c04782b/1573117093018.jpg")</f>
        <v>https://www.commcarehq.org/a/demo-18/api/form/attachment/f6479933-7313-4cda-a748-4ed40c04782b/1573117093018.jpg</v>
      </c>
      <c r="M4" t="str">
        <f>HYPERLINK("https://www.commcarehq.org/a/demo-18/api/form/attachment/f6479933-7313-4cda-a748-4ed40c04782b/1573117111894.jpg")</f>
        <v>https://www.commcarehq.org/a/demo-18/api/form/attachment/f6479933-7313-4cda-a748-4ed40c04782b/1573117111894.jpg</v>
      </c>
      <c r="N4" t="str">
        <f>HYPERLINK("https://www.commcarehq.org/a/demo-18/api/form/attachment/f6479933-7313-4cda-a748-4ed40c04782b/1573117264912.jpg")</f>
        <v>https://www.commcarehq.org/a/demo-18/api/form/attachment/f6479933-7313-4cda-a748-4ed40c04782b/1573117264912.jpg</v>
      </c>
      <c r="O4" t="str">
        <f>HYPERLINK("https://www.commcarehq.org/a/demo-18/api/form/attachment/f6479933-7313-4cda-a748-4ed40c04782b/1573117288667.jpg")</f>
        <v>https://www.commcarehq.org/a/demo-18/api/form/attachment/f6479933-7313-4cda-a748-4ed40c04782b/1573117288667.jpg</v>
      </c>
      <c r="P4" t="str">
        <f>HYPERLINK("https://www.commcarehq.org/a/demo-18/api/form/attachment/f6479933-7313-4cda-a748-4ed40c04782b/1573117335738.jpg")</f>
        <v>https://www.commcarehq.org/a/demo-18/api/form/attachment/f6479933-7313-4cda-a748-4ed40c04782b/1573117335738.jpg</v>
      </c>
      <c r="Q4" t="str">
        <f>HYPERLINK("https://www.commcarehq.org/a/demo-18/api/form/attachment/f6479933-7313-4cda-a748-4ed40c04782b/1573117350489.jpg")</f>
        <v>https://www.commcarehq.org/a/demo-18/api/form/attachment/f6479933-7313-4cda-a748-4ed40c04782b/1573117350489.jpg</v>
      </c>
      <c r="R4" s="2">
        <v>43776.376770833333</v>
      </c>
      <c r="S4" s="2">
        <v>43776.37300925926</v>
      </c>
      <c r="T4" t="s">
        <v>32</v>
      </c>
      <c r="U4" s="2">
        <v>43776.424629629626</v>
      </c>
      <c r="V4" t="s">
        <v>703</v>
      </c>
      <c r="W4" t="s">
        <v>704</v>
      </c>
    </row>
    <row r="5" spans="1:23" x14ac:dyDescent="0.45">
      <c r="A5" t="s">
        <v>572</v>
      </c>
      <c r="B5">
        <v>8.4</v>
      </c>
      <c r="C5" s="1">
        <v>43838</v>
      </c>
      <c r="D5" s="1">
        <v>43808</v>
      </c>
      <c r="E5" t="s">
        <v>428</v>
      </c>
      <c r="F5" t="s">
        <v>429</v>
      </c>
      <c r="G5" t="s">
        <v>429</v>
      </c>
      <c r="H5" t="s">
        <v>429</v>
      </c>
      <c r="I5" t="s">
        <v>484</v>
      </c>
      <c r="J5" t="s">
        <v>428</v>
      </c>
      <c r="K5" t="s">
        <v>429</v>
      </c>
      <c r="L5" t="str">
        <f>HYPERLINK("https://www.commcarehq.org/a/demo-18/api/form/attachment/cfff31f2-efad-49b1-9b1a-ab3deae36be6/1575877110685.jpg")</f>
        <v>https://www.commcarehq.org/a/demo-18/api/form/attachment/cfff31f2-efad-49b1-9b1a-ab3deae36be6/1575877110685.jpg</v>
      </c>
      <c r="M5" t="str">
        <f>HYPERLINK("https://www.commcarehq.org/a/demo-18/api/form/attachment/cfff31f2-efad-49b1-9b1a-ab3deae36be6/1575877123974.jpg")</f>
        <v>https://www.commcarehq.org/a/demo-18/api/form/attachment/cfff31f2-efad-49b1-9b1a-ab3deae36be6/1575877123974.jpg</v>
      </c>
      <c r="N5" t="str">
        <f>HYPERLINK("https://www.commcarehq.org/a/demo-18/api/form/attachment/cfff31f2-efad-49b1-9b1a-ab3deae36be6/1575877154753.jpg")</f>
        <v>https://www.commcarehq.org/a/demo-18/api/form/attachment/cfff31f2-efad-49b1-9b1a-ab3deae36be6/1575877154753.jpg</v>
      </c>
      <c r="O5" t="str">
        <f>HYPERLINK("https://www.commcarehq.org/a/demo-18/api/form/attachment/cfff31f2-efad-49b1-9b1a-ab3deae36be6/1575877165775.jpg")</f>
        <v>https://www.commcarehq.org/a/demo-18/api/form/attachment/cfff31f2-efad-49b1-9b1a-ab3deae36be6/1575877165775.jpg</v>
      </c>
      <c r="P5" t="str">
        <f>HYPERLINK("https://www.commcarehq.org/a/demo-18/api/form/attachment/cfff31f2-efad-49b1-9b1a-ab3deae36be6/1575877183345.jpg")</f>
        <v>https://www.commcarehq.org/a/demo-18/api/form/attachment/cfff31f2-efad-49b1-9b1a-ab3deae36be6/1575877183345.jpg</v>
      </c>
      <c r="Q5" t="str">
        <f>HYPERLINK("https://www.commcarehq.org/a/demo-18/api/form/attachment/cfff31f2-efad-49b1-9b1a-ab3deae36be6/1575877192640.jpg")</f>
        <v>https://www.commcarehq.org/a/demo-18/api/form/attachment/cfff31f2-efad-49b1-9b1a-ab3deae36be6/1575877192640.jpg</v>
      </c>
      <c r="R5" s="2">
        <v>43808.319374999999</v>
      </c>
      <c r="S5" s="2">
        <v>43808.317916666667</v>
      </c>
      <c r="T5" t="s">
        <v>32</v>
      </c>
      <c r="U5" s="2">
        <v>43808.419606481482</v>
      </c>
      <c r="V5" t="s">
        <v>724</v>
      </c>
      <c r="W5" t="s">
        <v>725</v>
      </c>
    </row>
    <row r="6" spans="1:23" x14ac:dyDescent="0.45">
      <c r="A6" t="s">
        <v>698</v>
      </c>
      <c r="B6">
        <v>6.7</v>
      </c>
      <c r="C6" s="1">
        <v>43806</v>
      </c>
      <c r="D6" s="1">
        <v>43776</v>
      </c>
      <c r="E6" t="s">
        <v>428</v>
      </c>
      <c r="F6" t="s">
        <v>429</v>
      </c>
      <c r="G6" t="s">
        <v>429</v>
      </c>
      <c r="H6" t="s">
        <v>429</v>
      </c>
      <c r="I6" t="s">
        <v>430</v>
      </c>
      <c r="J6" t="s">
        <v>428</v>
      </c>
      <c r="K6" t="s">
        <v>429</v>
      </c>
      <c r="L6" t="str">
        <f>HYPERLINK("https://www.commcarehq.org/a/demo-18/api/form/attachment/2e9be744-6172-4054-ae26-9284e565d2f4/1573118239761.jpg")</f>
        <v>https://www.commcarehq.org/a/demo-18/api/form/attachment/2e9be744-6172-4054-ae26-9284e565d2f4/1573118239761.jpg</v>
      </c>
      <c r="M6" t="str">
        <f>HYPERLINK("https://www.commcarehq.org/a/demo-18/api/form/attachment/2e9be744-6172-4054-ae26-9284e565d2f4/1573118255292.jpg")</f>
        <v>https://www.commcarehq.org/a/demo-18/api/form/attachment/2e9be744-6172-4054-ae26-9284e565d2f4/1573118255292.jpg</v>
      </c>
      <c r="N6" t="str">
        <f>HYPERLINK("https://www.commcarehq.org/a/demo-18/api/form/attachment/2e9be744-6172-4054-ae26-9284e565d2f4/1573118290080.jpg")</f>
        <v>https://www.commcarehq.org/a/demo-18/api/form/attachment/2e9be744-6172-4054-ae26-9284e565d2f4/1573118290080.jpg</v>
      </c>
      <c r="O6" t="str">
        <f>HYPERLINK("https://www.commcarehq.org/a/demo-18/api/form/attachment/2e9be744-6172-4054-ae26-9284e565d2f4/1573118305519.jpg")</f>
        <v>https://www.commcarehq.org/a/demo-18/api/form/attachment/2e9be744-6172-4054-ae26-9284e565d2f4/1573118305519.jpg</v>
      </c>
      <c r="P6" t="str">
        <f>HYPERLINK("https://www.commcarehq.org/a/demo-18/api/form/attachment/2e9be744-6172-4054-ae26-9284e565d2f4/1573118349135.jpg")</f>
        <v>https://www.commcarehq.org/a/demo-18/api/form/attachment/2e9be744-6172-4054-ae26-9284e565d2f4/1573118349135.jpg</v>
      </c>
      <c r="Q6" t="str">
        <f>HYPERLINK("https://www.commcarehq.org/a/demo-18/api/form/attachment/2e9be744-6172-4054-ae26-9284e565d2f4/1573118372976.jpg")</f>
        <v>https://www.commcarehq.org/a/demo-18/api/form/attachment/2e9be744-6172-4054-ae26-9284e565d2f4/1573118372976.jpg</v>
      </c>
      <c r="R6" s="2">
        <v>43776.388599537036</v>
      </c>
      <c r="S6" s="2">
        <v>43776.38652777778</v>
      </c>
      <c r="T6" t="s">
        <v>32</v>
      </c>
      <c r="U6" s="2">
        <v>43776.424953703703</v>
      </c>
      <c r="V6" t="s">
        <v>699</v>
      </c>
      <c r="W6" t="s">
        <v>700</v>
      </c>
    </row>
    <row r="7" spans="1:23" x14ac:dyDescent="0.45">
      <c r="A7" t="s">
        <v>647</v>
      </c>
      <c r="B7">
        <v>7</v>
      </c>
      <c r="C7" s="1">
        <v>43835</v>
      </c>
      <c r="D7" s="1">
        <v>43805</v>
      </c>
      <c r="E7" t="s">
        <v>428</v>
      </c>
      <c r="F7" t="s">
        <v>429</v>
      </c>
      <c r="G7" t="s">
        <v>429</v>
      </c>
      <c r="H7" t="s">
        <v>429</v>
      </c>
      <c r="I7" t="s">
        <v>447</v>
      </c>
      <c r="J7" t="s">
        <v>428</v>
      </c>
      <c r="K7" t="s">
        <v>429</v>
      </c>
      <c r="L7" t="str">
        <f>HYPERLINK("https://www.commcarehq.org/a/demo-18/api/form/attachment/acf7e301-eae9-4bf4-8231-c1c98dab994e/1575623222732.jpg")</f>
        <v>https://www.commcarehq.org/a/demo-18/api/form/attachment/acf7e301-eae9-4bf4-8231-c1c98dab994e/1575623222732.jpg</v>
      </c>
      <c r="M7" t="str">
        <f>HYPERLINK("https://www.commcarehq.org/a/demo-18/api/form/attachment/acf7e301-eae9-4bf4-8231-c1c98dab994e/1575623233942.jpg")</f>
        <v>https://www.commcarehq.org/a/demo-18/api/form/attachment/acf7e301-eae9-4bf4-8231-c1c98dab994e/1575623233942.jpg</v>
      </c>
      <c r="N7" t="str">
        <f>HYPERLINK("https://www.commcarehq.org/a/demo-18/api/form/attachment/acf7e301-eae9-4bf4-8231-c1c98dab994e/1575623272345.jpg")</f>
        <v>https://www.commcarehq.org/a/demo-18/api/form/attachment/acf7e301-eae9-4bf4-8231-c1c98dab994e/1575623272345.jpg</v>
      </c>
      <c r="O7" t="str">
        <f>HYPERLINK("https://www.commcarehq.org/a/demo-18/api/form/attachment/acf7e301-eae9-4bf4-8231-c1c98dab994e/1575623282031.jpg")</f>
        <v>https://www.commcarehq.org/a/demo-18/api/form/attachment/acf7e301-eae9-4bf4-8231-c1c98dab994e/1575623282031.jpg</v>
      </c>
      <c r="P7" t="str">
        <f>HYPERLINK("https://www.commcarehq.org/a/demo-18/api/form/attachment/acf7e301-eae9-4bf4-8231-c1c98dab994e/1575623299629.jpg")</f>
        <v>https://www.commcarehq.org/a/demo-18/api/form/attachment/acf7e301-eae9-4bf4-8231-c1c98dab994e/1575623299629.jpg</v>
      </c>
      <c r="Q7" t="str">
        <f>HYPERLINK("https://www.commcarehq.org/a/demo-18/api/form/attachment/acf7e301-eae9-4bf4-8231-c1c98dab994e/1575623318093.jpg")</f>
        <v>https://www.commcarehq.org/a/demo-18/api/form/attachment/acf7e301-eae9-4bf4-8231-c1c98dab994e/1575623318093.jpg</v>
      </c>
      <c r="R7" s="2">
        <v>43805.381018518521</v>
      </c>
      <c r="S7" s="2">
        <v>43805.379166666666</v>
      </c>
      <c r="T7" t="s">
        <v>32</v>
      </c>
      <c r="U7" s="2">
        <v>43805.381215277775</v>
      </c>
      <c r="V7" t="s">
        <v>726</v>
      </c>
      <c r="W7" t="s">
        <v>727</v>
      </c>
    </row>
    <row r="8" spans="1:23" x14ac:dyDescent="0.45">
      <c r="A8" t="s">
        <v>575</v>
      </c>
      <c r="B8">
        <v>7.4</v>
      </c>
      <c r="C8" s="1">
        <v>43838</v>
      </c>
      <c r="D8" s="1">
        <v>43808</v>
      </c>
      <c r="E8" t="s">
        <v>428</v>
      </c>
      <c r="F8" t="s">
        <v>429</v>
      </c>
      <c r="G8" t="s">
        <v>429</v>
      </c>
      <c r="H8" t="s">
        <v>429</v>
      </c>
      <c r="I8" t="s">
        <v>447</v>
      </c>
      <c r="J8" t="s">
        <v>428</v>
      </c>
      <c r="K8" t="s">
        <v>429</v>
      </c>
      <c r="L8" t="str">
        <f>HYPERLINK("https://www.commcarehq.org/a/demo-18/api/form/attachment/282b9ae6-92e1-49db-8c41-b57f6e55a949/1575882180407.jpg")</f>
        <v>https://www.commcarehq.org/a/demo-18/api/form/attachment/282b9ae6-92e1-49db-8c41-b57f6e55a949/1575882180407.jpg</v>
      </c>
      <c r="M8" t="str">
        <f>HYPERLINK("https://www.commcarehq.org/a/demo-18/api/form/attachment/282b9ae6-92e1-49db-8c41-b57f6e55a949/1575882194330.jpg")</f>
        <v>https://www.commcarehq.org/a/demo-18/api/form/attachment/282b9ae6-92e1-49db-8c41-b57f6e55a949/1575882194330.jpg</v>
      </c>
      <c r="N8" t="str">
        <f>HYPERLINK("https://www.commcarehq.org/a/demo-18/api/form/attachment/282b9ae6-92e1-49db-8c41-b57f6e55a949/1575882232737.jpg")</f>
        <v>https://www.commcarehq.org/a/demo-18/api/form/attachment/282b9ae6-92e1-49db-8c41-b57f6e55a949/1575882232737.jpg</v>
      </c>
      <c r="O8" t="str">
        <f>HYPERLINK("https://www.commcarehq.org/a/demo-18/api/form/attachment/282b9ae6-92e1-49db-8c41-b57f6e55a949/1575882241701.jpg")</f>
        <v>https://www.commcarehq.org/a/demo-18/api/form/attachment/282b9ae6-92e1-49db-8c41-b57f6e55a949/1575882241701.jpg</v>
      </c>
      <c r="P8" t="str">
        <f>HYPERLINK("https://www.commcarehq.org/a/demo-18/api/form/attachment/282b9ae6-92e1-49db-8c41-b57f6e55a949/1575882267047.jpg")</f>
        <v>https://www.commcarehq.org/a/demo-18/api/form/attachment/282b9ae6-92e1-49db-8c41-b57f6e55a949/1575882267047.jpg</v>
      </c>
      <c r="Q8" t="str">
        <f>HYPERLINK("https://www.commcarehq.org/a/demo-18/api/form/attachment/282b9ae6-92e1-49db-8c41-b57f6e55a949/1575882277260.jpg")</f>
        <v>https://www.commcarehq.org/a/demo-18/api/form/attachment/282b9ae6-92e1-49db-8c41-b57f6e55a949/1575882277260.jpg</v>
      </c>
      <c r="R8" s="2">
        <v>43808.378229166665</v>
      </c>
      <c r="S8" s="2">
        <v>43808.371539351851</v>
      </c>
      <c r="T8" t="s">
        <v>32</v>
      </c>
      <c r="U8" s="2">
        <v>43808.422349537039</v>
      </c>
      <c r="V8" t="s">
        <v>694</v>
      </c>
      <c r="W8" t="s">
        <v>695</v>
      </c>
    </row>
    <row r="9" spans="1:23" x14ac:dyDescent="0.45">
      <c r="A9" t="s">
        <v>516</v>
      </c>
      <c r="B9">
        <v>6.3</v>
      </c>
      <c r="C9" s="1">
        <v>43838</v>
      </c>
      <c r="D9" s="1">
        <v>43808</v>
      </c>
      <c r="E9" t="s">
        <v>428</v>
      </c>
      <c r="F9" t="s">
        <v>429</v>
      </c>
      <c r="G9" t="s">
        <v>429</v>
      </c>
      <c r="H9" t="s">
        <v>429</v>
      </c>
      <c r="I9" t="s">
        <v>484</v>
      </c>
      <c r="J9" t="s">
        <v>428</v>
      </c>
      <c r="K9" t="s">
        <v>429</v>
      </c>
      <c r="L9" t="str">
        <f>HYPERLINK("https://www.commcarehq.org/a/demo-18/api/form/attachment/6119158f-c94c-452f-9036-866c4657cf95/1575885319841.jpg")</f>
        <v>https://www.commcarehq.org/a/demo-18/api/form/attachment/6119158f-c94c-452f-9036-866c4657cf95/1575885319841.jpg</v>
      </c>
      <c r="M9" t="str">
        <f>HYPERLINK("https://www.commcarehq.org/a/demo-18/api/form/attachment/6119158f-c94c-452f-9036-866c4657cf95/1575885335717.jpg")</f>
        <v>https://www.commcarehq.org/a/demo-18/api/form/attachment/6119158f-c94c-452f-9036-866c4657cf95/1575885335717.jpg</v>
      </c>
      <c r="N9" t="str">
        <f>HYPERLINK("https://www.commcarehq.org/a/demo-18/api/form/attachment/6119158f-c94c-452f-9036-866c4657cf95/1575885388116.jpg")</f>
        <v>https://www.commcarehq.org/a/demo-18/api/form/attachment/6119158f-c94c-452f-9036-866c4657cf95/1575885388116.jpg</v>
      </c>
      <c r="O9" t="str">
        <f>HYPERLINK("https://www.commcarehq.org/a/demo-18/api/form/attachment/6119158f-c94c-452f-9036-866c4657cf95/1575885395624.jpg")</f>
        <v>https://www.commcarehq.org/a/demo-18/api/form/attachment/6119158f-c94c-452f-9036-866c4657cf95/1575885395624.jpg</v>
      </c>
      <c r="P9" t="str">
        <f>HYPERLINK("https://www.commcarehq.org/a/demo-18/api/form/attachment/6119158f-c94c-452f-9036-866c4657cf95/1575885411299.jpg")</f>
        <v>https://www.commcarehq.org/a/demo-18/api/form/attachment/6119158f-c94c-452f-9036-866c4657cf95/1575885411299.jpg</v>
      </c>
      <c r="Q9" t="str">
        <f>HYPERLINK("https://www.commcarehq.org/a/demo-18/api/form/attachment/6119158f-c94c-452f-9036-866c4657cf95/1575885420520.jpg")</f>
        <v>https://www.commcarehq.org/a/demo-18/api/form/attachment/6119158f-c94c-452f-9036-866c4657cf95/1575885420520.jpg</v>
      </c>
      <c r="R9" s="2">
        <v>43808.414606481485</v>
      </c>
      <c r="S9" s="2">
        <v>43808.412916666668</v>
      </c>
      <c r="T9" t="s">
        <v>32</v>
      </c>
      <c r="U9" s="2">
        <v>43808.423854166664</v>
      </c>
      <c r="V9" t="s">
        <v>755</v>
      </c>
      <c r="W9" t="s">
        <v>756</v>
      </c>
    </row>
    <row r="10" spans="1:23" x14ac:dyDescent="0.45">
      <c r="A10" t="s">
        <v>578</v>
      </c>
      <c r="B10">
        <v>6.5</v>
      </c>
      <c r="C10" s="1">
        <v>43838</v>
      </c>
      <c r="D10" s="1">
        <v>43808</v>
      </c>
      <c r="E10" t="s">
        <v>428</v>
      </c>
      <c r="F10" t="s">
        <v>429</v>
      </c>
      <c r="G10" t="s">
        <v>429</v>
      </c>
      <c r="H10" t="s">
        <v>429</v>
      </c>
      <c r="I10" t="s">
        <v>447</v>
      </c>
      <c r="J10" t="s">
        <v>428</v>
      </c>
      <c r="K10" t="s">
        <v>429</v>
      </c>
      <c r="L10" t="str">
        <f>HYPERLINK("https://www.commcarehq.org/a/demo-18/api/form/attachment/38d48536-490d-4f1f-aeb1-0a4937ca1179/1575884810096.jpg")</f>
        <v>https://www.commcarehq.org/a/demo-18/api/form/attachment/38d48536-490d-4f1f-aeb1-0a4937ca1179/1575884810096.jpg</v>
      </c>
      <c r="M10" t="str">
        <f>HYPERLINK("https://www.commcarehq.org/a/demo-18/api/form/attachment/38d48536-490d-4f1f-aeb1-0a4937ca1179/1575884838570.jpg")</f>
        <v>https://www.commcarehq.org/a/demo-18/api/form/attachment/38d48536-490d-4f1f-aeb1-0a4937ca1179/1575884838570.jpg</v>
      </c>
      <c r="N10" t="str">
        <f>HYPERLINK("https://www.commcarehq.org/a/demo-18/api/form/attachment/38d48536-490d-4f1f-aeb1-0a4937ca1179/1575884933420.jpg")</f>
        <v>https://www.commcarehq.org/a/demo-18/api/form/attachment/38d48536-490d-4f1f-aeb1-0a4937ca1179/1575884933420.jpg</v>
      </c>
      <c r="O10" t="str">
        <f>HYPERLINK("https://www.commcarehq.org/a/demo-18/api/form/attachment/38d48536-490d-4f1f-aeb1-0a4937ca1179/1575884942016.jpg")</f>
        <v>https://www.commcarehq.org/a/demo-18/api/form/attachment/38d48536-490d-4f1f-aeb1-0a4937ca1179/1575884942016.jpg</v>
      </c>
      <c r="P10" t="str">
        <f>HYPERLINK("https://www.commcarehq.org/a/demo-18/api/form/attachment/38d48536-490d-4f1f-aeb1-0a4937ca1179/1575884991470.jpg")</f>
        <v>https://www.commcarehq.org/a/demo-18/api/form/attachment/38d48536-490d-4f1f-aeb1-0a4937ca1179/1575884991470.jpg</v>
      </c>
      <c r="Q10" t="str">
        <f>HYPERLINK("https://www.commcarehq.org/a/demo-18/api/form/attachment/38d48536-490d-4f1f-aeb1-0a4937ca1179/1575885001539.jpg")</f>
        <v>https://www.commcarehq.org/a/demo-18/api/form/attachment/38d48536-490d-4f1f-aeb1-0a4937ca1179/1575885001539.jpg</v>
      </c>
      <c r="R10" s="2">
        <v>43808.409756944442</v>
      </c>
      <c r="S10" s="2">
        <v>43808.40697916667</v>
      </c>
      <c r="T10" t="s">
        <v>32</v>
      </c>
      <c r="U10" s="2">
        <v>43808.423634259256</v>
      </c>
      <c r="V10" t="s">
        <v>753</v>
      </c>
      <c r="W10" t="s">
        <v>754</v>
      </c>
    </row>
    <row r="11" spans="1:23" x14ac:dyDescent="0.45">
      <c r="A11" t="s">
        <v>741</v>
      </c>
      <c r="B11">
        <v>6.4</v>
      </c>
      <c r="C11" s="1">
        <v>43810</v>
      </c>
      <c r="D11" s="1">
        <v>43780</v>
      </c>
      <c r="E11" t="s">
        <v>428</v>
      </c>
      <c r="F11" t="s">
        <v>429</v>
      </c>
      <c r="G11" t="s">
        <v>429</v>
      </c>
      <c r="H11" t="s">
        <v>429</v>
      </c>
      <c r="I11" t="s">
        <v>430</v>
      </c>
      <c r="J11" t="s">
        <v>428</v>
      </c>
      <c r="K11" t="s">
        <v>429</v>
      </c>
      <c r="L11" t="str">
        <f>HYPERLINK("https://www.commcarehq.org/a/demo-18/api/form/attachment/7038919b-da2b-4e84-bdcb-13c1629e2411/1573463669465.jpg")</f>
        <v>https://www.commcarehq.org/a/demo-18/api/form/attachment/7038919b-da2b-4e84-bdcb-13c1629e2411/1573463669465.jpg</v>
      </c>
      <c r="M11" t="str">
        <f>HYPERLINK("https://www.commcarehq.org/a/demo-18/api/form/attachment/7038919b-da2b-4e84-bdcb-13c1629e2411/1573463688779.jpg")</f>
        <v>https://www.commcarehq.org/a/demo-18/api/form/attachment/7038919b-da2b-4e84-bdcb-13c1629e2411/1573463688779.jpg</v>
      </c>
      <c r="N11" t="str">
        <f>HYPERLINK("https://www.commcarehq.org/a/demo-18/api/form/attachment/7038919b-da2b-4e84-bdcb-13c1629e2411/1573463793886.jpg")</f>
        <v>https://www.commcarehq.org/a/demo-18/api/form/attachment/7038919b-da2b-4e84-bdcb-13c1629e2411/1573463793886.jpg</v>
      </c>
      <c r="O11" t="str">
        <f>HYPERLINK("https://www.commcarehq.org/a/demo-18/api/form/attachment/7038919b-da2b-4e84-bdcb-13c1629e2411/1573463809427.jpg")</f>
        <v>https://www.commcarehq.org/a/demo-18/api/form/attachment/7038919b-da2b-4e84-bdcb-13c1629e2411/1573463809427.jpg</v>
      </c>
      <c r="P11" t="str">
        <f>HYPERLINK("https://www.commcarehq.org/a/demo-18/api/form/attachment/7038919b-da2b-4e84-bdcb-13c1629e2411/1573463841840.jpg")</f>
        <v>https://www.commcarehq.org/a/demo-18/api/form/attachment/7038919b-da2b-4e84-bdcb-13c1629e2411/1573463841840.jpg</v>
      </c>
      <c r="Q11" t="str">
        <f>HYPERLINK("https://www.commcarehq.org/a/demo-18/api/form/attachment/7038919b-da2b-4e84-bdcb-13c1629e2411/1573463853084.jpg")</f>
        <v>https://www.commcarehq.org/a/demo-18/api/form/attachment/7038919b-da2b-4e84-bdcb-13c1629e2411/1573463853084.jpg</v>
      </c>
      <c r="R11" s="2">
        <v>43780.38721064815</v>
      </c>
      <c r="S11" s="2">
        <v>43780.384375000001</v>
      </c>
      <c r="T11" t="s">
        <v>32</v>
      </c>
      <c r="U11" s="2">
        <v>43780.42255787037</v>
      </c>
      <c r="V11" t="s">
        <v>742</v>
      </c>
      <c r="W11" t="s">
        <v>743</v>
      </c>
    </row>
    <row r="12" spans="1:23" x14ac:dyDescent="0.45">
      <c r="A12" t="s">
        <v>644</v>
      </c>
      <c r="B12">
        <v>6.5</v>
      </c>
      <c r="C12" s="1">
        <v>43840</v>
      </c>
      <c r="D12" s="1">
        <v>43810</v>
      </c>
      <c r="E12" t="s">
        <v>428</v>
      </c>
      <c r="F12" t="s">
        <v>429</v>
      </c>
      <c r="G12" t="s">
        <v>429</v>
      </c>
      <c r="H12" t="s">
        <v>429</v>
      </c>
      <c r="I12" t="s">
        <v>430</v>
      </c>
      <c r="J12" t="s">
        <v>428</v>
      </c>
      <c r="K12" t="s">
        <v>429</v>
      </c>
      <c r="L12" t="str">
        <f>HYPERLINK("https://www.commcarehq.org/a/demo-18/api/form/attachment/4bf484f7-c4be-4723-9852-b17934449176/1576053184900.jpg")</f>
        <v>https://www.commcarehq.org/a/demo-18/api/form/attachment/4bf484f7-c4be-4723-9852-b17934449176/1576053184900.jpg</v>
      </c>
      <c r="M12" t="str">
        <f>HYPERLINK("https://www.commcarehq.org/a/demo-18/api/form/attachment/4bf484f7-c4be-4723-9852-b17934449176/1576053204545.jpg")</f>
        <v>https://www.commcarehq.org/a/demo-18/api/form/attachment/4bf484f7-c4be-4723-9852-b17934449176/1576053204545.jpg</v>
      </c>
      <c r="N12" t="str">
        <f>HYPERLINK("https://www.commcarehq.org/a/demo-18/api/form/attachment/4bf484f7-c4be-4723-9852-b17934449176/1576053289677.jpg")</f>
        <v>https://www.commcarehq.org/a/demo-18/api/form/attachment/4bf484f7-c4be-4723-9852-b17934449176/1576053289677.jpg</v>
      </c>
      <c r="O12" t="str">
        <f>HYPERLINK("https://www.commcarehq.org/a/demo-18/api/form/attachment/4bf484f7-c4be-4723-9852-b17934449176/1576053301207.jpg")</f>
        <v>https://www.commcarehq.org/a/demo-18/api/form/attachment/4bf484f7-c4be-4723-9852-b17934449176/1576053301207.jpg</v>
      </c>
      <c r="P12" t="str">
        <f>HYPERLINK("https://www.commcarehq.org/a/demo-18/api/form/attachment/4bf484f7-c4be-4723-9852-b17934449176/1576053329708.jpg")</f>
        <v>https://www.commcarehq.org/a/demo-18/api/form/attachment/4bf484f7-c4be-4723-9852-b17934449176/1576053329708.jpg</v>
      </c>
      <c r="Q12" t="str">
        <f>HYPERLINK("https://www.commcarehq.org/a/demo-18/api/form/attachment/4bf484f7-c4be-4723-9852-b17934449176/1576053344545.jpg")</f>
        <v>https://www.commcarehq.org/a/demo-18/api/form/attachment/4bf484f7-c4be-4723-9852-b17934449176/1576053344545.jpg</v>
      </c>
      <c r="R12" s="2">
        <v>43810.358206018522</v>
      </c>
      <c r="S12" s="2">
        <v>43810.35533564815</v>
      </c>
      <c r="T12" t="s">
        <v>32</v>
      </c>
      <c r="U12" s="2">
        <v>43810.440868055557</v>
      </c>
      <c r="V12" t="s">
        <v>737</v>
      </c>
      <c r="W12" t="s">
        <v>738</v>
      </c>
    </row>
    <row r="13" spans="1:23" x14ac:dyDescent="0.45">
      <c r="A13" t="s">
        <v>562</v>
      </c>
      <c r="B13">
        <v>8</v>
      </c>
      <c r="C13" s="1">
        <v>43840</v>
      </c>
      <c r="D13" s="1">
        <v>43810</v>
      </c>
      <c r="E13" t="s">
        <v>428</v>
      </c>
      <c r="F13" t="s">
        <v>429</v>
      </c>
      <c r="G13" t="s">
        <v>429</v>
      </c>
      <c r="H13" t="s">
        <v>429</v>
      </c>
      <c r="I13" t="s">
        <v>430</v>
      </c>
      <c r="J13" t="s">
        <v>428</v>
      </c>
      <c r="K13" t="s">
        <v>429</v>
      </c>
      <c r="L13" t="str">
        <f>HYPERLINK("https://www.commcarehq.org/a/demo-18/api/form/attachment/7aded657-842f-4cf6-940d-b74a2b77c3fa/1576051208845.jpg")</f>
        <v>https://www.commcarehq.org/a/demo-18/api/form/attachment/7aded657-842f-4cf6-940d-b74a2b77c3fa/1576051208845.jpg</v>
      </c>
      <c r="M13" t="str">
        <f>HYPERLINK("https://www.commcarehq.org/a/demo-18/api/form/attachment/7aded657-842f-4cf6-940d-b74a2b77c3fa/1576051227459.jpg")</f>
        <v>https://www.commcarehq.org/a/demo-18/api/form/attachment/7aded657-842f-4cf6-940d-b74a2b77c3fa/1576051227459.jpg</v>
      </c>
      <c r="N13" t="str">
        <f>HYPERLINK("https://www.commcarehq.org/a/demo-18/api/form/attachment/7aded657-842f-4cf6-940d-b74a2b77c3fa/1576051267146.jpg")</f>
        <v>https://www.commcarehq.org/a/demo-18/api/form/attachment/7aded657-842f-4cf6-940d-b74a2b77c3fa/1576051267146.jpg</v>
      </c>
      <c r="O13" t="str">
        <f>HYPERLINK("https://www.commcarehq.org/a/demo-18/api/form/attachment/7aded657-842f-4cf6-940d-b74a2b77c3fa/1576051277775.jpg")</f>
        <v>https://www.commcarehq.org/a/demo-18/api/form/attachment/7aded657-842f-4cf6-940d-b74a2b77c3fa/1576051277775.jpg</v>
      </c>
      <c r="P13" t="str">
        <f>HYPERLINK("https://www.commcarehq.org/a/demo-18/api/form/attachment/7aded657-842f-4cf6-940d-b74a2b77c3fa/1576051294412.jpg")</f>
        <v>https://www.commcarehq.org/a/demo-18/api/form/attachment/7aded657-842f-4cf6-940d-b74a2b77c3fa/1576051294412.jpg</v>
      </c>
      <c r="Q13" t="str">
        <f>HYPERLINK("https://www.commcarehq.org/a/demo-18/api/form/attachment/7aded657-842f-4cf6-940d-b74a2b77c3fa/1576051306338.jpg")</f>
        <v>https://www.commcarehq.org/a/demo-18/api/form/attachment/7aded657-842f-4cf6-940d-b74a2b77c3fa/1576051306338.jpg</v>
      </c>
      <c r="R13" s="2">
        <v>43810.33457175926</v>
      </c>
      <c r="S13" s="2">
        <v>43810.33289351852</v>
      </c>
      <c r="T13" t="s">
        <v>32</v>
      </c>
      <c r="U13" s="2">
        <v>43810.439317129632</v>
      </c>
      <c r="V13" t="s">
        <v>739</v>
      </c>
      <c r="W13" t="s">
        <v>740</v>
      </c>
    </row>
    <row r="14" spans="1:23" x14ac:dyDescent="0.45">
      <c r="A14" t="s">
        <v>522</v>
      </c>
      <c r="B14">
        <v>6.9</v>
      </c>
      <c r="C14" s="1">
        <v>43840</v>
      </c>
      <c r="D14" s="1">
        <v>43810</v>
      </c>
      <c r="E14" t="s">
        <v>428</v>
      </c>
      <c r="F14" t="s">
        <v>429</v>
      </c>
      <c r="G14" t="s">
        <v>429</v>
      </c>
      <c r="H14" t="s">
        <v>429</v>
      </c>
      <c r="I14" t="s">
        <v>430</v>
      </c>
      <c r="J14" t="s">
        <v>428</v>
      </c>
      <c r="K14" t="s">
        <v>429</v>
      </c>
      <c r="L14" t="str">
        <f>HYPERLINK("https://www.commcarehq.org/a/demo-18/api/form/attachment/daa2afd6-791e-4ecc-a6e3-902e8da299e9/1576052091651.jpg")</f>
        <v>https://www.commcarehq.org/a/demo-18/api/form/attachment/daa2afd6-791e-4ecc-a6e3-902e8da299e9/1576052091651.jpg</v>
      </c>
      <c r="M14" t="str">
        <f>HYPERLINK("https://www.commcarehq.org/a/demo-18/api/form/attachment/daa2afd6-791e-4ecc-a6e3-902e8da299e9/1576052114513.jpg")</f>
        <v>https://www.commcarehq.org/a/demo-18/api/form/attachment/daa2afd6-791e-4ecc-a6e3-902e8da299e9/1576052114513.jpg</v>
      </c>
      <c r="N14" t="str">
        <f>HYPERLINK("https://www.commcarehq.org/a/demo-18/api/form/attachment/daa2afd6-791e-4ecc-a6e3-902e8da299e9/1576052174371.jpg")</f>
        <v>https://www.commcarehq.org/a/demo-18/api/form/attachment/daa2afd6-791e-4ecc-a6e3-902e8da299e9/1576052174371.jpg</v>
      </c>
      <c r="O14" t="str">
        <f>HYPERLINK("https://www.commcarehq.org/a/demo-18/api/form/attachment/daa2afd6-791e-4ecc-a6e3-902e8da299e9/1576052184949.jpg")</f>
        <v>https://www.commcarehq.org/a/demo-18/api/form/attachment/daa2afd6-791e-4ecc-a6e3-902e8da299e9/1576052184949.jpg</v>
      </c>
      <c r="P14" t="str">
        <f>HYPERLINK("https://www.commcarehq.org/a/demo-18/api/form/attachment/daa2afd6-791e-4ecc-a6e3-902e8da299e9/1576052219097.jpg")</f>
        <v>https://www.commcarehq.org/a/demo-18/api/form/attachment/daa2afd6-791e-4ecc-a6e3-902e8da299e9/1576052219097.jpg</v>
      </c>
      <c r="Q14" t="str">
        <f>HYPERLINK("https://www.commcarehq.org/a/demo-18/api/form/attachment/daa2afd6-791e-4ecc-a6e3-902e8da299e9/1576052228390.jpg")</f>
        <v>https://www.commcarehq.org/a/demo-18/api/form/attachment/daa2afd6-791e-4ecc-a6e3-902e8da299e9/1576052228390.jpg</v>
      </c>
      <c r="R14" s="2">
        <v>43810.345254629632</v>
      </c>
      <c r="S14" s="2">
        <v>43810.342453703706</v>
      </c>
      <c r="T14" t="s">
        <v>32</v>
      </c>
      <c r="U14" s="2">
        <v>43810.440081018518</v>
      </c>
      <c r="V14" t="s">
        <v>781</v>
      </c>
      <c r="W14" t="s">
        <v>782</v>
      </c>
    </row>
    <row r="15" spans="1:23" x14ac:dyDescent="0.45">
      <c r="A15" t="s">
        <v>653</v>
      </c>
      <c r="B15">
        <v>6</v>
      </c>
      <c r="C15" s="1">
        <v>43848</v>
      </c>
      <c r="D15" s="1">
        <v>43818</v>
      </c>
      <c r="E15" t="s">
        <v>428</v>
      </c>
      <c r="F15" t="s">
        <v>429</v>
      </c>
      <c r="G15" t="s">
        <v>429</v>
      </c>
      <c r="H15" t="s">
        <v>429</v>
      </c>
      <c r="I15" t="s">
        <v>601</v>
      </c>
      <c r="J15" t="s">
        <v>428</v>
      </c>
      <c r="K15" t="s">
        <v>429</v>
      </c>
      <c r="L15" t="str">
        <f>HYPERLINK("https://www.commcarehq.org/a/demo-18/api/form/attachment/5849fe07-2768-4315-90ce-11a8e85249d2/1576738554048.jpg")</f>
        <v>https://www.commcarehq.org/a/demo-18/api/form/attachment/5849fe07-2768-4315-90ce-11a8e85249d2/1576738554048.jpg</v>
      </c>
      <c r="M15" t="str">
        <f>HYPERLINK("https://www.commcarehq.org/a/demo-18/api/form/attachment/5849fe07-2768-4315-90ce-11a8e85249d2/1576738595085.jpg")</f>
        <v>https://www.commcarehq.org/a/demo-18/api/form/attachment/5849fe07-2768-4315-90ce-11a8e85249d2/1576738595085.jpg</v>
      </c>
      <c r="N15" t="str">
        <f>HYPERLINK("https://www.commcarehq.org/a/demo-18/api/form/attachment/5849fe07-2768-4315-90ce-11a8e85249d2/1576738663066.jpg")</f>
        <v>https://www.commcarehq.org/a/demo-18/api/form/attachment/5849fe07-2768-4315-90ce-11a8e85249d2/1576738663066.jpg</v>
      </c>
      <c r="O15" t="str">
        <f>HYPERLINK("https://www.commcarehq.org/a/demo-18/api/form/attachment/5849fe07-2768-4315-90ce-11a8e85249d2/1576738673070.jpg")</f>
        <v>https://www.commcarehq.org/a/demo-18/api/form/attachment/5849fe07-2768-4315-90ce-11a8e85249d2/1576738673070.jpg</v>
      </c>
      <c r="P15" t="str">
        <f>HYPERLINK("https://www.commcarehq.org/a/demo-18/api/form/attachment/5849fe07-2768-4315-90ce-11a8e85249d2/1576738694696.jpg")</f>
        <v>https://www.commcarehq.org/a/demo-18/api/form/attachment/5849fe07-2768-4315-90ce-11a8e85249d2/1576738694696.jpg</v>
      </c>
      <c r="Q15" t="str">
        <f>HYPERLINK("https://www.commcarehq.org/a/demo-18/api/form/attachment/5849fe07-2768-4315-90ce-11a8e85249d2/1576738706378.jpg")</f>
        <v>https://www.commcarehq.org/a/demo-18/api/form/attachment/5849fe07-2768-4315-90ce-11a8e85249d2/1576738706378.jpg</v>
      </c>
      <c r="R15" s="2">
        <v>43818.290601851855</v>
      </c>
      <c r="S15" s="2">
        <v>43818.288148148145</v>
      </c>
      <c r="T15" t="s">
        <v>32</v>
      </c>
      <c r="U15" s="2">
        <v>43818.358912037038</v>
      </c>
      <c r="V15" t="s">
        <v>862</v>
      </c>
      <c r="W15" t="s">
        <v>863</v>
      </c>
    </row>
    <row r="16" spans="1:23" x14ac:dyDescent="0.45">
      <c r="A16" t="s">
        <v>650</v>
      </c>
      <c r="B16">
        <v>7.7</v>
      </c>
      <c r="C16" s="1">
        <v>43848</v>
      </c>
      <c r="D16" s="1">
        <v>43818</v>
      </c>
      <c r="E16" t="s">
        <v>428</v>
      </c>
      <c r="F16" t="s">
        <v>429</v>
      </c>
      <c r="G16" t="s">
        <v>429</v>
      </c>
      <c r="H16" t="s">
        <v>429</v>
      </c>
      <c r="I16" t="s">
        <v>447</v>
      </c>
      <c r="J16" t="s">
        <v>428</v>
      </c>
      <c r="K16" t="s">
        <v>429</v>
      </c>
      <c r="L16" t="str">
        <f>HYPERLINK("https://www.commcarehq.org/a/demo-18/api/form/attachment/f2c39349-ea76-4853-a986-9b940193f85f/1576739043863.jpg")</f>
        <v>https://www.commcarehq.org/a/demo-18/api/form/attachment/f2c39349-ea76-4853-a986-9b940193f85f/1576739043863.jpg</v>
      </c>
      <c r="M16" t="str">
        <f>HYPERLINK("https://www.commcarehq.org/a/demo-18/api/form/attachment/f2c39349-ea76-4853-a986-9b940193f85f/1576739061864.jpg")</f>
        <v>https://www.commcarehq.org/a/demo-18/api/form/attachment/f2c39349-ea76-4853-a986-9b940193f85f/1576739061864.jpg</v>
      </c>
      <c r="N16" t="str">
        <f>HYPERLINK("https://www.commcarehq.org/a/demo-18/api/form/attachment/f2c39349-ea76-4853-a986-9b940193f85f/1576739114597.jpg")</f>
        <v>https://www.commcarehq.org/a/demo-18/api/form/attachment/f2c39349-ea76-4853-a986-9b940193f85f/1576739114597.jpg</v>
      </c>
      <c r="O16" t="str">
        <f>HYPERLINK("https://www.commcarehq.org/a/demo-18/api/form/attachment/f2c39349-ea76-4853-a986-9b940193f85f/1576739124707.jpg")</f>
        <v>https://www.commcarehq.org/a/demo-18/api/form/attachment/f2c39349-ea76-4853-a986-9b940193f85f/1576739124707.jpg</v>
      </c>
      <c r="P16" t="str">
        <f>HYPERLINK("https://www.commcarehq.org/a/demo-18/api/form/attachment/f2c39349-ea76-4853-a986-9b940193f85f/1576739154744.jpg")</f>
        <v>https://www.commcarehq.org/a/demo-18/api/form/attachment/f2c39349-ea76-4853-a986-9b940193f85f/1576739154744.jpg</v>
      </c>
      <c r="Q16" t="str">
        <f>HYPERLINK("https://www.commcarehq.org/a/demo-18/api/form/attachment/f2c39349-ea76-4853-a986-9b940193f85f/1576739164091.jpg")</f>
        <v>https://www.commcarehq.org/a/demo-18/api/form/attachment/f2c39349-ea76-4853-a986-9b940193f85f/1576739164091.jpg</v>
      </c>
      <c r="R16" s="2">
        <v>43818.295902777776</v>
      </c>
      <c r="S16" s="2">
        <v>43818.294074074074</v>
      </c>
      <c r="T16" t="s">
        <v>32</v>
      </c>
      <c r="U16" s="2">
        <v>43818.3590625</v>
      </c>
      <c r="V16" t="s">
        <v>860</v>
      </c>
      <c r="W16" t="s">
        <v>861</v>
      </c>
    </row>
    <row r="17" spans="1:23" x14ac:dyDescent="0.45">
      <c r="A17" t="s">
        <v>547</v>
      </c>
      <c r="B17">
        <v>7.8</v>
      </c>
      <c r="C17" s="1">
        <v>43847</v>
      </c>
      <c r="D17" s="1">
        <v>43817</v>
      </c>
      <c r="E17" t="s">
        <v>428</v>
      </c>
      <c r="F17" t="s">
        <v>429</v>
      </c>
      <c r="G17" t="s">
        <v>429</v>
      </c>
      <c r="H17" t="s">
        <v>429</v>
      </c>
      <c r="I17" t="s">
        <v>484</v>
      </c>
      <c r="J17" t="s">
        <v>428</v>
      </c>
      <c r="K17" t="s">
        <v>429</v>
      </c>
      <c r="L17" t="str">
        <f>HYPERLINK("https://www.commcarehq.org/a/demo-18/api/form/attachment/25703259-8adc-4411-b19f-dd16fca2c400/1576660086976.jpg")</f>
        <v>https://www.commcarehq.org/a/demo-18/api/form/attachment/25703259-8adc-4411-b19f-dd16fca2c400/1576660086976.jpg</v>
      </c>
      <c r="M17" t="str">
        <f>HYPERLINK("https://www.commcarehq.org/a/demo-18/api/form/attachment/25703259-8adc-4411-b19f-dd16fca2c400/1576660108683.jpg")</f>
        <v>https://www.commcarehq.org/a/demo-18/api/form/attachment/25703259-8adc-4411-b19f-dd16fca2c400/1576660108683.jpg</v>
      </c>
      <c r="N17" t="str">
        <f>HYPERLINK("https://www.commcarehq.org/a/demo-18/api/form/attachment/25703259-8adc-4411-b19f-dd16fca2c400/1576660171057.jpg")</f>
        <v>https://www.commcarehq.org/a/demo-18/api/form/attachment/25703259-8adc-4411-b19f-dd16fca2c400/1576660171057.jpg</v>
      </c>
      <c r="O17" t="str">
        <f>HYPERLINK("https://www.commcarehq.org/a/demo-18/api/form/attachment/25703259-8adc-4411-b19f-dd16fca2c400/1576660180019.jpg")</f>
        <v>https://www.commcarehq.org/a/demo-18/api/form/attachment/25703259-8adc-4411-b19f-dd16fca2c400/1576660180019.jpg</v>
      </c>
      <c r="P17" t="str">
        <f>HYPERLINK("https://www.commcarehq.org/a/demo-18/api/form/attachment/25703259-8adc-4411-b19f-dd16fca2c400/1576660198604.jpg")</f>
        <v>https://www.commcarehq.org/a/demo-18/api/form/attachment/25703259-8adc-4411-b19f-dd16fca2c400/1576660198604.jpg</v>
      </c>
      <c r="Q17" t="str">
        <f>HYPERLINK("https://www.commcarehq.org/a/demo-18/api/form/attachment/25703259-8adc-4411-b19f-dd16fca2c400/1576660210196.jpg")</f>
        <v>https://www.commcarehq.org/a/demo-18/api/form/attachment/25703259-8adc-4411-b19f-dd16fca2c400/1576660210196.jpg</v>
      </c>
      <c r="R17" s="2">
        <v>43817.38208333333</v>
      </c>
      <c r="S17" s="2">
        <v>43817.379675925928</v>
      </c>
      <c r="T17" t="s">
        <v>32</v>
      </c>
      <c r="U17" s="2">
        <v>43817.382256944446</v>
      </c>
      <c r="V17" t="s">
        <v>696</v>
      </c>
      <c r="W17" t="s">
        <v>697</v>
      </c>
    </row>
    <row r="18" spans="1:23" x14ac:dyDescent="0.45">
      <c r="A18" t="s">
        <v>638</v>
      </c>
      <c r="B18">
        <v>6.5</v>
      </c>
      <c r="C18" s="1">
        <v>43852</v>
      </c>
      <c r="D18" s="1">
        <v>43822</v>
      </c>
      <c r="E18" t="s">
        <v>428</v>
      </c>
      <c r="F18" t="s">
        <v>429</v>
      </c>
      <c r="G18" t="s">
        <v>429</v>
      </c>
      <c r="H18" t="s">
        <v>429</v>
      </c>
      <c r="I18" t="s">
        <v>447</v>
      </c>
      <c r="J18" t="s">
        <v>428</v>
      </c>
      <c r="K18" t="s">
        <v>429</v>
      </c>
      <c r="L18" t="str">
        <f>HYPERLINK("https://www.commcarehq.org/a/demo-18/api/form/attachment/9c6e6798-27e9-4493-98cd-c4a78c2b678f/1577083901793.jpg")</f>
        <v>https://www.commcarehq.org/a/demo-18/api/form/attachment/9c6e6798-27e9-4493-98cd-c4a78c2b678f/1577083901793.jpg</v>
      </c>
      <c r="M18" t="str">
        <f>HYPERLINK("https://www.commcarehq.org/a/demo-18/api/form/attachment/9c6e6798-27e9-4493-98cd-c4a78c2b678f/1577083916181.jpg")</f>
        <v>https://www.commcarehq.org/a/demo-18/api/form/attachment/9c6e6798-27e9-4493-98cd-c4a78c2b678f/1577083916181.jpg</v>
      </c>
      <c r="N18" t="str">
        <f>HYPERLINK("https://www.commcarehq.org/a/demo-18/api/form/attachment/9c6e6798-27e9-4493-98cd-c4a78c2b678f/1577083988456.jpg")</f>
        <v>https://www.commcarehq.org/a/demo-18/api/form/attachment/9c6e6798-27e9-4493-98cd-c4a78c2b678f/1577083988456.jpg</v>
      </c>
      <c r="O18" t="str">
        <f>HYPERLINK("https://www.commcarehq.org/a/demo-18/api/form/attachment/9c6e6798-27e9-4493-98cd-c4a78c2b678f/1577083999425.jpg")</f>
        <v>https://www.commcarehq.org/a/demo-18/api/form/attachment/9c6e6798-27e9-4493-98cd-c4a78c2b678f/1577083999425.jpg</v>
      </c>
      <c r="P18" t="str">
        <f>HYPERLINK("https://www.commcarehq.org/a/demo-18/api/form/attachment/9c6e6798-27e9-4493-98cd-c4a78c2b678f/1577084015956.jpg")</f>
        <v>https://www.commcarehq.org/a/demo-18/api/form/attachment/9c6e6798-27e9-4493-98cd-c4a78c2b678f/1577084015956.jpg</v>
      </c>
      <c r="Q18" t="str">
        <f>HYPERLINK("https://www.commcarehq.org/a/demo-18/api/form/attachment/9c6e6798-27e9-4493-98cd-c4a78c2b678f/1577084025106.jpg")</f>
        <v>https://www.commcarehq.org/a/demo-18/api/form/attachment/9c6e6798-27e9-4493-98cd-c4a78c2b678f/1577084025106.jpg</v>
      </c>
      <c r="R18" s="2">
        <v>43822.287361111114</v>
      </c>
      <c r="S18" s="2">
        <v>43822.285127314812</v>
      </c>
      <c r="T18" t="s">
        <v>32</v>
      </c>
      <c r="U18" s="2">
        <v>43822.287557870368</v>
      </c>
      <c r="V18" t="s">
        <v>927</v>
      </c>
      <c r="W18" t="s">
        <v>928</v>
      </c>
    </row>
    <row r="19" spans="1:23" x14ac:dyDescent="0.45">
      <c r="A19" t="s">
        <v>656</v>
      </c>
      <c r="B19">
        <v>6.2</v>
      </c>
      <c r="C19" s="1">
        <v>43848</v>
      </c>
      <c r="D19" s="1">
        <v>43818</v>
      </c>
      <c r="E19" t="s">
        <v>428</v>
      </c>
      <c r="F19" t="s">
        <v>429</v>
      </c>
      <c r="G19" t="s">
        <v>429</v>
      </c>
      <c r="H19" t="s">
        <v>429</v>
      </c>
      <c r="I19" t="s">
        <v>430</v>
      </c>
      <c r="J19" t="s">
        <v>428</v>
      </c>
      <c r="K19" t="s">
        <v>429</v>
      </c>
      <c r="L19" t="str">
        <f>HYPERLINK("https://www.commcarehq.org/a/demo-18/api/form/attachment/65cc04db-36d9-4b50-b531-2a335993f4ca/1576736389817.jpg")</f>
        <v>https://www.commcarehq.org/a/demo-18/api/form/attachment/65cc04db-36d9-4b50-b531-2a335993f4ca/1576736389817.jpg</v>
      </c>
      <c r="M19" t="str">
        <f>HYPERLINK("https://www.commcarehq.org/a/demo-18/api/form/attachment/65cc04db-36d9-4b50-b531-2a335993f4ca/1576736409221.jpg")</f>
        <v>https://www.commcarehq.org/a/demo-18/api/form/attachment/65cc04db-36d9-4b50-b531-2a335993f4ca/1576736409221.jpg</v>
      </c>
      <c r="N19" t="str">
        <f>HYPERLINK("https://www.commcarehq.org/a/demo-18/api/form/attachment/65cc04db-36d9-4b50-b531-2a335993f4ca/1576736472875.jpg")</f>
        <v>https://www.commcarehq.org/a/demo-18/api/form/attachment/65cc04db-36d9-4b50-b531-2a335993f4ca/1576736472875.jpg</v>
      </c>
      <c r="O19" t="str">
        <f>HYPERLINK("https://www.commcarehq.org/a/demo-18/api/form/attachment/65cc04db-36d9-4b50-b531-2a335993f4ca/1576736483719.jpg")</f>
        <v>https://www.commcarehq.org/a/demo-18/api/form/attachment/65cc04db-36d9-4b50-b531-2a335993f4ca/1576736483719.jpg</v>
      </c>
      <c r="P19" t="str">
        <f>HYPERLINK("https://www.commcarehq.org/a/demo-18/api/form/attachment/65cc04db-36d9-4b50-b531-2a335993f4ca/1576736507358.jpg")</f>
        <v>https://www.commcarehq.org/a/demo-18/api/form/attachment/65cc04db-36d9-4b50-b531-2a335993f4ca/1576736507358.jpg</v>
      </c>
      <c r="Q19" t="str">
        <f>HYPERLINK("https://www.commcarehq.org/a/demo-18/api/form/attachment/65cc04db-36d9-4b50-b531-2a335993f4ca/1576736516448.jpg")</f>
        <v>https://www.commcarehq.org/a/demo-18/api/form/attachment/65cc04db-36d9-4b50-b531-2a335993f4ca/1576736516448.jpg</v>
      </c>
      <c r="R19" s="2">
        <v>43818.26525462963</v>
      </c>
      <c r="S19" s="2">
        <v>43818.262939814813</v>
      </c>
      <c r="T19" t="s">
        <v>32</v>
      </c>
      <c r="U19" s="2">
        <v>43818.265428240738</v>
      </c>
      <c r="V19" t="s">
        <v>858</v>
      </c>
      <c r="W19" t="s">
        <v>859</v>
      </c>
    </row>
    <row r="20" spans="1:23" x14ac:dyDescent="0.45">
      <c r="A20" t="s">
        <v>760</v>
      </c>
      <c r="B20">
        <v>7.4</v>
      </c>
      <c r="C20" s="1">
        <v>43820</v>
      </c>
      <c r="D20" s="1">
        <v>43790</v>
      </c>
      <c r="E20" t="s">
        <v>428</v>
      </c>
      <c r="F20" t="s">
        <v>429</v>
      </c>
      <c r="G20" t="s">
        <v>429</v>
      </c>
      <c r="H20" t="s">
        <v>429</v>
      </c>
      <c r="I20" t="s">
        <v>430</v>
      </c>
      <c r="J20" t="s">
        <v>428</v>
      </c>
      <c r="K20" t="s">
        <v>429</v>
      </c>
      <c r="L20" t="str">
        <f>HYPERLINK("https://www.commcarehq.org/a/demo-18/api/form/attachment/0a28b2b6-c07e-4280-898c-8ce28f213ddb/1574328753101.jpg")</f>
        <v>https://www.commcarehq.org/a/demo-18/api/form/attachment/0a28b2b6-c07e-4280-898c-8ce28f213ddb/1574328753101.jpg</v>
      </c>
      <c r="M20" t="str">
        <f>HYPERLINK("https://www.commcarehq.org/a/demo-18/api/form/attachment/0a28b2b6-c07e-4280-898c-8ce28f213ddb/1574328783401.jpg")</f>
        <v>https://www.commcarehq.org/a/demo-18/api/form/attachment/0a28b2b6-c07e-4280-898c-8ce28f213ddb/1574328783401.jpg</v>
      </c>
      <c r="N20" t="str">
        <f>HYPERLINK("https://www.commcarehq.org/a/demo-18/api/form/attachment/0a28b2b6-c07e-4280-898c-8ce28f213ddb/1574328827447.jpg")</f>
        <v>https://www.commcarehq.org/a/demo-18/api/form/attachment/0a28b2b6-c07e-4280-898c-8ce28f213ddb/1574328827447.jpg</v>
      </c>
      <c r="O20" t="str">
        <f>HYPERLINK("https://www.commcarehq.org/a/demo-18/api/form/attachment/0a28b2b6-c07e-4280-898c-8ce28f213ddb/1574328838588.jpg")</f>
        <v>https://www.commcarehq.org/a/demo-18/api/form/attachment/0a28b2b6-c07e-4280-898c-8ce28f213ddb/1574328838588.jpg</v>
      </c>
      <c r="P20" t="str">
        <f>HYPERLINK("https://www.commcarehq.org/a/demo-18/api/form/attachment/0a28b2b6-c07e-4280-898c-8ce28f213ddb/1574328870356.jpg")</f>
        <v>https://www.commcarehq.org/a/demo-18/api/form/attachment/0a28b2b6-c07e-4280-898c-8ce28f213ddb/1574328870356.jpg</v>
      </c>
      <c r="Q20" t="str">
        <f>HYPERLINK("https://www.commcarehq.org/a/demo-18/api/form/attachment/0a28b2b6-c07e-4280-898c-8ce28f213ddb/1574328881574.jpg")</f>
        <v>https://www.commcarehq.org/a/demo-18/api/form/attachment/0a28b2b6-c07e-4280-898c-8ce28f213ddb/1574328881574.jpg</v>
      </c>
      <c r="R20" s="2">
        <v>43790.399108796293</v>
      </c>
      <c r="S20" s="2">
        <v>43790.396944444445</v>
      </c>
      <c r="T20" t="s">
        <v>32</v>
      </c>
      <c r="U20" s="2">
        <v>43790.399259259262</v>
      </c>
      <c r="V20" t="s">
        <v>761</v>
      </c>
      <c r="W20" t="s">
        <v>762</v>
      </c>
    </row>
    <row r="21" spans="1:23" x14ac:dyDescent="0.45">
      <c r="A21" t="s">
        <v>556</v>
      </c>
      <c r="B21">
        <v>8.4</v>
      </c>
      <c r="C21" s="1">
        <v>43855</v>
      </c>
      <c r="D21" s="1">
        <v>43825</v>
      </c>
      <c r="E21" t="s">
        <v>428</v>
      </c>
      <c r="F21" t="s">
        <v>429</v>
      </c>
      <c r="G21" t="s">
        <v>429</v>
      </c>
      <c r="H21" t="s">
        <v>429</v>
      </c>
      <c r="I21" t="s">
        <v>498</v>
      </c>
      <c r="J21" t="s">
        <v>428</v>
      </c>
      <c r="K21" t="s">
        <v>429</v>
      </c>
      <c r="L21" t="str">
        <f>HYPERLINK("https://www.commcarehq.org/a/demo-18/api/form/attachment/abf22fea-5663-44a2-ad35-b31522ef07a4/1577349404887.jpg")</f>
        <v>https://www.commcarehq.org/a/demo-18/api/form/attachment/abf22fea-5663-44a2-ad35-b31522ef07a4/1577349404887.jpg</v>
      </c>
      <c r="M21" t="str">
        <f>HYPERLINK("https://www.commcarehq.org/a/demo-18/api/form/attachment/abf22fea-5663-44a2-ad35-b31522ef07a4/1577349425745.jpg")</f>
        <v>https://www.commcarehq.org/a/demo-18/api/form/attachment/abf22fea-5663-44a2-ad35-b31522ef07a4/1577349425745.jpg</v>
      </c>
      <c r="N21" t="str">
        <f>HYPERLINK("https://www.commcarehq.org/a/demo-18/api/form/attachment/abf22fea-5663-44a2-ad35-b31522ef07a4/1577349473226.jpg")</f>
        <v>https://www.commcarehq.org/a/demo-18/api/form/attachment/abf22fea-5663-44a2-ad35-b31522ef07a4/1577349473226.jpg</v>
      </c>
      <c r="O21" t="str">
        <f>HYPERLINK("https://www.commcarehq.org/a/demo-18/api/form/attachment/abf22fea-5663-44a2-ad35-b31522ef07a4/1577349483967.jpg")</f>
        <v>https://www.commcarehq.org/a/demo-18/api/form/attachment/abf22fea-5663-44a2-ad35-b31522ef07a4/1577349483967.jpg</v>
      </c>
      <c r="P21" t="str">
        <f>HYPERLINK("https://www.commcarehq.org/a/demo-18/api/form/attachment/abf22fea-5663-44a2-ad35-b31522ef07a4/1577349517591.jpg")</f>
        <v>https://www.commcarehq.org/a/demo-18/api/form/attachment/abf22fea-5663-44a2-ad35-b31522ef07a4/1577349517591.jpg</v>
      </c>
      <c r="Q21" t="str">
        <f>HYPERLINK("https://www.commcarehq.org/a/demo-18/api/form/attachment/abf22fea-5663-44a2-ad35-b31522ef07a4/1577349527841.jpg")</f>
        <v>https://www.commcarehq.org/a/demo-18/api/form/attachment/abf22fea-5663-44a2-ad35-b31522ef07a4/1577349527841.jpg</v>
      </c>
      <c r="R21" s="2">
        <v>43825.360324074078</v>
      </c>
      <c r="S21" s="2">
        <v>43825.358437499999</v>
      </c>
      <c r="T21" t="s">
        <v>32</v>
      </c>
      <c r="U21" s="2">
        <v>43826.648668981485</v>
      </c>
      <c r="V21" t="s">
        <v>925</v>
      </c>
      <c r="W21" t="s">
        <v>926</v>
      </c>
    </row>
    <row r="22" spans="1:23" x14ac:dyDescent="0.45">
      <c r="A22" t="s">
        <v>734</v>
      </c>
      <c r="B22">
        <v>6.4</v>
      </c>
      <c r="C22" s="1">
        <v>43827</v>
      </c>
      <c r="D22" s="1">
        <v>43797</v>
      </c>
      <c r="E22" t="s">
        <v>428</v>
      </c>
      <c r="F22" t="s">
        <v>429</v>
      </c>
      <c r="G22" t="s">
        <v>429</v>
      </c>
      <c r="H22" t="s">
        <v>429</v>
      </c>
      <c r="I22" t="s">
        <v>430</v>
      </c>
      <c r="J22" t="s">
        <v>428</v>
      </c>
      <c r="K22" t="s">
        <v>429</v>
      </c>
      <c r="L22" t="str">
        <f>HYPERLINK("https://www.commcarehq.org/a/demo-18/api/form/attachment/a136be98-8698-42d6-92d7-8fbb780add08/1574934090844.jpg")</f>
        <v>https://www.commcarehq.org/a/demo-18/api/form/attachment/a136be98-8698-42d6-92d7-8fbb780add08/1574934090844.jpg</v>
      </c>
      <c r="M22" t="str">
        <f>HYPERLINK("https://www.commcarehq.org/a/demo-18/api/form/attachment/a136be98-8698-42d6-92d7-8fbb780add08/1574934106517.jpg")</f>
        <v>https://www.commcarehq.org/a/demo-18/api/form/attachment/a136be98-8698-42d6-92d7-8fbb780add08/1574934106517.jpg</v>
      </c>
      <c r="N22" t="str">
        <f>HYPERLINK("https://www.commcarehq.org/a/demo-18/api/form/attachment/a136be98-8698-42d6-92d7-8fbb780add08/1574934158807.jpg")</f>
        <v>https://www.commcarehq.org/a/demo-18/api/form/attachment/a136be98-8698-42d6-92d7-8fbb780add08/1574934158807.jpg</v>
      </c>
      <c r="O22" t="str">
        <f>HYPERLINK("https://www.commcarehq.org/a/demo-18/api/form/attachment/a136be98-8698-42d6-92d7-8fbb780add08/1574934167771.jpg")</f>
        <v>https://www.commcarehq.org/a/demo-18/api/form/attachment/a136be98-8698-42d6-92d7-8fbb780add08/1574934167771.jpg</v>
      </c>
      <c r="P22" t="str">
        <f>HYPERLINK("https://www.commcarehq.org/a/demo-18/api/form/attachment/a136be98-8698-42d6-92d7-8fbb780add08/1574934187722.jpg")</f>
        <v>https://www.commcarehq.org/a/demo-18/api/form/attachment/a136be98-8698-42d6-92d7-8fbb780add08/1574934187722.jpg</v>
      </c>
      <c r="Q22" t="str">
        <f>HYPERLINK("https://www.commcarehq.org/a/demo-18/api/form/attachment/a136be98-8698-42d6-92d7-8fbb780add08/1574934195501.jpg")</f>
        <v>https://www.commcarehq.org/a/demo-18/api/form/attachment/a136be98-8698-42d6-92d7-8fbb780add08/1574934195501.jpg</v>
      </c>
      <c r="R22" s="2">
        <v>43797.405069444445</v>
      </c>
      <c r="S22" s="2">
        <v>43797.403287037036</v>
      </c>
      <c r="T22" t="s">
        <v>32</v>
      </c>
      <c r="U22" s="2">
        <v>43797.40525462963</v>
      </c>
      <c r="V22" t="s">
        <v>735</v>
      </c>
      <c r="W22" t="s">
        <v>736</v>
      </c>
    </row>
    <row r="23" spans="1:23" x14ac:dyDescent="0.45">
      <c r="A23" t="s">
        <v>766</v>
      </c>
      <c r="B23">
        <v>6.5</v>
      </c>
      <c r="C23" s="1">
        <v>43824</v>
      </c>
      <c r="D23" s="1">
        <v>43794</v>
      </c>
      <c r="E23" t="s">
        <v>428</v>
      </c>
      <c r="F23" t="s">
        <v>429</v>
      </c>
      <c r="G23" t="s">
        <v>429</v>
      </c>
      <c r="H23" t="s">
        <v>429</v>
      </c>
      <c r="I23" t="s">
        <v>498</v>
      </c>
      <c r="J23" t="s">
        <v>428</v>
      </c>
      <c r="K23" t="s">
        <v>429</v>
      </c>
      <c r="L23" t="str">
        <f>HYPERLINK("https://www.commcarehq.org/a/demo-18/api/form/attachment/56e9ada6-b3e8-4ab0-9890-09f83e889ab8/1574669226656.jpg")</f>
        <v>https://www.commcarehq.org/a/demo-18/api/form/attachment/56e9ada6-b3e8-4ab0-9890-09f83e889ab8/1574669226656.jpg</v>
      </c>
      <c r="M23" t="str">
        <f>HYPERLINK("https://www.commcarehq.org/a/demo-18/api/form/attachment/56e9ada6-b3e8-4ab0-9890-09f83e889ab8/1574669239828.jpg")</f>
        <v>https://www.commcarehq.org/a/demo-18/api/form/attachment/56e9ada6-b3e8-4ab0-9890-09f83e889ab8/1574669239828.jpg</v>
      </c>
      <c r="N23" t="str">
        <f>HYPERLINK("https://www.commcarehq.org/a/demo-18/api/form/attachment/56e9ada6-b3e8-4ab0-9890-09f83e889ab8/1574669284663.jpg")</f>
        <v>https://www.commcarehq.org/a/demo-18/api/form/attachment/56e9ada6-b3e8-4ab0-9890-09f83e889ab8/1574669284663.jpg</v>
      </c>
      <c r="O23" t="str">
        <f>HYPERLINK("https://www.commcarehq.org/a/demo-18/api/form/attachment/56e9ada6-b3e8-4ab0-9890-09f83e889ab8/1574669297099.jpg")</f>
        <v>https://www.commcarehq.org/a/demo-18/api/form/attachment/56e9ada6-b3e8-4ab0-9890-09f83e889ab8/1574669297099.jpg</v>
      </c>
      <c r="P23" t="str">
        <f>HYPERLINK("https://www.commcarehq.org/a/demo-18/api/form/attachment/56e9ada6-b3e8-4ab0-9890-09f83e889ab8/1574669315236.jpg")</f>
        <v>https://www.commcarehq.org/a/demo-18/api/form/attachment/56e9ada6-b3e8-4ab0-9890-09f83e889ab8/1574669315236.jpg</v>
      </c>
      <c r="Q23" t="str">
        <f>HYPERLINK("https://www.commcarehq.org/a/demo-18/api/form/attachment/56e9ada6-b3e8-4ab0-9890-09f83e889ab8/1574669324739.jpg")</f>
        <v>https://www.commcarehq.org/a/demo-18/api/form/attachment/56e9ada6-b3e8-4ab0-9890-09f83e889ab8/1574669324739.jpg</v>
      </c>
      <c r="R23" s="2">
        <v>43794.339421296296</v>
      </c>
      <c r="S23" s="2">
        <v>43794.337557870371</v>
      </c>
      <c r="T23" t="s">
        <v>32</v>
      </c>
      <c r="U23" s="2">
        <v>43794.339629629627</v>
      </c>
      <c r="V23" t="s">
        <v>767</v>
      </c>
      <c r="W23" t="s">
        <v>768</v>
      </c>
    </row>
    <row r="24" spans="1:23" x14ac:dyDescent="0.45">
      <c r="A24" t="s">
        <v>668</v>
      </c>
      <c r="B24">
        <v>6.4</v>
      </c>
      <c r="C24" s="1">
        <v>43855</v>
      </c>
      <c r="D24" s="1">
        <v>43825</v>
      </c>
      <c r="E24" t="s">
        <v>428</v>
      </c>
      <c r="F24" t="s">
        <v>429</v>
      </c>
      <c r="G24" t="s">
        <v>429</v>
      </c>
      <c r="H24" t="s">
        <v>429</v>
      </c>
      <c r="I24" t="s">
        <v>447</v>
      </c>
      <c r="J24" t="s">
        <v>428</v>
      </c>
      <c r="K24" t="s">
        <v>429</v>
      </c>
      <c r="L24" t="str">
        <f>HYPERLINK("https://www.commcarehq.org/a/demo-18/api/form/attachment/aa7fec9a-dfec-4117-9da0-25f9cf731ab3/1577340905211.jpg")</f>
        <v>https://www.commcarehq.org/a/demo-18/api/form/attachment/aa7fec9a-dfec-4117-9da0-25f9cf731ab3/1577340905211.jpg</v>
      </c>
      <c r="M24" t="str">
        <f>HYPERLINK("https://www.commcarehq.org/a/demo-18/api/form/attachment/aa7fec9a-dfec-4117-9da0-25f9cf731ab3/1577340925452.jpg")</f>
        <v>https://www.commcarehq.org/a/demo-18/api/form/attachment/aa7fec9a-dfec-4117-9da0-25f9cf731ab3/1577340925452.jpg</v>
      </c>
      <c r="N24" t="str">
        <f>HYPERLINK("https://www.commcarehq.org/a/demo-18/api/form/attachment/aa7fec9a-dfec-4117-9da0-25f9cf731ab3/1577340964875.jpg")</f>
        <v>https://www.commcarehq.org/a/demo-18/api/form/attachment/aa7fec9a-dfec-4117-9da0-25f9cf731ab3/1577340964875.jpg</v>
      </c>
      <c r="O24" t="str">
        <f>HYPERLINK("https://www.commcarehq.org/a/demo-18/api/form/attachment/aa7fec9a-dfec-4117-9da0-25f9cf731ab3/1577340982773.jpg")</f>
        <v>https://www.commcarehq.org/a/demo-18/api/form/attachment/aa7fec9a-dfec-4117-9da0-25f9cf731ab3/1577340982773.jpg</v>
      </c>
      <c r="P24" t="str">
        <f>HYPERLINK("https://www.commcarehq.org/a/demo-18/api/form/attachment/aa7fec9a-dfec-4117-9da0-25f9cf731ab3/1577340999891.jpg")</f>
        <v>https://www.commcarehq.org/a/demo-18/api/form/attachment/aa7fec9a-dfec-4117-9da0-25f9cf731ab3/1577340999891.jpg</v>
      </c>
      <c r="Q24" t="str">
        <f>HYPERLINK("https://www.commcarehq.org/a/demo-18/api/form/attachment/aa7fec9a-dfec-4117-9da0-25f9cf731ab3/1577341010307.jpg")</f>
        <v>https://www.commcarehq.org/a/demo-18/api/form/attachment/aa7fec9a-dfec-4117-9da0-25f9cf731ab3/1577341010307.jpg</v>
      </c>
      <c r="R24" s="2">
        <v>43825.261712962965</v>
      </c>
      <c r="S24" s="2">
        <v>43825.259687500002</v>
      </c>
      <c r="T24" t="s">
        <v>32</v>
      </c>
      <c r="U24" s="2">
        <v>43825.285034722219</v>
      </c>
      <c r="V24" t="s">
        <v>929</v>
      </c>
      <c r="W24" t="s">
        <v>930</v>
      </c>
    </row>
    <row r="25" spans="1:23" x14ac:dyDescent="0.45">
      <c r="A25" t="s">
        <v>744</v>
      </c>
      <c r="B25">
        <v>5.9</v>
      </c>
      <c r="C25" s="1">
        <v>43824</v>
      </c>
      <c r="D25" s="1">
        <v>43794</v>
      </c>
      <c r="E25" t="s">
        <v>428</v>
      </c>
      <c r="F25" t="s">
        <v>429</v>
      </c>
      <c r="G25" t="s">
        <v>429</v>
      </c>
      <c r="H25" t="s">
        <v>429</v>
      </c>
      <c r="I25" t="s">
        <v>447</v>
      </c>
      <c r="J25" t="s">
        <v>428</v>
      </c>
      <c r="K25" t="s">
        <v>429</v>
      </c>
      <c r="L25" t="str">
        <f>HYPERLINK("https://www.commcarehq.org/a/demo-18/api/form/attachment/94a9427f-ddd3-4548-8548-d847a38163eb/1574670075727.jpg")</f>
        <v>https://www.commcarehq.org/a/demo-18/api/form/attachment/94a9427f-ddd3-4548-8548-d847a38163eb/1574670075727.jpg</v>
      </c>
      <c r="M25" t="str">
        <f>HYPERLINK("https://www.commcarehq.org/a/demo-18/api/form/attachment/94a9427f-ddd3-4548-8548-d847a38163eb/1574670092530.jpg")</f>
        <v>https://www.commcarehq.org/a/demo-18/api/form/attachment/94a9427f-ddd3-4548-8548-d847a38163eb/1574670092530.jpg</v>
      </c>
      <c r="N25" t="str">
        <f>HYPERLINK("https://www.commcarehq.org/a/demo-18/api/form/attachment/94a9427f-ddd3-4548-8548-d847a38163eb/1574670137249.jpg")</f>
        <v>https://www.commcarehq.org/a/demo-18/api/form/attachment/94a9427f-ddd3-4548-8548-d847a38163eb/1574670137249.jpg</v>
      </c>
      <c r="O25" t="str">
        <f>HYPERLINK("https://www.commcarehq.org/a/demo-18/api/form/attachment/94a9427f-ddd3-4548-8548-d847a38163eb/1574670146136.jpg")</f>
        <v>https://www.commcarehq.org/a/demo-18/api/form/attachment/94a9427f-ddd3-4548-8548-d847a38163eb/1574670146136.jpg</v>
      </c>
      <c r="P25" t="str">
        <f>HYPERLINK("https://www.commcarehq.org/a/demo-18/api/form/attachment/94a9427f-ddd3-4548-8548-d847a38163eb/1574670165700.jpg")</f>
        <v>https://www.commcarehq.org/a/demo-18/api/form/attachment/94a9427f-ddd3-4548-8548-d847a38163eb/1574670165700.jpg</v>
      </c>
      <c r="Q25" t="str">
        <f>HYPERLINK("https://www.commcarehq.org/a/demo-18/api/form/attachment/94a9427f-ddd3-4548-8548-d847a38163eb/1574670175940.jpg")</f>
        <v>https://www.commcarehq.org/a/demo-18/api/form/attachment/94a9427f-ddd3-4548-8548-d847a38163eb/1574670175940.jpg</v>
      </c>
      <c r="R25" s="2">
        <v>43794.349282407406</v>
      </c>
      <c r="S25" s="2">
        <v>43794.347673611112</v>
      </c>
      <c r="T25" t="s">
        <v>32</v>
      </c>
      <c r="U25" s="2">
        <v>43794.349537037036</v>
      </c>
      <c r="V25" t="s">
        <v>745</v>
      </c>
      <c r="W25" t="s">
        <v>746</v>
      </c>
    </row>
    <row r="26" spans="1:23" x14ac:dyDescent="0.45">
      <c r="A26" t="s">
        <v>763</v>
      </c>
      <c r="B26">
        <v>8.1</v>
      </c>
      <c r="C26" s="1">
        <v>43824</v>
      </c>
      <c r="D26" s="1">
        <v>43794</v>
      </c>
      <c r="E26" t="s">
        <v>428</v>
      </c>
      <c r="F26" t="s">
        <v>429</v>
      </c>
      <c r="G26" t="s">
        <v>429</v>
      </c>
      <c r="H26" t="s">
        <v>429</v>
      </c>
      <c r="I26" t="s">
        <v>447</v>
      </c>
      <c r="J26" t="s">
        <v>428</v>
      </c>
      <c r="K26" t="s">
        <v>429</v>
      </c>
      <c r="L26" t="str">
        <f>HYPERLINK("https://www.commcarehq.org/a/demo-18/api/form/attachment/2e19f7a3-d2b8-4917-9661-275aeb5c5220/1574671598533.jpg")</f>
        <v>https://www.commcarehq.org/a/demo-18/api/form/attachment/2e19f7a3-d2b8-4917-9661-275aeb5c5220/1574671598533.jpg</v>
      </c>
      <c r="M26" t="str">
        <f>HYPERLINK("https://www.commcarehq.org/a/demo-18/api/form/attachment/2e19f7a3-d2b8-4917-9661-275aeb5c5220/1574671614321.jpg")</f>
        <v>https://www.commcarehq.org/a/demo-18/api/form/attachment/2e19f7a3-d2b8-4917-9661-275aeb5c5220/1574671614321.jpg</v>
      </c>
      <c r="N26" t="str">
        <f>HYPERLINK("https://www.commcarehq.org/a/demo-18/api/form/attachment/2e19f7a3-d2b8-4917-9661-275aeb5c5220/1574671654352.jpg")</f>
        <v>https://www.commcarehq.org/a/demo-18/api/form/attachment/2e19f7a3-d2b8-4917-9661-275aeb5c5220/1574671654352.jpg</v>
      </c>
      <c r="O26" t="str">
        <f>HYPERLINK("https://www.commcarehq.org/a/demo-18/api/form/attachment/2e19f7a3-d2b8-4917-9661-275aeb5c5220/1574671664046.jpg")</f>
        <v>https://www.commcarehq.org/a/demo-18/api/form/attachment/2e19f7a3-d2b8-4917-9661-275aeb5c5220/1574671664046.jpg</v>
      </c>
      <c r="P26" t="str">
        <f>HYPERLINK("https://www.commcarehq.org/a/demo-18/api/form/attachment/2e19f7a3-d2b8-4917-9661-275aeb5c5220/1574671688586.jpg")</f>
        <v>https://www.commcarehq.org/a/demo-18/api/form/attachment/2e19f7a3-d2b8-4917-9661-275aeb5c5220/1574671688586.jpg</v>
      </c>
      <c r="Q26" t="str">
        <f>HYPERLINK("https://www.commcarehq.org/a/demo-18/api/form/attachment/2e19f7a3-d2b8-4917-9661-275aeb5c5220/1574671699571.jpg")</f>
        <v>https://www.commcarehq.org/a/demo-18/api/form/attachment/2e19f7a3-d2b8-4917-9661-275aeb5c5220/1574671699571.jpg</v>
      </c>
      <c r="R26" s="2">
        <v>43794.366909722223</v>
      </c>
      <c r="S26" s="2">
        <v>43794.36509259259</v>
      </c>
      <c r="T26" t="s">
        <v>32</v>
      </c>
      <c r="U26" s="2">
        <v>43794.37054398148</v>
      </c>
      <c r="V26" t="s">
        <v>764</v>
      </c>
      <c r="W26" t="s">
        <v>765</v>
      </c>
    </row>
    <row r="27" spans="1:23" x14ac:dyDescent="0.45">
      <c r="A27" t="s">
        <v>709</v>
      </c>
      <c r="B27">
        <v>7.9</v>
      </c>
      <c r="C27" s="1">
        <v>43824</v>
      </c>
      <c r="D27" s="1">
        <v>43794</v>
      </c>
      <c r="E27" t="s">
        <v>428</v>
      </c>
      <c r="F27" t="s">
        <v>429</v>
      </c>
      <c r="G27" t="s">
        <v>429</v>
      </c>
      <c r="H27" t="s">
        <v>429</v>
      </c>
      <c r="I27" t="s">
        <v>430</v>
      </c>
      <c r="J27" t="s">
        <v>428</v>
      </c>
      <c r="K27" t="s">
        <v>429</v>
      </c>
      <c r="L27" t="str">
        <f>HYPERLINK("https://www.commcarehq.org/a/demo-18/api/form/attachment/9f92e828-f2e3-4de9-9d7d-8fae8c9c687b/1574672031111.jpg")</f>
        <v>https://www.commcarehq.org/a/demo-18/api/form/attachment/9f92e828-f2e3-4de9-9d7d-8fae8c9c687b/1574672031111.jpg</v>
      </c>
      <c r="M27" t="str">
        <f>HYPERLINK("https://www.commcarehq.org/a/demo-18/api/form/attachment/9f92e828-f2e3-4de9-9d7d-8fae8c9c687b/1574672087537.jpg")</f>
        <v>https://www.commcarehq.org/a/demo-18/api/form/attachment/9f92e828-f2e3-4de9-9d7d-8fae8c9c687b/1574672087537.jpg</v>
      </c>
      <c r="N27" t="str">
        <f>HYPERLINK("https://www.commcarehq.org/a/demo-18/api/form/attachment/9f92e828-f2e3-4de9-9d7d-8fae8c9c687b/1574672189697.jpg")</f>
        <v>https://www.commcarehq.org/a/demo-18/api/form/attachment/9f92e828-f2e3-4de9-9d7d-8fae8c9c687b/1574672189697.jpg</v>
      </c>
      <c r="O27" t="str">
        <f>HYPERLINK("https://www.commcarehq.org/a/demo-18/api/form/attachment/9f92e828-f2e3-4de9-9d7d-8fae8c9c687b/1574672199127.jpg")</f>
        <v>https://www.commcarehq.org/a/demo-18/api/form/attachment/9f92e828-f2e3-4de9-9d7d-8fae8c9c687b/1574672199127.jpg</v>
      </c>
      <c r="P27" t="str">
        <f>HYPERLINK("https://www.commcarehq.org/a/demo-18/api/form/attachment/9f92e828-f2e3-4de9-9d7d-8fae8c9c687b/1574672253158.jpg")</f>
        <v>https://www.commcarehq.org/a/demo-18/api/form/attachment/9f92e828-f2e3-4de9-9d7d-8fae8c9c687b/1574672253158.jpg</v>
      </c>
      <c r="Q27" t="str">
        <f>HYPERLINK("https://www.commcarehq.org/a/demo-18/api/form/attachment/9f92e828-f2e3-4de9-9d7d-8fae8c9c687b/1574672261626.jpg")</f>
        <v>https://www.commcarehq.org/a/demo-18/api/form/attachment/9f92e828-f2e3-4de9-9d7d-8fae8c9c687b/1574672261626.jpg</v>
      </c>
      <c r="R27" s="2">
        <v>43794.373414351852</v>
      </c>
      <c r="S27" s="2">
        <v>43794.370289351849</v>
      </c>
      <c r="T27" t="s">
        <v>32</v>
      </c>
      <c r="U27" s="2">
        <v>43794.37358796296</v>
      </c>
      <c r="V27" t="s">
        <v>710</v>
      </c>
      <c r="W27" t="s">
        <v>711</v>
      </c>
    </row>
    <row r="28" spans="1:23" x14ac:dyDescent="0.45">
      <c r="A28" t="s">
        <v>747</v>
      </c>
      <c r="B28">
        <v>6.7</v>
      </c>
      <c r="C28" s="1">
        <v>43824</v>
      </c>
      <c r="D28" s="1">
        <v>43794</v>
      </c>
      <c r="E28" t="s">
        <v>428</v>
      </c>
      <c r="F28" t="s">
        <v>429</v>
      </c>
      <c r="G28" t="s">
        <v>429</v>
      </c>
      <c r="H28" t="s">
        <v>429</v>
      </c>
      <c r="I28" t="s">
        <v>544</v>
      </c>
      <c r="J28" t="s">
        <v>428</v>
      </c>
      <c r="K28" t="s">
        <v>429</v>
      </c>
      <c r="L28" t="str">
        <f>HYPERLINK("https://www.commcarehq.org/a/demo-18/api/form/attachment/e7eb5b63-3089-45da-b3fc-b3b57c119c9b/1574673332577.jpg")</f>
        <v>https://www.commcarehq.org/a/demo-18/api/form/attachment/e7eb5b63-3089-45da-b3fc-b3b57c119c9b/1574673332577.jpg</v>
      </c>
      <c r="M28" t="str">
        <f>HYPERLINK("https://www.commcarehq.org/a/demo-18/api/form/attachment/e7eb5b63-3089-45da-b3fc-b3b57c119c9b/1574673350845.jpg")</f>
        <v>https://www.commcarehq.org/a/demo-18/api/form/attachment/e7eb5b63-3089-45da-b3fc-b3b57c119c9b/1574673350845.jpg</v>
      </c>
      <c r="N28" t="str">
        <f>HYPERLINK("https://www.commcarehq.org/a/demo-18/api/form/attachment/e7eb5b63-3089-45da-b3fc-b3b57c119c9b/1574673388606.jpg")</f>
        <v>https://www.commcarehq.org/a/demo-18/api/form/attachment/e7eb5b63-3089-45da-b3fc-b3b57c119c9b/1574673388606.jpg</v>
      </c>
      <c r="O28" t="str">
        <f>HYPERLINK("https://www.commcarehq.org/a/demo-18/api/form/attachment/e7eb5b63-3089-45da-b3fc-b3b57c119c9b/1574673397637.jpg")</f>
        <v>https://www.commcarehq.org/a/demo-18/api/form/attachment/e7eb5b63-3089-45da-b3fc-b3b57c119c9b/1574673397637.jpg</v>
      </c>
      <c r="P28" t="str">
        <f>HYPERLINK("https://www.commcarehq.org/a/demo-18/api/form/attachment/e7eb5b63-3089-45da-b3fc-b3b57c119c9b/1574673418023.jpg")</f>
        <v>https://www.commcarehq.org/a/demo-18/api/form/attachment/e7eb5b63-3089-45da-b3fc-b3b57c119c9b/1574673418023.jpg</v>
      </c>
      <c r="Q28" t="str">
        <f>HYPERLINK("https://www.commcarehq.org/a/demo-18/api/form/attachment/e7eb5b63-3089-45da-b3fc-b3b57c119c9b/1574673427347.jpg")</f>
        <v>https://www.commcarehq.org/a/demo-18/api/form/attachment/e7eb5b63-3089-45da-b3fc-b3b57c119c9b/1574673427347.jpg</v>
      </c>
      <c r="R28" s="2">
        <v>43794.38690972222</v>
      </c>
      <c r="S28" s="2">
        <v>43794.385405092595</v>
      </c>
      <c r="T28" t="s">
        <v>32</v>
      </c>
      <c r="U28" s="2">
        <v>43794.401030092595</v>
      </c>
      <c r="V28" t="s">
        <v>748</v>
      </c>
      <c r="W28" t="s">
        <v>749</v>
      </c>
    </row>
    <row r="29" spans="1:23" x14ac:dyDescent="0.45">
      <c r="A29" t="s">
        <v>718</v>
      </c>
      <c r="B29">
        <v>5.2</v>
      </c>
      <c r="C29" s="1">
        <v>43826</v>
      </c>
      <c r="D29" s="1">
        <v>43796</v>
      </c>
      <c r="E29" t="s">
        <v>428</v>
      </c>
      <c r="F29" t="s">
        <v>429</v>
      </c>
      <c r="G29" t="s">
        <v>429</v>
      </c>
      <c r="H29" t="s">
        <v>429</v>
      </c>
      <c r="I29" t="s">
        <v>447</v>
      </c>
      <c r="J29" t="s">
        <v>428</v>
      </c>
      <c r="K29" t="s">
        <v>429</v>
      </c>
      <c r="L29" t="str">
        <f>HYPERLINK("https://www.commcarehq.org/a/demo-18/api/form/attachment/0e29bc05-ea2a-4373-a81a-3702396bb054/1574842653511.jpg")</f>
        <v>https://www.commcarehq.org/a/demo-18/api/form/attachment/0e29bc05-ea2a-4373-a81a-3702396bb054/1574842653511.jpg</v>
      </c>
      <c r="M29" t="str">
        <f>HYPERLINK("https://www.commcarehq.org/a/demo-18/api/form/attachment/0e29bc05-ea2a-4373-a81a-3702396bb054/1574842671314.jpg")</f>
        <v>https://www.commcarehq.org/a/demo-18/api/form/attachment/0e29bc05-ea2a-4373-a81a-3702396bb054/1574842671314.jpg</v>
      </c>
      <c r="N29" t="str">
        <f>HYPERLINK("https://www.commcarehq.org/a/demo-18/api/form/attachment/0e29bc05-ea2a-4373-a81a-3702396bb054/1574842702451.jpg")</f>
        <v>https://www.commcarehq.org/a/demo-18/api/form/attachment/0e29bc05-ea2a-4373-a81a-3702396bb054/1574842702451.jpg</v>
      </c>
      <c r="O29" t="str">
        <f>HYPERLINK("https://www.commcarehq.org/a/demo-18/api/form/attachment/0e29bc05-ea2a-4373-a81a-3702396bb054/1574842712573.jpg")</f>
        <v>https://www.commcarehq.org/a/demo-18/api/form/attachment/0e29bc05-ea2a-4373-a81a-3702396bb054/1574842712573.jpg</v>
      </c>
      <c r="P29" t="str">
        <f>HYPERLINK("https://www.commcarehq.org/a/demo-18/api/form/attachment/0e29bc05-ea2a-4373-a81a-3702396bb054/1574842725158.jpg")</f>
        <v>https://www.commcarehq.org/a/demo-18/api/form/attachment/0e29bc05-ea2a-4373-a81a-3702396bb054/1574842725158.jpg</v>
      </c>
      <c r="Q29" t="str">
        <f>HYPERLINK("https://www.commcarehq.org/a/demo-18/api/form/attachment/0e29bc05-ea2a-4373-a81a-3702396bb054/1574842733188.jpg")</f>
        <v>https://www.commcarehq.org/a/demo-18/api/form/attachment/0e29bc05-ea2a-4373-a81a-3702396bb054/1574842733188.jpg</v>
      </c>
      <c r="R29" s="2">
        <v>43796.346458333333</v>
      </c>
      <c r="S29" s="2">
        <v>43796.344988425924</v>
      </c>
      <c r="T29" t="s">
        <v>32</v>
      </c>
      <c r="U29" s="2">
        <v>43796.383009259262</v>
      </c>
      <c r="V29" t="s">
        <v>719</v>
      </c>
      <c r="W29" t="s">
        <v>720</v>
      </c>
    </row>
    <row r="30" spans="1:23" x14ac:dyDescent="0.45">
      <c r="A30" t="s">
        <v>685</v>
      </c>
      <c r="B30">
        <v>6.8</v>
      </c>
      <c r="C30" s="1">
        <v>43826</v>
      </c>
      <c r="D30" s="1">
        <v>43796</v>
      </c>
      <c r="E30" t="s">
        <v>428</v>
      </c>
      <c r="F30" t="s">
        <v>429</v>
      </c>
      <c r="G30" t="s">
        <v>429</v>
      </c>
      <c r="H30" t="s">
        <v>429</v>
      </c>
      <c r="I30" t="s">
        <v>498</v>
      </c>
      <c r="J30" t="s">
        <v>428</v>
      </c>
      <c r="K30" t="s">
        <v>429</v>
      </c>
      <c r="L30" t="str">
        <f>HYPERLINK("https://www.commcarehq.org/a/demo-18/api/form/attachment/89727c73-2bec-4648-828a-31d2c9006f8b/1574843201020.jpg")</f>
        <v>https://www.commcarehq.org/a/demo-18/api/form/attachment/89727c73-2bec-4648-828a-31d2c9006f8b/1574843201020.jpg</v>
      </c>
      <c r="M30" t="str">
        <f>HYPERLINK("https://www.commcarehq.org/a/demo-18/api/form/attachment/89727c73-2bec-4648-828a-31d2c9006f8b/1574843225092.jpg")</f>
        <v>https://www.commcarehq.org/a/demo-18/api/form/attachment/89727c73-2bec-4648-828a-31d2c9006f8b/1574843225092.jpg</v>
      </c>
      <c r="N30" t="str">
        <f>HYPERLINK("https://www.commcarehq.org/a/demo-18/api/form/attachment/89727c73-2bec-4648-828a-31d2c9006f8b/1574843259987.jpg")</f>
        <v>https://www.commcarehq.org/a/demo-18/api/form/attachment/89727c73-2bec-4648-828a-31d2c9006f8b/1574843259987.jpg</v>
      </c>
      <c r="O30" t="str">
        <f>HYPERLINK("https://www.commcarehq.org/a/demo-18/api/form/attachment/89727c73-2bec-4648-828a-31d2c9006f8b/1574843270945.jpg")</f>
        <v>https://www.commcarehq.org/a/demo-18/api/form/attachment/89727c73-2bec-4648-828a-31d2c9006f8b/1574843270945.jpg</v>
      </c>
      <c r="P30" t="str">
        <f>HYPERLINK("https://www.commcarehq.org/a/demo-18/api/form/attachment/89727c73-2bec-4648-828a-31d2c9006f8b/1574843296307.jpg")</f>
        <v>https://www.commcarehq.org/a/demo-18/api/form/attachment/89727c73-2bec-4648-828a-31d2c9006f8b/1574843296307.jpg</v>
      </c>
      <c r="Q30" t="str">
        <f>HYPERLINK("https://www.commcarehq.org/a/demo-18/api/form/attachment/89727c73-2bec-4648-828a-31d2c9006f8b/1574843307003.jpg")</f>
        <v>https://www.commcarehq.org/a/demo-18/api/form/attachment/89727c73-2bec-4648-828a-31d2c9006f8b/1574843307003.jpg</v>
      </c>
      <c r="R30" s="2">
        <v>43796.353101851855</v>
      </c>
      <c r="S30" s="2">
        <v>43796.35056712963</v>
      </c>
      <c r="T30" t="s">
        <v>32</v>
      </c>
      <c r="U30" s="2">
        <v>43796.383206018516</v>
      </c>
      <c r="V30" t="s">
        <v>686</v>
      </c>
      <c r="W30" t="s">
        <v>687</v>
      </c>
    </row>
    <row r="31" spans="1:23" x14ac:dyDescent="0.45">
      <c r="A31" t="s">
        <v>778</v>
      </c>
      <c r="B31">
        <v>7.4</v>
      </c>
      <c r="C31" s="1">
        <v>43826</v>
      </c>
      <c r="D31" s="1">
        <v>43796</v>
      </c>
      <c r="E31" t="s">
        <v>428</v>
      </c>
      <c r="F31" t="s">
        <v>429</v>
      </c>
      <c r="G31" t="s">
        <v>429</v>
      </c>
      <c r="H31" t="s">
        <v>429</v>
      </c>
      <c r="I31" t="s">
        <v>498</v>
      </c>
      <c r="J31" t="s">
        <v>428</v>
      </c>
      <c r="K31" t="s">
        <v>429</v>
      </c>
      <c r="L31" t="str">
        <f>HYPERLINK("https://www.commcarehq.org/a/demo-18/api/form/attachment/a899c3e0-552d-4a25-b138-e7e7c19f5e47/1574843564241.jpg")</f>
        <v>https://www.commcarehq.org/a/demo-18/api/form/attachment/a899c3e0-552d-4a25-b138-e7e7c19f5e47/1574843564241.jpg</v>
      </c>
      <c r="M31" t="str">
        <f>HYPERLINK("https://www.commcarehq.org/a/demo-18/api/form/attachment/a899c3e0-552d-4a25-b138-e7e7c19f5e47/1574843582644.jpg")</f>
        <v>https://www.commcarehq.org/a/demo-18/api/form/attachment/a899c3e0-552d-4a25-b138-e7e7c19f5e47/1574843582644.jpg</v>
      </c>
      <c r="N31" t="str">
        <f>HYPERLINK("https://www.commcarehq.org/a/demo-18/api/form/attachment/a899c3e0-552d-4a25-b138-e7e7c19f5e47/1574843626071.jpg")</f>
        <v>https://www.commcarehq.org/a/demo-18/api/form/attachment/a899c3e0-552d-4a25-b138-e7e7c19f5e47/1574843626071.jpg</v>
      </c>
      <c r="O31" t="str">
        <f>HYPERLINK("https://www.commcarehq.org/a/demo-18/api/form/attachment/a899c3e0-552d-4a25-b138-e7e7c19f5e47/1574843655190.jpg")</f>
        <v>https://www.commcarehq.org/a/demo-18/api/form/attachment/a899c3e0-552d-4a25-b138-e7e7c19f5e47/1574843655190.jpg</v>
      </c>
      <c r="P31" t="str">
        <f>HYPERLINK("https://www.commcarehq.org/a/demo-18/api/form/attachment/a899c3e0-552d-4a25-b138-e7e7c19f5e47/1574843673099.jpg")</f>
        <v>https://www.commcarehq.org/a/demo-18/api/form/attachment/a899c3e0-552d-4a25-b138-e7e7c19f5e47/1574843673099.jpg</v>
      </c>
      <c r="Q31" t="str">
        <f>HYPERLINK("https://www.commcarehq.org/a/demo-18/api/form/attachment/a899c3e0-552d-4a25-b138-e7e7c19f5e47/1574843681672.jpg")</f>
        <v>https://www.commcarehq.org/a/demo-18/api/form/attachment/a899c3e0-552d-4a25-b138-e7e7c19f5e47/1574843681672.jpg</v>
      </c>
      <c r="R31" s="2">
        <v>43796.357442129629</v>
      </c>
      <c r="S31" s="2">
        <v>43796.355428240742</v>
      </c>
      <c r="T31" t="s">
        <v>32</v>
      </c>
      <c r="U31" s="2">
        <v>43796.383414351854</v>
      </c>
      <c r="V31" t="s">
        <v>779</v>
      </c>
      <c r="W31" t="s">
        <v>780</v>
      </c>
    </row>
    <row r="32" spans="1:23" x14ac:dyDescent="0.45">
      <c r="A32" t="s">
        <v>772</v>
      </c>
      <c r="B32">
        <v>6</v>
      </c>
      <c r="C32" s="1">
        <v>43826</v>
      </c>
      <c r="D32" s="1">
        <v>43796</v>
      </c>
      <c r="E32" t="s">
        <v>428</v>
      </c>
      <c r="F32" t="s">
        <v>429</v>
      </c>
      <c r="G32" t="s">
        <v>429</v>
      </c>
      <c r="H32" t="s">
        <v>429</v>
      </c>
      <c r="I32" t="s">
        <v>430</v>
      </c>
      <c r="J32" t="s">
        <v>428</v>
      </c>
      <c r="K32" t="s">
        <v>429</v>
      </c>
      <c r="L32" t="str">
        <f>HYPERLINK("https://www.commcarehq.org/a/demo-18/api/form/attachment/8f31a591-2026-432a-b558-a44167a68951/1574844116794.jpg")</f>
        <v>https://www.commcarehq.org/a/demo-18/api/form/attachment/8f31a591-2026-432a-b558-a44167a68951/1574844116794.jpg</v>
      </c>
      <c r="M32" t="str">
        <f>HYPERLINK("https://www.commcarehq.org/a/demo-18/api/form/attachment/8f31a591-2026-432a-b558-a44167a68951/1574844133027.jpg")</f>
        <v>https://www.commcarehq.org/a/demo-18/api/form/attachment/8f31a591-2026-432a-b558-a44167a68951/1574844133027.jpg</v>
      </c>
      <c r="N32" t="str">
        <f>HYPERLINK("https://www.commcarehq.org/a/demo-18/api/form/attachment/8f31a591-2026-432a-b558-a44167a68951/1574844173609.jpg")</f>
        <v>https://www.commcarehq.org/a/demo-18/api/form/attachment/8f31a591-2026-432a-b558-a44167a68951/1574844173609.jpg</v>
      </c>
      <c r="O32" t="str">
        <f>HYPERLINK("https://www.commcarehq.org/a/demo-18/api/form/attachment/8f31a591-2026-432a-b558-a44167a68951/1574844182474.jpg")</f>
        <v>https://www.commcarehq.org/a/demo-18/api/form/attachment/8f31a591-2026-432a-b558-a44167a68951/1574844182474.jpg</v>
      </c>
      <c r="P32" t="str">
        <f>HYPERLINK("https://www.commcarehq.org/a/demo-18/api/form/attachment/8f31a591-2026-432a-b558-a44167a68951/1574844208306.jpg")</f>
        <v>https://www.commcarehq.org/a/demo-18/api/form/attachment/8f31a591-2026-432a-b558-a44167a68951/1574844208306.jpg</v>
      </c>
      <c r="Q32" t="str">
        <f>HYPERLINK("https://www.commcarehq.org/a/demo-18/api/form/attachment/8f31a591-2026-432a-b558-a44167a68951/1574844219852.jpg")</f>
        <v>https://www.commcarehq.org/a/demo-18/api/form/attachment/8f31a591-2026-432a-b558-a44167a68951/1574844219852.jpg</v>
      </c>
      <c r="R32" s="2">
        <v>43796.363668981481</v>
      </c>
      <c r="S32" s="2">
        <v>43796.361493055556</v>
      </c>
      <c r="T32" t="s">
        <v>32</v>
      </c>
      <c r="U32" s="2">
        <v>43796.383634259262</v>
      </c>
      <c r="V32" t="s">
        <v>773</v>
      </c>
      <c r="W32" t="s">
        <v>774</v>
      </c>
    </row>
    <row r="33" spans="1:23" x14ac:dyDescent="0.45">
      <c r="A33" t="s">
        <v>775</v>
      </c>
      <c r="B33">
        <v>6.9</v>
      </c>
      <c r="C33" s="1">
        <v>43826</v>
      </c>
      <c r="D33" s="1">
        <v>43796</v>
      </c>
      <c r="E33" t="s">
        <v>428</v>
      </c>
      <c r="F33" t="s">
        <v>429</v>
      </c>
      <c r="G33" t="s">
        <v>429</v>
      </c>
      <c r="H33" t="s">
        <v>429</v>
      </c>
      <c r="I33" t="s">
        <v>430</v>
      </c>
      <c r="J33" t="s">
        <v>428</v>
      </c>
      <c r="K33" t="s">
        <v>429</v>
      </c>
      <c r="L33" t="str">
        <f>HYPERLINK("https://www.commcarehq.org/a/demo-18/api/form/attachment/b4e9bd5a-4339-4019-ace1-71d86f9dbc52/1574844588883.jpg")</f>
        <v>https://www.commcarehq.org/a/demo-18/api/form/attachment/b4e9bd5a-4339-4019-ace1-71d86f9dbc52/1574844588883.jpg</v>
      </c>
      <c r="M33" t="str">
        <f>HYPERLINK("https://www.commcarehq.org/a/demo-18/api/form/attachment/b4e9bd5a-4339-4019-ace1-71d86f9dbc52/1574844606230.jpg")</f>
        <v>https://www.commcarehq.org/a/demo-18/api/form/attachment/b4e9bd5a-4339-4019-ace1-71d86f9dbc52/1574844606230.jpg</v>
      </c>
      <c r="N33" t="str">
        <f>HYPERLINK("https://www.commcarehq.org/a/demo-18/api/form/attachment/b4e9bd5a-4339-4019-ace1-71d86f9dbc52/1574844653311.jpg")</f>
        <v>https://www.commcarehq.org/a/demo-18/api/form/attachment/b4e9bd5a-4339-4019-ace1-71d86f9dbc52/1574844653311.jpg</v>
      </c>
      <c r="O33" t="str">
        <f>HYPERLINK("https://www.commcarehq.org/a/demo-18/api/form/attachment/b4e9bd5a-4339-4019-ace1-71d86f9dbc52/1574844662237.jpg")</f>
        <v>https://www.commcarehq.org/a/demo-18/api/form/attachment/b4e9bd5a-4339-4019-ace1-71d86f9dbc52/1574844662237.jpg</v>
      </c>
      <c r="P33" t="str">
        <f>HYPERLINK("https://www.commcarehq.org/a/demo-18/api/form/attachment/b4e9bd5a-4339-4019-ace1-71d86f9dbc52/1574844685876.jpg")</f>
        <v>https://www.commcarehq.org/a/demo-18/api/form/attachment/b4e9bd5a-4339-4019-ace1-71d86f9dbc52/1574844685876.jpg</v>
      </c>
      <c r="Q33" t="str">
        <f>HYPERLINK("https://www.commcarehq.org/a/demo-18/api/form/attachment/b4e9bd5a-4339-4019-ace1-71d86f9dbc52/1574844694746.jpg")</f>
        <v>https://www.commcarehq.org/a/demo-18/api/form/attachment/b4e9bd5a-4339-4019-ace1-71d86f9dbc52/1574844694746.jpg</v>
      </c>
      <c r="R33" s="2">
        <v>43796.369166666664</v>
      </c>
      <c r="S33" s="2">
        <v>43796.367337962962</v>
      </c>
      <c r="T33" t="s">
        <v>32</v>
      </c>
      <c r="U33" s="2">
        <v>43796.383831018517</v>
      </c>
      <c r="V33" t="s">
        <v>776</v>
      </c>
      <c r="W33" t="s">
        <v>777</v>
      </c>
    </row>
    <row r="34" spans="1:23" x14ac:dyDescent="0.45">
      <c r="A34" t="s">
        <v>728</v>
      </c>
      <c r="B34">
        <v>7.1</v>
      </c>
      <c r="C34" s="1">
        <v>43827</v>
      </c>
      <c r="D34" s="1">
        <v>43797</v>
      </c>
      <c r="E34" t="s">
        <v>428</v>
      </c>
      <c r="F34" t="s">
        <v>429</v>
      </c>
      <c r="G34" t="s">
        <v>429</v>
      </c>
      <c r="H34" t="s">
        <v>429</v>
      </c>
      <c r="I34" t="s">
        <v>430</v>
      </c>
      <c r="J34" t="s">
        <v>428</v>
      </c>
      <c r="K34" t="s">
        <v>429</v>
      </c>
      <c r="L34" t="str">
        <f>HYPERLINK("https://www.commcarehq.org/a/demo-18/api/form/attachment/482866d5-7074-4701-b3fe-d58b1225cbd4/1574929230542.jpg")</f>
        <v>https://www.commcarehq.org/a/demo-18/api/form/attachment/482866d5-7074-4701-b3fe-d58b1225cbd4/1574929230542.jpg</v>
      </c>
      <c r="M34" t="str">
        <f>HYPERLINK("https://www.commcarehq.org/a/demo-18/api/form/attachment/482866d5-7074-4701-b3fe-d58b1225cbd4/1574929249588.jpg")</f>
        <v>https://www.commcarehq.org/a/demo-18/api/form/attachment/482866d5-7074-4701-b3fe-d58b1225cbd4/1574929249588.jpg</v>
      </c>
      <c r="N34" t="str">
        <f>HYPERLINK("https://www.commcarehq.org/a/demo-18/api/form/attachment/482866d5-7074-4701-b3fe-d58b1225cbd4/1574929377724.jpg")</f>
        <v>https://www.commcarehq.org/a/demo-18/api/form/attachment/482866d5-7074-4701-b3fe-d58b1225cbd4/1574929377724.jpg</v>
      </c>
      <c r="O34" t="str">
        <f>HYPERLINK("https://www.commcarehq.org/a/demo-18/api/form/attachment/482866d5-7074-4701-b3fe-d58b1225cbd4/1574929386051.jpg")</f>
        <v>https://www.commcarehq.org/a/demo-18/api/form/attachment/482866d5-7074-4701-b3fe-d58b1225cbd4/1574929386051.jpg</v>
      </c>
      <c r="P34" t="str">
        <f>HYPERLINK("https://www.commcarehq.org/a/demo-18/api/form/attachment/482866d5-7074-4701-b3fe-d58b1225cbd4/1574929404484.jpg")</f>
        <v>https://www.commcarehq.org/a/demo-18/api/form/attachment/482866d5-7074-4701-b3fe-d58b1225cbd4/1574929404484.jpg</v>
      </c>
      <c r="Q34" t="str">
        <f>HYPERLINK("https://www.commcarehq.org/a/demo-18/api/form/attachment/482866d5-7074-4701-b3fe-d58b1225cbd4/1574929417418.jpg")</f>
        <v>https://www.commcarehq.org/a/demo-18/api/form/attachment/482866d5-7074-4701-b3fe-d58b1225cbd4/1574929417418.jpg</v>
      </c>
      <c r="R34" s="2">
        <v>43797.349756944444</v>
      </c>
      <c r="S34" s="2">
        <v>43797.347083333334</v>
      </c>
      <c r="T34" t="s">
        <v>32</v>
      </c>
      <c r="U34" s="2">
        <v>43797.349965277775</v>
      </c>
      <c r="V34" t="s">
        <v>729</v>
      </c>
      <c r="W34" t="s">
        <v>730</v>
      </c>
    </row>
    <row r="35" spans="1:23" x14ac:dyDescent="0.45">
      <c r="A35" t="s">
        <v>705</v>
      </c>
      <c r="B35">
        <v>6.4</v>
      </c>
      <c r="C35" s="1">
        <v>43805</v>
      </c>
      <c r="D35" s="1">
        <v>43775</v>
      </c>
      <c r="E35" t="s">
        <v>428</v>
      </c>
      <c r="F35" t="s">
        <v>429</v>
      </c>
      <c r="G35" t="s">
        <v>429</v>
      </c>
      <c r="H35" t="s">
        <v>429</v>
      </c>
      <c r="I35" t="s">
        <v>706</v>
      </c>
      <c r="J35" t="s">
        <v>428</v>
      </c>
      <c r="K35" t="s">
        <v>429</v>
      </c>
      <c r="L35" t="str">
        <f>HYPERLINK("https://www.commcarehq.org/a/demo-18/api/form/attachment/912a60f9-863a-47e5-aaf6-ae176845a4bd/1573031007260.jpg")</f>
        <v>https://www.commcarehq.org/a/demo-18/api/form/attachment/912a60f9-863a-47e5-aaf6-ae176845a4bd/1573031007260.jpg</v>
      </c>
      <c r="M35" t="str">
        <f>HYPERLINK("https://www.commcarehq.org/a/demo-18/api/form/attachment/912a60f9-863a-47e5-aaf6-ae176845a4bd/1573031033309.jpg")</f>
        <v>https://www.commcarehq.org/a/demo-18/api/form/attachment/912a60f9-863a-47e5-aaf6-ae176845a4bd/1573031033309.jpg</v>
      </c>
      <c r="N35" t="str">
        <f>HYPERLINK("https://www.commcarehq.org/a/demo-18/api/form/attachment/912a60f9-863a-47e5-aaf6-ae176845a4bd/1573031161405.jpg")</f>
        <v>https://www.commcarehq.org/a/demo-18/api/form/attachment/912a60f9-863a-47e5-aaf6-ae176845a4bd/1573031161405.jpg</v>
      </c>
      <c r="O35" t="str">
        <f>HYPERLINK("https://www.commcarehq.org/a/demo-18/api/form/attachment/912a60f9-863a-47e5-aaf6-ae176845a4bd/1573031172862.jpg")</f>
        <v>https://www.commcarehq.org/a/demo-18/api/form/attachment/912a60f9-863a-47e5-aaf6-ae176845a4bd/1573031172862.jpg</v>
      </c>
      <c r="P35" t="str">
        <f>HYPERLINK("https://www.commcarehq.org/a/demo-18/api/form/attachment/912a60f9-863a-47e5-aaf6-ae176845a4bd/1573031206803.jpg")</f>
        <v>https://www.commcarehq.org/a/demo-18/api/form/attachment/912a60f9-863a-47e5-aaf6-ae176845a4bd/1573031206803.jpg</v>
      </c>
      <c r="Q35" t="str">
        <f>HYPERLINK("https://www.commcarehq.org/a/demo-18/api/form/attachment/912a60f9-863a-47e5-aaf6-ae176845a4bd/1573031218735.jpg")</f>
        <v>https://www.commcarehq.org/a/demo-18/api/form/attachment/912a60f9-863a-47e5-aaf6-ae176845a4bd/1573031218735.jpg</v>
      </c>
      <c r="R35" s="2">
        <v>43775.379861111112</v>
      </c>
      <c r="S35" s="2">
        <v>43775.376331018517</v>
      </c>
      <c r="T35" t="s">
        <v>22</v>
      </c>
      <c r="U35" s="2">
        <v>43775.38417824074</v>
      </c>
      <c r="V35" t="s">
        <v>707</v>
      </c>
      <c r="W35" t="s">
        <v>708</v>
      </c>
    </row>
    <row r="36" spans="1:23" x14ac:dyDescent="0.45">
      <c r="A36" t="s">
        <v>731</v>
      </c>
      <c r="B36">
        <v>8.6</v>
      </c>
      <c r="C36" s="1">
        <v>43827</v>
      </c>
      <c r="D36" s="1">
        <v>43797</v>
      </c>
      <c r="E36" t="s">
        <v>428</v>
      </c>
      <c r="F36" t="s">
        <v>429</v>
      </c>
      <c r="G36" t="s">
        <v>429</v>
      </c>
      <c r="H36" t="s">
        <v>429</v>
      </c>
      <c r="I36" t="s">
        <v>544</v>
      </c>
      <c r="J36" t="s">
        <v>428</v>
      </c>
      <c r="K36" t="s">
        <v>429</v>
      </c>
      <c r="L36" t="str">
        <f>HYPERLINK("https://www.commcarehq.org/a/demo-18/api/form/attachment/c0cc9cf7-24b2-4b64-9cd4-6a640d3e9869/1574935183697.jpg")</f>
        <v>https://www.commcarehq.org/a/demo-18/api/form/attachment/c0cc9cf7-24b2-4b64-9cd4-6a640d3e9869/1574935183697.jpg</v>
      </c>
      <c r="M36" t="str">
        <f>HYPERLINK("https://www.commcarehq.org/a/demo-18/api/form/attachment/c0cc9cf7-24b2-4b64-9cd4-6a640d3e9869/1574935208802.jpg")</f>
        <v>https://www.commcarehq.org/a/demo-18/api/form/attachment/c0cc9cf7-24b2-4b64-9cd4-6a640d3e9869/1574935208802.jpg</v>
      </c>
      <c r="N36" t="str">
        <f>HYPERLINK("https://www.commcarehq.org/a/demo-18/api/form/attachment/c0cc9cf7-24b2-4b64-9cd4-6a640d3e9869/1574935254415.jpg")</f>
        <v>https://www.commcarehq.org/a/demo-18/api/form/attachment/c0cc9cf7-24b2-4b64-9cd4-6a640d3e9869/1574935254415.jpg</v>
      </c>
      <c r="O36" t="str">
        <f>HYPERLINK("https://www.commcarehq.org/a/demo-18/api/form/attachment/c0cc9cf7-24b2-4b64-9cd4-6a640d3e9869/1574935262735.jpg")</f>
        <v>https://www.commcarehq.org/a/demo-18/api/form/attachment/c0cc9cf7-24b2-4b64-9cd4-6a640d3e9869/1574935262735.jpg</v>
      </c>
      <c r="P36" t="str">
        <f>HYPERLINK("https://www.commcarehq.org/a/demo-18/api/form/attachment/c0cc9cf7-24b2-4b64-9cd4-6a640d3e9869/1574935287333.jpg")</f>
        <v>https://www.commcarehq.org/a/demo-18/api/form/attachment/c0cc9cf7-24b2-4b64-9cd4-6a640d3e9869/1574935287333.jpg</v>
      </c>
      <c r="Q36" t="str">
        <f>HYPERLINK("https://www.commcarehq.org/a/demo-18/api/form/attachment/c0cc9cf7-24b2-4b64-9cd4-6a640d3e9869/1574935296744.jpg")</f>
        <v>https://www.commcarehq.org/a/demo-18/api/form/attachment/c0cc9cf7-24b2-4b64-9cd4-6a640d3e9869/1574935296744.jpg</v>
      </c>
      <c r="R36" s="2">
        <v>43797.417800925927</v>
      </c>
      <c r="S36" s="2">
        <v>43797.415995370371</v>
      </c>
      <c r="T36" t="s">
        <v>32</v>
      </c>
      <c r="U36" s="2">
        <v>43797.417962962965</v>
      </c>
      <c r="V36" t="s">
        <v>732</v>
      </c>
      <c r="W36" t="s">
        <v>733</v>
      </c>
    </row>
    <row r="37" spans="1:23" x14ac:dyDescent="0.45">
      <c r="A37" t="s">
        <v>682</v>
      </c>
      <c r="B37">
        <v>7.4</v>
      </c>
      <c r="C37" s="1">
        <v>43828</v>
      </c>
      <c r="D37" s="1">
        <v>43798</v>
      </c>
      <c r="E37" t="s">
        <v>428</v>
      </c>
      <c r="F37" t="s">
        <v>429</v>
      </c>
      <c r="G37" t="s">
        <v>429</v>
      </c>
      <c r="H37" t="s">
        <v>429</v>
      </c>
      <c r="I37" t="s">
        <v>430</v>
      </c>
      <c r="J37" t="s">
        <v>428</v>
      </c>
      <c r="K37" t="s">
        <v>429</v>
      </c>
      <c r="L37" t="str">
        <f>HYPERLINK("https://www.commcarehq.org/a/demo-18/api/form/attachment/0bcb3341-693a-4751-9c95-4e486e7d903b/1575013948130.jpg")</f>
        <v>https://www.commcarehq.org/a/demo-18/api/form/attachment/0bcb3341-693a-4751-9c95-4e486e7d903b/1575013948130.jpg</v>
      </c>
      <c r="M37" t="str">
        <f>HYPERLINK("https://www.commcarehq.org/a/demo-18/api/form/attachment/0bcb3341-693a-4751-9c95-4e486e7d903b/1575013963433.jpg")</f>
        <v>https://www.commcarehq.org/a/demo-18/api/form/attachment/0bcb3341-693a-4751-9c95-4e486e7d903b/1575013963433.jpg</v>
      </c>
      <c r="N37" t="str">
        <f>HYPERLINK("https://www.commcarehq.org/a/demo-18/api/form/attachment/0bcb3341-693a-4751-9c95-4e486e7d903b/1575013998416.jpg")</f>
        <v>https://www.commcarehq.org/a/demo-18/api/form/attachment/0bcb3341-693a-4751-9c95-4e486e7d903b/1575013998416.jpg</v>
      </c>
      <c r="O37" t="str">
        <f>HYPERLINK("https://www.commcarehq.org/a/demo-18/api/form/attachment/0bcb3341-693a-4751-9c95-4e486e7d903b/1575014006400.jpg")</f>
        <v>https://www.commcarehq.org/a/demo-18/api/form/attachment/0bcb3341-693a-4751-9c95-4e486e7d903b/1575014006400.jpg</v>
      </c>
      <c r="P37" t="str">
        <f>HYPERLINK("https://www.commcarehq.org/a/demo-18/api/form/attachment/0bcb3341-693a-4751-9c95-4e486e7d903b/1575014026365.jpg")</f>
        <v>https://www.commcarehq.org/a/demo-18/api/form/attachment/0bcb3341-693a-4751-9c95-4e486e7d903b/1575014026365.jpg</v>
      </c>
      <c r="Q37" t="str">
        <f>HYPERLINK("https://www.commcarehq.org/a/demo-18/api/form/attachment/0bcb3341-693a-4751-9c95-4e486e7d903b/1575014035790.jpg")</f>
        <v>https://www.commcarehq.org/a/demo-18/api/form/attachment/0bcb3341-693a-4751-9c95-4e486e7d903b/1575014035790.jpg</v>
      </c>
      <c r="R37" s="2">
        <v>43798.329131944447</v>
      </c>
      <c r="S37" s="2">
        <v>43798.327476851853</v>
      </c>
      <c r="T37" t="s">
        <v>32</v>
      </c>
      <c r="U37" s="2">
        <v>43798.366956018515</v>
      </c>
      <c r="V37" t="s">
        <v>683</v>
      </c>
      <c r="W37" t="s">
        <v>684</v>
      </c>
    </row>
    <row r="38" spans="1:23" x14ac:dyDescent="0.45">
      <c r="A38" t="s">
        <v>712</v>
      </c>
      <c r="B38">
        <v>5.2</v>
      </c>
      <c r="C38" s="1">
        <v>43833</v>
      </c>
      <c r="D38" s="1">
        <v>43803</v>
      </c>
      <c r="E38" t="s">
        <v>428</v>
      </c>
      <c r="F38" t="s">
        <v>429</v>
      </c>
      <c r="G38" t="s">
        <v>429</v>
      </c>
      <c r="H38" t="s">
        <v>429</v>
      </c>
      <c r="I38" t="s">
        <v>484</v>
      </c>
      <c r="J38" t="s">
        <v>428</v>
      </c>
      <c r="K38" t="s">
        <v>429</v>
      </c>
      <c r="L38" t="str">
        <f>HYPERLINK("https://www.commcarehq.org/a/demo-18/api/form/attachment/01a1bcab-79d0-4076-8843-b56288a36627/1575445153779.jpg")</f>
        <v>https://www.commcarehq.org/a/demo-18/api/form/attachment/01a1bcab-79d0-4076-8843-b56288a36627/1575445153779.jpg</v>
      </c>
      <c r="M38" t="str">
        <f>HYPERLINK("https://www.commcarehq.org/a/demo-18/api/form/attachment/01a1bcab-79d0-4076-8843-b56288a36627/1575445174238.jpg")</f>
        <v>https://www.commcarehq.org/a/demo-18/api/form/attachment/01a1bcab-79d0-4076-8843-b56288a36627/1575445174238.jpg</v>
      </c>
      <c r="N38" t="str">
        <f>HYPERLINK("https://www.commcarehq.org/a/demo-18/api/form/attachment/01a1bcab-79d0-4076-8843-b56288a36627/1575445232965.jpg")</f>
        <v>https://www.commcarehq.org/a/demo-18/api/form/attachment/01a1bcab-79d0-4076-8843-b56288a36627/1575445232965.jpg</v>
      </c>
      <c r="O38" t="str">
        <f>HYPERLINK("https://www.commcarehq.org/a/demo-18/api/form/attachment/01a1bcab-79d0-4076-8843-b56288a36627/1575445241735.jpg")</f>
        <v>https://www.commcarehq.org/a/demo-18/api/form/attachment/01a1bcab-79d0-4076-8843-b56288a36627/1575445241735.jpg</v>
      </c>
      <c r="P38" t="str">
        <f>HYPERLINK("https://www.commcarehq.org/a/demo-18/api/form/attachment/01a1bcab-79d0-4076-8843-b56288a36627/1575445262263.jpg")</f>
        <v>https://www.commcarehq.org/a/demo-18/api/form/attachment/01a1bcab-79d0-4076-8843-b56288a36627/1575445262263.jpg</v>
      </c>
      <c r="Q38" t="str">
        <f>HYPERLINK("https://www.commcarehq.org/a/demo-18/api/form/attachment/01a1bcab-79d0-4076-8843-b56288a36627/1575445270403.jpg")</f>
        <v>https://www.commcarehq.org/a/demo-18/api/form/attachment/01a1bcab-79d0-4076-8843-b56288a36627/1575445270403.jpg</v>
      </c>
      <c r="R38" s="2">
        <v>43803.320277777777</v>
      </c>
      <c r="S38" s="2">
        <v>43803.318298611113</v>
      </c>
      <c r="T38" t="s">
        <v>32</v>
      </c>
      <c r="U38" s="2">
        <v>43803.320462962962</v>
      </c>
      <c r="V38" t="s">
        <v>713</v>
      </c>
      <c r="W38" t="s">
        <v>714</v>
      </c>
    </row>
    <row r="39" spans="1:23" x14ac:dyDescent="0.45">
      <c r="A39" t="s">
        <v>715</v>
      </c>
      <c r="B39">
        <v>7.2</v>
      </c>
      <c r="C39" s="1">
        <v>43833</v>
      </c>
      <c r="D39" s="1">
        <v>43803</v>
      </c>
      <c r="E39" t="s">
        <v>428</v>
      </c>
      <c r="F39" t="s">
        <v>429</v>
      </c>
      <c r="G39" t="s">
        <v>429</v>
      </c>
      <c r="H39" t="s">
        <v>429</v>
      </c>
      <c r="I39" t="s">
        <v>430</v>
      </c>
      <c r="J39" t="s">
        <v>428</v>
      </c>
      <c r="K39" t="s">
        <v>429</v>
      </c>
      <c r="L39" t="str">
        <f>HYPERLINK("https://www.commcarehq.org/a/demo-18/api/form/attachment/e331081b-00cc-4478-bc2f-59e3e20bd64f/1575446909080.jpg")</f>
        <v>https://www.commcarehq.org/a/demo-18/api/form/attachment/e331081b-00cc-4478-bc2f-59e3e20bd64f/1575446909080.jpg</v>
      </c>
      <c r="M39" t="str">
        <f>HYPERLINK("https://www.commcarehq.org/a/demo-18/api/form/attachment/e331081b-00cc-4478-bc2f-59e3e20bd64f/1575446930733.jpg")</f>
        <v>https://www.commcarehq.org/a/demo-18/api/form/attachment/e331081b-00cc-4478-bc2f-59e3e20bd64f/1575446930733.jpg</v>
      </c>
      <c r="N39" t="str">
        <f>HYPERLINK("https://www.commcarehq.org/a/demo-18/api/form/attachment/e331081b-00cc-4478-bc2f-59e3e20bd64f/1575446962881.jpg")</f>
        <v>https://www.commcarehq.org/a/demo-18/api/form/attachment/e331081b-00cc-4478-bc2f-59e3e20bd64f/1575446962881.jpg</v>
      </c>
      <c r="O39" t="str">
        <f>HYPERLINK("https://www.commcarehq.org/a/demo-18/api/form/attachment/e331081b-00cc-4478-bc2f-59e3e20bd64f/1575446987356.jpg")</f>
        <v>https://www.commcarehq.org/a/demo-18/api/form/attachment/e331081b-00cc-4478-bc2f-59e3e20bd64f/1575446987356.jpg</v>
      </c>
      <c r="P39" t="str">
        <f>HYPERLINK("https://www.commcarehq.org/a/demo-18/api/form/attachment/e331081b-00cc-4478-bc2f-59e3e20bd64f/1575447030560.jpg")</f>
        <v>https://www.commcarehq.org/a/demo-18/api/form/attachment/e331081b-00cc-4478-bc2f-59e3e20bd64f/1575447030560.jpg</v>
      </c>
      <c r="Q39" t="str">
        <f>HYPERLINK("https://www.commcarehq.org/a/demo-18/api/form/attachment/e331081b-00cc-4478-bc2f-59e3e20bd64f/1575447039585.jpg")</f>
        <v>https://www.commcarehq.org/a/demo-18/api/form/attachment/e331081b-00cc-4478-bc2f-59e3e20bd64f/1575447039585.jpg</v>
      </c>
      <c r="R39" s="2">
        <v>43803.340752314813</v>
      </c>
      <c r="S39" s="2">
        <v>43803.338599537034</v>
      </c>
      <c r="T39" t="s">
        <v>32</v>
      </c>
      <c r="U39" s="2">
        <v>43803.340983796297</v>
      </c>
      <c r="V39" t="s">
        <v>716</v>
      </c>
      <c r="W39" t="s">
        <v>717</v>
      </c>
    </row>
    <row r="40" spans="1:23" x14ac:dyDescent="0.45">
      <c r="A40" t="s">
        <v>750</v>
      </c>
      <c r="B40">
        <v>7.3</v>
      </c>
      <c r="C40" s="1">
        <v>43835</v>
      </c>
      <c r="D40" s="1">
        <v>43805</v>
      </c>
      <c r="E40" t="s">
        <v>428</v>
      </c>
      <c r="F40" t="s">
        <v>429</v>
      </c>
      <c r="G40" t="s">
        <v>429</v>
      </c>
      <c r="H40" t="s">
        <v>429</v>
      </c>
      <c r="I40" t="s">
        <v>430</v>
      </c>
      <c r="J40" t="s">
        <v>428</v>
      </c>
      <c r="K40" t="s">
        <v>429</v>
      </c>
      <c r="L40" t="str">
        <f>HYPERLINK("https://www.commcarehq.org/a/demo-18/api/form/attachment/a7084daf-4825-47d2-8b5a-97eec73a7f53/1575622161962.jpg")</f>
        <v>https://www.commcarehq.org/a/demo-18/api/form/attachment/a7084daf-4825-47d2-8b5a-97eec73a7f53/1575622161962.jpg</v>
      </c>
      <c r="M40" t="str">
        <f>HYPERLINK("https://www.commcarehq.org/a/demo-18/api/form/attachment/a7084daf-4825-47d2-8b5a-97eec73a7f53/1575622182049.jpg")</f>
        <v>https://www.commcarehq.org/a/demo-18/api/form/attachment/a7084daf-4825-47d2-8b5a-97eec73a7f53/1575622182049.jpg</v>
      </c>
      <c r="N40" t="str">
        <f>HYPERLINK("https://www.commcarehq.org/a/demo-18/api/form/attachment/a7084daf-4825-47d2-8b5a-97eec73a7f53/1575622242237.jpg")</f>
        <v>https://www.commcarehq.org/a/demo-18/api/form/attachment/a7084daf-4825-47d2-8b5a-97eec73a7f53/1575622242237.jpg</v>
      </c>
      <c r="O40" t="str">
        <f>HYPERLINK("https://www.commcarehq.org/a/demo-18/api/form/attachment/a7084daf-4825-47d2-8b5a-97eec73a7f53/1575622251499.jpg")</f>
        <v>https://www.commcarehq.org/a/demo-18/api/form/attachment/a7084daf-4825-47d2-8b5a-97eec73a7f53/1575622251499.jpg</v>
      </c>
      <c r="P40" t="str">
        <f>HYPERLINK("https://www.commcarehq.org/a/demo-18/api/form/attachment/a7084daf-4825-47d2-8b5a-97eec73a7f53/1575622277340.jpg")</f>
        <v>https://www.commcarehq.org/a/demo-18/api/form/attachment/a7084daf-4825-47d2-8b5a-97eec73a7f53/1575622277340.jpg</v>
      </c>
      <c r="Q40" t="str">
        <f>HYPERLINK("https://www.commcarehq.org/a/demo-18/api/form/attachment/a7084daf-4825-47d2-8b5a-97eec73a7f53/1575622287438.jpg")</f>
        <v>https://www.commcarehq.org/a/demo-18/api/form/attachment/a7084daf-4825-47d2-8b5a-97eec73a7f53/1575622287438.jpg</v>
      </c>
      <c r="R40" s="2">
        <v>43805.369085648148</v>
      </c>
      <c r="S40" s="2">
        <v>43805.367210648146</v>
      </c>
      <c r="T40" t="s">
        <v>32</v>
      </c>
      <c r="U40" s="2">
        <v>43805.36923611111</v>
      </c>
      <c r="V40" t="s">
        <v>751</v>
      </c>
      <c r="W40" t="s">
        <v>752</v>
      </c>
    </row>
    <row r="41" spans="1:23" x14ac:dyDescent="0.45">
      <c r="A41" t="s">
        <v>641</v>
      </c>
      <c r="B41">
        <v>4.8</v>
      </c>
      <c r="C41" s="1">
        <v>43835</v>
      </c>
      <c r="D41" s="1">
        <v>43805</v>
      </c>
      <c r="E41" t="s">
        <v>428</v>
      </c>
      <c r="F41" t="s">
        <v>429</v>
      </c>
      <c r="G41" t="s">
        <v>429</v>
      </c>
      <c r="H41" t="s">
        <v>429</v>
      </c>
      <c r="I41" t="s">
        <v>430</v>
      </c>
      <c r="J41" t="s">
        <v>428</v>
      </c>
      <c r="K41" t="s">
        <v>429</v>
      </c>
      <c r="L41" t="str">
        <f>HYPERLINK("https://www.commcarehq.org/a/demo-18/api/form/attachment/5a43ab14-fe9c-41db-8a17-5d0342aebb20/1575616414298.jpg")</f>
        <v>https://www.commcarehq.org/a/demo-18/api/form/attachment/5a43ab14-fe9c-41db-8a17-5d0342aebb20/1575616414298.jpg</v>
      </c>
      <c r="M41" t="str">
        <f>HYPERLINK("https://www.commcarehq.org/a/demo-18/api/form/attachment/5a43ab14-fe9c-41db-8a17-5d0342aebb20/1575616431773.jpg")</f>
        <v>https://www.commcarehq.org/a/demo-18/api/form/attachment/5a43ab14-fe9c-41db-8a17-5d0342aebb20/1575616431773.jpg</v>
      </c>
      <c r="N41" t="str">
        <f>HYPERLINK("https://www.commcarehq.org/a/demo-18/api/form/attachment/5a43ab14-fe9c-41db-8a17-5d0342aebb20/1575616476185.jpg")</f>
        <v>https://www.commcarehq.org/a/demo-18/api/form/attachment/5a43ab14-fe9c-41db-8a17-5d0342aebb20/1575616476185.jpg</v>
      </c>
      <c r="O41" t="str">
        <f>HYPERLINK("https://www.commcarehq.org/a/demo-18/api/form/attachment/5a43ab14-fe9c-41db-8a17-5d0342aebb20/1575616486198.jpg")</f>
        <v>https://www.commcarehq.org/a/demo-18/api/form/attachment/5a43ab14-fe9c-41db-8a17-5d0342aebb20/1575616486198.jpg</v>
      </c>
      <c r="P41" t="str">
        <f>HYPERLINK("https://www.commcarehq.org/a/demo-18/api/form/attachment/5a43ab14-fe9c-41db-8a17-5d0342aebb20/1575616508005.jpg")</f>
        <v>https://www.commcarehq.org/a/demo-18/api/form/attachment/5a43ab14-fe9c-41db-8a17-5d0342aebb20/1575616508005.jpg</v>
      </c>
      <c r="Q41" t="str">
        <f>HYPERLINK("https://www.commcarehq.org/a/demo-18/api/form/attachment/5a43ab14-fe9c-41db-8a17-5d0342aebb20/1575616516426.jpg")</f>
        <v>https://www.commcarehq.org/a/demo-18/api/form/attachment/5a43ab14-fe9c-41db-8a17-5d0342aebb20/1575616516426.jpg</v>
      </c>
      <c r="R41" s="2">
        <v>43805.302384259259</v>
      </c>
      <c r="S41" s="2">
        <v>43805.300578703704</v>
      </c>
      <c r="T41" t="s">
        <v>32</v>
      </c>
      <c r="U41" s="2">
        <v>43805.302627314813</v>
      </c>
      <c r="V41" t="s">
        <v>783</v>
      </c>
      <c r="W41" t="s">
        <v>784</v>
      </c>
    </row>
    <row r="42" spans="1:23" x14ac:dyDescent="0.45">
      <c r="A42" t="s">
        <v>691</v>
      </c>
      <c r="B42">
        <v>6.2</v>
      </c>
      <c r="C42" s="1">
        <v>43840</v>
      </c>
      <c r="D42" s="1">
        <v>43810</v>
      </c>
      <c r="E42" t="s">
        <v>428</v>
      </c>
      <c r="F42" t="s">
        <v>429</v>
      </c>
      <c r="G42" t="s">
        <v>429</v>
      </c>
      <c r="H42" t="s">
        <v>429</v>
      </c>
      <c r="I42" t="s">
        <v>430</v>
      </c>
      <c r="J42" t="s">
        <v>428</v>
      </c>
      <c r="K42" t="s">
        <v>429</v>
      </c>
      <c r="L42" t="str">
        <f>HYPERLINK("https://www.commcarehq.org/a/demo-18/api/form/attachment/687e0e66-00d3-484e-9425-b379991ed4a7/1576057669823.jpg")</f>
        <v>https://www.commcarehq.org/a/demo-18/api/form/attachment/687e0e66-00d3-484e-9425-b379991ed4a7/1576057669823.jpg</v>
      </c>
      <c r="M42" t="str">
        <f>HYPERLINK("https://www.commcarehq.org/a/demo-18/api/form/attachment/687e0e66-00d3-484e-9425-b379991ed4a7/1576057703056.jpg")</f>
        <v>https://www.commcarehq.org/a/demo-18/api/form/attachment/687e0e66-00d3-484e-9425-b379991ed4a7/1576057703056.jpg</v>
      </c>
      <c r="N42" t="str">
        <f>HYPERLINK("https://www.commcarehq.org/a/demo-18/api/form/attachment/687e0e66-00d3-484e-9425-b379991ed4a7/1576058110362.jpg")</f>
        <v>https://www.commcarehq.org/a/demo-18/api/form/attachment/687e0e66-00d3-484e-9425-b379991ed4a7/1576058110362.jpg</v>
      </c>
      <c r="O42" t="str">
        <f>HYPERLINK("https://www.commcarehq.org/a/demo-18/api/form/attachment/687e0e66-00d3-484e-9425-b379991ed4a7/1576058120119.jpg")</f>
        <v>https://www.commcarehq.org/a/demo-18/api/form/attachment/687e0e66-00d3-484e-9425-b379991ed4a7/1576058120119.jpg</v>
      </c>
      <c r="P42" t="str">
        <f>HYPERLINK("https://www.commcarehq.org/a/demo-18/api/form/attachment/687e0e66-00d3-484e-9425-b379991ed4a7/1576058150033.jpg")</f>
        <v>https://www.commcarehq.org/a/demo-18/api/form/attachment/687e0e66-00d3-484e-9425-b379991ed4a7/1576058150033.jpg</v>
      </c>
      <c r="Q42" t="str">
        <f>HYPERLINK("https://www.commcarehq.org/a/demo-18/api/form/attachment/687e0e66-00d3-484e-9425-b379991ed4a7/1576058172745.jpg")</f>
        <v>https://www.commcarehq.org/a/demo-18/api/form/attachment/687e0e66-00d3-484e-9425-b379991ed4a7/1576058172745.jpg</v>
      </c>
      <c r="R42" s="2">
        <v>43810.414050925923</v>
      </c>
      <c r="S42" s="2">
        <v>43810.407696759263</v>
      </c>
      <c r="T42" t="s">
        <v>32</v>
      </c>
      <c r="U42" s="2">
        <v>43810.442928240744</v>
      </c>
      <c r="V42" t="s">
        <v>692</v>
      </c>
      <c r="W42" t="s">
        <v>693</v>
      </c>
    </row>
    <row r="43" spans="1:23" x14ac:dyDescent="0.45">
      <c r="A43" t="s">
        <v>721</v>
      </c>
      <c r="B43">
        <v>5.7</v>
      </c>
      <c r="C43" s="1">
        <v>43840</v>
      </c>
      <c r="D43" s="1">
        <v>43810</v>
      </c>
      <c r="E43" t="s">
        <v>428</v>
      </c>
      <c r="F43" t="s">
        <v>429</v>
      </c>
      <c r="G43" t="s">
        <v>429</v>
      </c>
      <c r="H43" t="s">
        <v>429</v>
      </c>
      <c r="I43" t="s">
        <v>484</v>
      </c>
      <c r="J43" t="s">
        <v>428</v>
      </c>
      <c r="K43" t="s">
        <v>429</v>
      </c>
      <c r="L43" t="str">
        <f>HYPERLINK("https://www.commcarehq.org/a/demo-18/api/form/attachment/1ec4260d-17a0-4084-80eb-800f912dc0ca/1576058894449.jpg")</f>
        <v>https://www.commcarehq.org/a/demo-18/api/form/attachment/1ec4260d-17a0-4084-80eb-800f912dc0ca/1576058894449.jpg</v>
      </c>
      <c r="M43" t="str">
        <f>HYPERLINK("https://www.commcarehq.org/a/demo-18/api/form/attachment/1ec4260d-17a0-4084-80eb-800f912dc0ca/1576058910692.jpg")</f>
        <v>https://www.commcarehq.org/a/demo-18/api/form/attachment/1ec4260d-17a0-4084-80eb-800f912dc0ca/1576058910692.jpg</v>
      </c>
      <c r="N43" t="str">
        <f>HYPERLINK("https://www.commcarehq.org/a/demo-18/api/form/attachment/1ec4260d-17a0-4084-80eb-800f912dc0ca/1576058937710.jpg")</f>
        <v>https://www.commcarehq.org/a/demo-18/api/form/attachment/1ec4260d-17a0-4084-80eb-800f912dc0ca/1576058937710.jpg</v>
      </c>
      <c r="O43" t="str">
        <f>HYPERLINK("https://www.commcarehq.org/a/demo-18/api/form/attachment/1ec4260d-17a0-4084-80eb-800f912dc0ca/1576058947146.jpg")</f>
        <v>https://www.commcarehq.org/a/demo-18/api/form/attachment/1ec4260d-17a0-4084-80eb-800f912dc0ca/1576058947146.jpg</v>
      </c>
      <c r="P43" t="str">
        <f>HYPERLINK("https://www.commcarehq.org/a/demo-18/api/form/attachment/1ec4260d-17a0-4084-80eb-800f912dc0ca/1576058968731.jpg")</f>
        <v>https://www.commcarehq.org/a/demo-18/api/form/attachment/1ec4260d-17a0-4084-80eb-800f912dc0ca/1576058968731.jpg</v>
      </c>
      <c r="Q43" t="str">
        <f>HYPERLINK("https://www.commcarehq.org/a/demo-18/api/form/attachment/1ec4260d-17a0-4084-80eb-800f912dc0ca/1576058978071.jpg")</f>
        <v>https://www.commcarehq.org/a/demo-18/api/form/attachment/1ec4260d-17a0-4084-80eb-800f912dc0ca/1576058978071.jpg</v>
      </c>
      <c r="R43" s="2">
        <v>43810.423379629632</v>
      </c>
      <c r="S43" s="2">
        <v>43810.421817129631</v>
      </c>
      <c r="T43" t="s">
        <v>32</v>
      </c>
      <c r="U43" s="2">
        <v>43810.443472222221</v>
      </c>
      <c r="V43" t="s">
        <v>722</v>
      </c>
      <c r="W43" t="s">
        <v>723</v>
      </c>
    </row>
    <row r="44" spans="1:23" x14ac:dyDescent="0.45">
      <c r="A44" t="s">
        <v>757</v>
      </c>
      <c r="B44">
        <v>6.7</v>
      </c>
      <c r="C44" s="1">
        <v>43806</v>
      </c>
      <c r="D44" s="1">
        <v>43776</v>
      </c>
      <c r="E44" t="s">
        <v>428</v>
      </c>
      <c r="F44" t="s">
        <v>429</v>
      </c>
      <c r="G44" t="s">
        <v>429</v>
      </c>
      <c r="H44" t="s">
        <v>429</v>
      </c>
      <c r="I44" t="s">
        <v>498</v>
      </c>
      <c r="J44" t="s">
        <v>428</v>
      </c>
      <c r="K44" t="s">
        <v>429</v>
      </c>
      <c r="L44" t="str">
        <f>HYPERLINK("https://www.commcarehq.org/a/demo-18/api/form/attachment/33deb13c-0fe6-4e85-a9a1-a72f1ddf7888/1573116525919.jpg")</f>
        <v>https://www.commcarehq.org/a/demo-18/api/form/attachment/33deb13c-0fe6-4e85-a9a1-a72f1ddf7888/1573116525919.jpg</v>
      </c>
      <c r="N44" t="str">
        <f>HYPERLINK("https://www.commcarehq.org/a/demo-18/api/form/attachment/33deb13c-0fe6-4e85-a9a1-a72f1ddf7888/1573116541804.jpg")</f>
        <v>https://www.commcarehq.org/a/demo-18/api/form/attachment/33deb13c-0fe6-4e85-a9a1-a72f1ddf7888/1573116541804.jpg</v>
      </c>
      <c r="O44" t="str">
        <f>HYPERLINK("https://www.commcarehq.org/a/demo-18/api/form/attachment/33deb13c-0fe6-4e85-a9a1-a72f1ddf7888/1573116580430.jpg")</f>
        <v>https://www.commcarehq.org/a/demo-18/api/form/attachment/33deb13c-0fe6-4e85-a9a1-a72f1ddf7888/1573116580430.jpg</v>
      </c>
      <c r="P44" t="str">
        <f>HYPERLINK("https://www.commcarehq.org/a/demo-18/api/form/attachment/33deb13c-0fe6-4e85-a9a1-a72f1ddf7888/1573116620970.jpg")</f>
        <v>https://www.commcarehq.org/a/demo-18/api/form/attachment/33deb13c-0fe6-4e85-a9a1-a72f1ddf7888/1573116620970.jpg</v>
      </c>
      <c r="Q44" t="str">
        <f>HYPERLINK("https://www.commcarehq.org/a/demo-18/api/form/attachment/33deb13c-0fe6-4e85-a9a1-a72f1ddf7888/1573116633639.jpg")</f>
        <v>https://www.commcarehq.org/a/demo-18/api/form/attachment/33deb13c-0fe6-4e85-a9a1-a72f1ddf7888/1573116633639.jpg</v>
      </c>
      <c r="R44" s="2">
        <v>43776.368483796294</v>
      </c>
      <c r="S44" s="2">
        <v>43776.366655092592</v>
      </c>
      <c r="T44" t="s">
        <v>32</v>
      </c>
      <c r="U44" s="2">
        <v>43776.424467592595</v>
      </c>
      <c r="V44" t="s">
        <v>758</v>
      </c>
      <c r="W44" t="s">
        <v>759</v>
      </c>
    </row>
    <row r="45" spans="1:23" x14ac:dyDescent="0.45">
      <c r="A45" t="s">
        <v>481</v>
      </c>
      <c r="B45">
        <v>5.7</v>
      </c>
      <c r="C45" s="1">
        <v>43918</v>
      </c>
      <c r="D45" s="1">
        <v>43888</v>
      </c>
      <c r="E45" t="s">
        <v>428</v>
      </c>
      <c r="F45" t="s">
        <v>429</v>
      </c>
      <c r="G45" t="s">
        <v>429</v>
      </c>
      <c r="H45" t="s">
        <v>429</v>
      </c>
      <c r="I45" t="s">
        <v>579</v>
      </c>
      <c r="J45" t="s">
        <v>428</v>
      </c>
      <c r="K45" t="s">
        <v>429</v>
      </c>
      <c r="L45" t="str">
        <f>HYPERLINK("https://www.commcarehq.org/a/demo-18/api/form/attachment/aa3e702f-31c5-4e0b-ae9e-33bf069f1f6b/1582787293990.jpg")</f>
        <v>https://www.commcarehq.org/a/demo-18/api/form/attachment/aa3e702f-31c5-4e0b-ae9e-33bf069f1f6b/1582787293990.jpg</v>
      </c>
      <c r="M45" t="str">
        <f>HYPERLINK("https://www.commcarehq.org/a/demo-18/api/form/attachment/aa3e702f-31c5-4e0b-ae9e-33bf069f1f6b/1582787311227.jpg")</f>
        <v>https://www.commcarehq.org/a/demo-18/api/form/attachment/aa3e702f-31c5-4e0b-ae9e-33bf069f1f6b/1582787311227.jpg</v>
      </c>
      <c r="N45" t="str">
        <f>HYPERLINK("https://www.commcarehq.org/a/demo-18/api/form/attachment/aa3e702f-31c5-4e0b-ae9e-33bf069f1f6b/1582787343717.jpg")</f>
        <v>https://www.commcarehq.org/a/demo-18/api/form/attachment/aa3e702f-31c5-4e0b-ae9e-33bf069f1f6b/1582787343717.jpg</v>
      </c>
      <c r="O45" t="str">
        <f>HYPERLINK("https://www.commcarehq.org/a/demo-18/api/form/attachment/aa3e702f-31c5-4e0b-ae9e-33bf069f1f6b/1582787353371.jpg")</f>
        <v>https://www.commcarehq.org/a/demo-18/api/form/attachment/aa3e702f-31c5-4e0b-ae9e-33bf069f1f6b/1582787353371.jpg</v>
      </c>
      <c r="P45" t="str">
        <f>HYPERLINK("https://www.commcarehq.org/a/demo-18/api/form/attachment/aa3e702f-31c5-4e0b-ae9e-33bf069f1f6b/1582787367401.jpg")</f>
        <v>https://www.commcarehq.org/a/demo-18/api/form/attachment/aa3e702f-31c5-4e0b-ae9e-33bf069f1f6b/1582787367401.jpg</v>
      </c>
      <c r="Q45" t="str">
        <f>HYPERLINK("https://www.commcarehq.org/a/demo-18/api/form/attachment/aa3e702f-31c5-4e0b-ae9e-33bf069f1f6b/1582787376276.jpg")</f>
        <v>https://www.commcarehq.org/a/demo-18/api/form/attachment/aa3e702f-31c5-4e0b-ae9e-33bf069f1f6b/1582787376276.jpg</v>
      </c>
      <c r="R45" s="2">
        <v>43888.298356481479</v>
      </c>
      <c r="S45" s="2">
        <v>43888.296875</v>
      </c>
      <c r="T45" t="s">
        <v>32</v>
      </c>
      <c r="U45" s="2">
        <v>43888.298611111109</v>
      </c>
      <c r="V45" t="s">
        <v>1546</v>
      </c>
      <c r="W45" t="s">
        <v>1547</v>
      </c>
    </row>
    <row r="46" spans="1:23" x14ac:dyDescent="0.45">
      <c r="A46" t="s">
        <v>322</v>
      </c>
      <c r="B46">
        <v>8.6</v>
      </c>
      <c r="C46" s="1">
        <v>43936</v>
      </c>
      <c r="D46" s="1">
        <v>43906</v>
      </c>
      <c r="E46" t="s">
        <v>428</v>
      </c>
      <c r="F46" t="s">
        <v>429</v>
      </c>
      <c r="G46" t="s">
        <v>429</v>
      </c>
      <c r="H46" t="s">
        <v>429</v>
      </c>
      <c r="I46" t="s">
        <v>1321</v>
      </c>
      <c r="J46" t="s">
        <v>428</v>
      </c>
      <c r="K46" t="s">
        <v>429</v>
      </c>
      <c r="L46" t="str">
        <f>HYPERLINK("https://www.commcarehq.org/a/demo-18/api/form/attachment/c5f783fb-a393-4a90-bb43-9e17245f3525/1584341754458.jpg")</f>
        <v>https://www.commcarehq.org/a/demo-18/api/form/attachment/c5f783fb-a393-4a90-bb43-9e17245f3525/1584341754458.jpg</v>
      </c>
      <c r="M46" t="str">
        <f>HYPERLINK("https://www.commcarehq.org/a/demo-18/api/form/attachment/c5f783fb-a393-4a90-bb43-9e17245f3525/1584341770796.jpg")</f>
        <v>https://www.commcarehq.org/a/demo-18/api/form/attachment/c5f783fb-a393-4a90-bb43-9e17245f3525/1584341770796.jpg</v>
      </c>
      <c r="N46" t="str">
        <f>HYPERLINK("https://www.commcarehq.org/a/demo-18/api/form/attachment/c5f783fb-a393-4a90-bb43-9e17245f3525/1584341821998.jpg")</f>
        <v>https://www.commcarehq.org/a/demo-18/api/form/attachment/c5f783fb-a393-4a90-bb43-9e17245f3525/1584341821998.jpg</v>
      </c>
      <c r="O46" t="str">
        <f>HYPERLINK("https://www.commcarehq.org/a/demo-18/api/form/attachment/c5f783fb-a393-4a90-bb43-9e17245f3525/1584341831329.jpg")</f>
        <v>https://www.commcarehq.org/a/demo-18/api/form/attachment/c5f783fb-a393-4a90-bb43-9e17245f3525/1584341831329.jpg</v>
      </c>
      <c r="P46" t="str">
        <f>HYPERLINK("https://www.commcarehq.org/a/demo-18/api/form/attachment/c5f783fb-a393-4a90-bb43-9e17245f3525/1584341851471.jpg")</f>
        <v>https://www.commcarehq.org/a/demo-18/api/form/attachment/c5f783fb-a393-4a90-bb43-9e17245f3525/1584341851471.jpg</v>
      </c>
      <c r="Q46" t="str">
        <f>HYPERLINK("https://www.commcarehq.org/a/demo-18/api/form/attachment/c5f783fb-a393-4a90-bb43-9e17245f3525/1584341859222.jpg")</f>
        <v>https://www.commcarehq.org/a/demo-18/api/form/attachment/c5f783fb-a393-4a90-bb43-9e17245f3525/1584341859222.jpg</v>
      </c>
      <c r="R46" s="2">
        <v>43906.290046296293</v>
      </c>
      <c r="S46" s="2">
        <v>43906.288425925923</v>
      </c>
      <c r="T46" t="s">
        <v>32</v>
      </c>
      <c r="U46" s="2">
        <v>43906.290254629632</v>
      </c>
      <c r="V46" t="s">
        <v>1705</v>
      </c>
      <c r="W46" t="s">
        <v>1706</v>
      </c>
    </row>
    <row r="47" spans="1:23" x14ac:dyDescent="0.45">
      <c r="A47" t="s">
        <v>74</v>
      </c>
      <c r="B47">
        <v>6</v>
      </c>
      <c r="C47" s="1">
        <v>43936</v>
      </c>
      <c r="D47" s="1">
        <v>43906</v>
      </c>
      <c r="E47" t="s">
        <v>428</v>
      </c>
      <c r="F47" t="s">
        <v>429</v>
      </c>
      <c r="G47" t="s">
        <v>429</v>
      </c>
      <c r="H47" t="s">
        <v>429</v>
      </c>
      <c r="I47" t="s">
        <v>498</v>
      </c>
      <c r="J47" t="s">
        <v>428</v>
      </c>
      <c r="K47" t="s">
        <v>429</v>
      </c>
      <c r="L47" t="str">
        <f>HYPERLINK("https://www.commcarehq.org/a/demo-18/api/form/attachment/671ceac0-ca1d-4f12-af22-75b3c5977734/1584343534492.jpg")</f>
        <v>https://www.commcarehq.org/a/demo-18/api/form/attachment/671ceac0-ca1d-4f12-af22-75b3c5977734/1584343534492.jpg</v>
      </c>
      <c r="M47" t="str">
        <f>HYPERLINK("https://www.commcarehq.org/a/demo-18/api/form/attachment/671ceac0-ca1d-4f12-af22-75b3c5977734/1584343548853.jpg")</f>
        <v>https://www.commcarehq.org/a/demo-18/api/form/attachment/671ceac0-ca1d-4f12-af22-75b3c5977734/1584343548853.jpg</v>
      </c>
      <c r="N47" t="str">
        <f>HYPERLINK("https://www.commcarehq.org/a/demo-18/api/form/attachment/671ceac0-ca1d-4f12-af22-75b3c5977734/1584343699482.jpg")</f>
        <v>https://www.commcarehq.org/a/demo-18/api/form/attachment/671ceac0-ca1d-4f12-af22-75b3c5977734/1584343699482.jpg</v>
      </c>
      <c r="O47" t="str">
        <f>HYPERLINK("https://www.commcarehq.org/a/demo-18/api/form/attachment/671ceac0-ca1d-4f12-af22-75b3c5977734/1584343707778.jpg")</f>
        <v>https://www.commcarehq.org/a/demo-18/api/form/attachment/671ceac0-ca1d-4f12-af22-75b3c5977734/1584343707778.jpg</v>
      </c>
      <c r="P47" t="str">
        <f>HYPERLINK("https://www.commcarehq.org/a/demo-18/api/form/attachment/671ceac0-ca1d-4f12-af22-75b3c5977734/1584343732000.jpg")</f>
        <v>https://www.commcarehq.org/a/demo-18/api/form/attachment/671ceac0-ca1d-4f12-af22-75b3c5977734/1584343732000.jpg</v>
      </c>
      <c r="Q47" t="str">
        <f>HYPERLINK("https://www.commcarehq.org/a/demo-18/api/form/attachment/671ceac0-ca1d-4f12-af22-75b3c5977734/1584343740604.jpg")</f>
        <v>https://www.commcarehq.org/a/demo-18/api/form/attachment/671ceac0-ca1d-4f12-af22-75b3c5977734/1584343740604.jpg</v>
      </c>
      <c r="R47" s="2">
        <v>43906.311851851853</v>
      </c>
      <c r="S47" s="2">
        <v>43906.308819444443</v>
      </c>
      <c r="T47" t="s">
        <v>32</v>
      </c>
      <c r="U47" s="2">
        <v>43906.318344907406</v>
      </c>
      <c r="V47" t="s">
        <v>1703</v>
      </c>
      <c r="W47" t="s">
        <v>1704</v>
      </c>
    </row>
    <row r="48" spans="1:23" x14ac:dyDescent="0.45">
      <c r="A48" t="s">
        <v>229</v>
      </c>
      <c r="B48">
        <v>5.9</v>
      </c>
      <c r="C48" s="1">
        <v>43947</v>
      </c>
      <c r="D48" s="1">
        <v>43917</v>
      </c>
      <c r="E48" t="s">
        <v>428</v>
      </c>
      <c r="F48" t="s">
        <v>429</v>
      </c>
      <c r="G48" t="s">
        <v>429</v>
      </c>
      <c r="H48" t="s">
        <v>429</v>
      </c>
      <c r="I48" t="s">
        <v>579</v>
      </c>
      <c r="J48" t="s">
        <v>428</v>
      </c>
      <c r="K48" t="s">
        <v>429</v>
      </c>
      <c r="L48" t="str">
        <f>HYPERLINK("https://www.commcarehq.org/a/demo-18/api/form/attachment/f6e2c1c7-755a-4539-b655-22dbd825b46e/1585295162945.jpg")</f>
        <v>https://www.commcarehq.org/a/demo-18/api/form/attachment/f6e2c1c7-755a-4539-b655-22dbd825b46e/1585295162945.jpg</v>
      </c>
      <c r="M48" t="str">
        <f>HYPERLINK("https://www.commcarehq.org/a/demo-18/api/form/attachment/f6e2c1c7-755a-4539-b655-22dbd825b46e/1585295174777.jpg")</f>
        <v>https://www.commcarehq.org/a/demo-18/api/form/attachment/f6e2c1c7-755a-4539-b655-22dbd825b46e/1585295174777.jpg</v>
      </c>
      <c r="N48" t="str">
        <f>HYPERLINK("https://www.commcarehq.org/a/demo-18/api/form/attachment/f6e2c1c7-755a-4539-b655-22dbd825b46e/1585295235047.jpg")</f>
        <v>https://www.commcarehq.org/a/demo-18/api/form/attachment/f6e2c1c7-755a-4539-b655-22dbd825b46e/1585295235047.jpg</v>
      </c>
      <c r="O48" t="str">
        <f>HYPERLINK("https://www.commcarehq.org/a/demo-18/api/form/attachment/f6e2c1c7-755a-4539-b655-22dbd825b46e/1585295244749.jpg")</f>
        <v>https://www.commcarehq.org/a/demo-18/api/form/attachment/f6e2c1c7-755a-4539-b655-22dbd825b46e/1585295244749.jpg</v>
      </c>
      <c r="P48" t="str">
        <f>HYPERLINK("https://www.commcarehq.org/a/demo-18/api/form/attachment/f6e2c1c7-755a-4539-b655-22dbd825b46e/1585295282991.jpg")</f>
        <v>https://www.commcarehq.org/a/demo-18/api/form/attachment/f6e2c1c7-755a-4539-b655-22dbd825b46e/1585295282991.jpg</v>
      </c>
      <c r="Q48" t="str">
        <f>HYPERLINK("https://www.commcarehq.org/a/demo-18/api/form/attachment/f6e2c1c7-755a-4539-b655-22dbd825b46e/1585295291122.jpg")</f>
        <v>https://www.commcarehq.org/a/demo-18/api/form/attachment/f6e2c1c7-755a-4539-b655-22dbd825b46e/1585295291122.jpg</v>
      </c>
      <c r="R48" s="2">
        <v>43917.325138888889</v>
      </c>
      <c r="S48" s="2">
        <v>43917.323148148149</v>
      </c>
      <c r="T48" t="s">
        <v>32</v>
      </c>
      <c r="U48" s="2">
        <v>43917.32540509259</v>
      </c>
      <c r="V48" t="s">
        <v>1746</v>
      </c>
      <c r="W48" t="s">
        <v>1747</v>
      </c>
    </row>
    <row r="49" spans="1:23" x14ac:dyDescent="0.45">
      <c r="A49" t="s">
        <v>241</v>
      </c>
      <c r="B49">
        <v>8.1</v>
      </c>
      <c r="C49" s="1">
        <v>43938</v>
      </c>
      <c r="D49" s="1">
        <v>43908</v>
      </c>
      <c r="E49" t="s">
        <v>428</v>
      </c>
      <c r="F49" t="s">
        <v>429</v>
      </c>
      <c r="G49" t="s">
        <v>429</v>
      </c>
      <c r="H49" t="s">
        <v>429</v>
      </c>
      <c r="I49" t="s">
        <v>579</v>
      </c>
      <c r="J49" t="s">
        <v>428</v>
      </c>
      <c r="K49" t="s">
        <v>429</v>
      </c>
      <c r="L49" t="str">
        <f>HYPERLINK("https://www.commcarehq.org/a/demo-18/api/form/attachment/35bb03cc-ddba-478b-a93d-e7293c3e09ca/1584513366458.jpg")</f>
        <v>https://www.commcarehq.org/a/demo-18/api/form/attachment/35bb03cc-ddba-478b-a93d-e7293c3e09ca/1584513366458.jpg</v>
      </c>
      <c r="M49" t="str">
        <f>HYPERLINK("https://www.commcarehq.org/a/demo-18/api/form/attachment/35bb03cc-ddba-478b-a93d-e7293c3e09ca/1584513379854.jpg")</f>
        <v>https://www.commcarehq.org/a/demo-18/api/form/attachment/35bb03cc-ddba-478b-a93d-e7293c3e09ca/1584513379854.jpg</v>
      </c>
      <c r="N49" t="str">
        <f>HYPERLINK("https://www.commcarehq.org/a/demo-18/api/form/attachment/35bb03cc-ddba-478b-a93d-e7293c3e09ca/1584513444027.jpg")</f>
        <v>https://www.commcarehq.org/a/demo-18/api/form/attachment/35bb03cc-ddba-478b-a93d-e7293c3e09ca/1584513444027.jpg</v>
      </c>
      <c r="O49" t="str">
        <f>HYPERLINK("https://www.commcarehq.org/a/demo-18/api/form/attachment/35bb03cc-ddba-478b-a93d-e7293c3e09ca/1584513454435.jpg")</f>
        <v>https://www.commcarehq.org/a/demo-18/api/form/attachment/35bb03cc-ddba-478b-a93d-e7293c3e09ca/1584513454435.jpg</v>
      </c>
      <c r="P49" t="str">
        <f>HYPERLINK("https://www.commcarehq.org/a/demo-18/api/form/attachment/35bb03cc-ddba-478b-a93d-e7293c3e09ca/1584513469546.jpg")</f>
        <v>https://www.commcarehq.org/a/demo-18/api/form/attachment/35bb03cc-ddba-478b-a93d-e7293c3e09ca/1584513469546.jpg</v>
      </c>
      <c r="Q49" t="str">
        <f>HYPERLINK("https://www.commcarehq.org/a/demo-18/api/form/attachment/35bb03cc-ddba-478b-a93d-e7293c3e09ca/1584513478260.jpg")</f>
        <v>https://www.commcarehq.org/a/demo-18/api/form/attachment/35bb03cc-ddba-478b-a93d-e7293c3e09ca/1584513478260.jpg</v>
      </c>
      <c r="R49" s="2">
        <v>43908.276377314818</v>
      </c>
      <c r="S49" s="2">
        <v>43908.274652777778</v>
      </c>
      <c r="T49" t="s">
        <v>32</v>
      </c>
      <c r="U49" s="2">
        <v>43908.318402777775</v>
      </c>
      <c r="V49" t="s">
        <v>1712</v>
      </c>
      <c r="W49" t="s">
        <v>1713</v>
      </c>
    </row>
    <row r="50" spans="1:23" x14ac:dyDescent="0.45">
      <c r="A50" t="s">
        <v>409</v>
      </c>
      <c r="B50">
        <v>5.7</v>
      </c>
      <c r="C50" s="1">
        <v>43943</v>
      </c>
      <c r="D50" s="1">
        <v>43913</v>
      </c>
      <c r="E50" t="s">
        <v>428</v>
      </c>
      <c r="F50" t="s">
        <v>429</v>
      </c>
      <c r="G50" t="s">
        <v>429</v>
      </c>
      <c r="H50" t="s">
        <v>429</v>
      </c>
      <c r="I50" t="s">
        <v>447</v>
      </c>
      <c r="J50" t="s">
        <v>428</v>
      </c>
      <c r="K50" t="s">
        <v>429</v>
      </c>
      <c r="L50" t="str">
        <f>HYPERLINK("https://www.commcarehq.org/a/demo-18/api/form/attachment/8905c821-c4e2-4cf8-a0ce-ac4d9ae46632/1584951049596.jpg")</f>
        <v>https://www.commcarehq.org/a/demo-18/api/form/attachment/8905c821-c4e2-4cf8-a0ce-ac4d9ae46632/1584951049596.jpg</v>
      </c>
      <c r="M50" t="str">
        <f>HYPERLINK("https://www.commcarehq.org/a/demo-18/api/form/attachment/8905c821-c4e2-4cf8-a0ce-ac4d9ae46632/1584951062192.jpg")</f>
        <v>https://www.commcarehq.org/a/demo-18/api/form/attachment/8905c821-c4e2-4cf8-a0ce-ac4d9ae46632/1584951062192.jpg</v>
      </c>
      <c r="N50" t="str">
        <f>HYPERLINK("https://www.commcarehq.org/a/demo-18/api/form/attachment/8905c821-c4e2-4cf8-a0ce-ac4d9ae46632/1584951097322.jpg")</f>
        <v>https://www.commcarehq.org/a/demo-18/api/form/attachment/8905c821-c4e2-4cf8-a0ce-ac4d9ae46632/1584951097322.jpg</v>
      </c>
      <c r="O50" t="str">
        <f>HYPERLINK("https://www.commcarehq.org/a/demo-18/api/form/attachment/8905c821-c4e2-4cf8-a0ce-ac4d9ae46632/1584951106099.jpg")</f>
        <v>https://www.commcarehq.org/a/demo-18/api/form/attachment/8905c821-c4e2-4cf8-a0ce-ac4d9ae46632/1584951106099.jpg</v>
      </c>
      <c r="P50" t="str">
        <f>HYPERLINK("https://www.commcarehq.org/a/demo-18/api/form/attachment/8905c821-c4e2-4cf8-a0ce-ac4d9ae46632/1584951125526.jpg")</f>
        <v>https://www.commcarehq.org/a/demo-18/api/form/attachment/8905c821-c4e2-4cf8-a0ce-ac4d9ae46632/1584951125526.jpg</v>
      </c>
      <c r="Q50" t="str">
        <f>HYPERLINK("https://www.commcarehq.org/a/demo-18/api/form/attachment/8905c821-c4e2-4cf8-a0ce-ac4d9ae46632/1584951134458.jpg")</f>
        <v>https://www.commcarehq.org/a/demo-18/api/form/attachment/8905c821-c4e2-4cf8-a0ce-ac4d9ae46632/1584951134458.jpg</v>
      </c>
      <c r="R50" s="2">
        <v>43913.341851851852</v>
      </c>
      <c r="S50" s="2">
        <v>43913.340543981481</v>
      </c>
      <c r="T50" t="s">
        <v>32</v>
      </c>
      <c r="U50" s="2">
        <v>43913.342175925929</v>
      </c>
      <c r="V50" t="s">
        <v>1669</v>
      </c>
      <c r="W50" t="s">
        <v>1670</v>
      </c>
    </row>
    <row r="51" spans="1:23" x14ac:dyDescent="0.45">
      <c r="A51" t="s">
        <v>113</v>
      </c>
      <c r="B51">
        <v>7.2</v>
      </c>
      <c r="C51" s="1">
        <v>43912</v>
      </c>
      <c r="D51" s="1">
        <v>43882</v>
      </c>
      <c r="E51" t="s">
        <v>428</v>
      </c>
      <c r="F51" t="s">
        <v>429</v>
      </c>
      <c r="G51" t="s">
        <v>429</v>
      </c>
      <c r="H51" t="s">
        <v>429</v>
      </c>
      <c r="I51" t="s">
        <v>447</v>
      </c>
      <c r="J51" t="s">
        <v>428</v>
      </c>
      <c r="K51" t="s">
        <v>429</v>
      </c>
      <c r="L51" t="str">
        <f>HYPERLINK("https://www.commcarehq.org/a/demo-18/api/form/attachment/e4de1e5a-fd37-487b-8fd2-5b426d21c0d5/1582275580653.jpg")</f>
        <v>https://www.commcarehq.org/a/demo-18/api/form/attachment/e4de1e5a-fd37-487b-8fd2-5b426d21c0d5/1582275580653.jpg</v>
      </c>
      <c r="M51" t="str">
        <f>HYPERLINK("https://www.commcarehq.org/a/demo-18/api/form/attachment/e4de1e5a-fd37-487b-8fd2-5b426d21c0d5/1582275597227.jpg")</f>
        <v>https://www.commcarehq.org/a/demo-18/api/form/attachment/e4de1e5a-fd37-487b-8fd2-5b426d21c0d5/1582275597227.jpg</v>
      </c>
      <c r="N51" t="str">
        <f>HYPERLINK("https://www.commcarehq.org/a/demo-18/api/form/attachment/e4de1e5a-fd37-487b-8fd2-5b426d21c0d5/1582275634229.jpg")</f>
        <v>https://www.commcarehq.org/a/demo-18/api/form/attachment/e4de1e5a-fd37-487b-8fd2-5b426d21c0d5/1582275634229.jpg</v>
      </c>
      <c r="O51" t="str">
        <f>HYPERLINK("https://www.commcarehq.org/a/demo-18/api/form/attachment/e4de1e5a-fd37-487b-8fd2-5b426d21c0d5/1582275652423.jpg")</f>
        <v>https://www.commcarehq.org/a/demo-18/api/form/attachment/e4de1e5a-fd37-487b-8fd2-5b426d21c0d5/1582275652423.jpg</v>
      </c>
      <c r="P51" t="str">
        <f>HYPERLINK("https://www.commcarehq.org/a/demo-18/api/form/attachment/e4de1e5a-fd37-487b-8fd2-5b426d21c0d5/1582275675023.jpg")</f>
        <v>https://www.commcarehq.org/a/demo-18/api/form/attachment/e4de1e5a-fd37-487b-8fd2-5b426d21c0d5/1582275675023.jpg</v>
      </c>
      <c r="Q51" t="str">
        <f>HYPERLINK("https://www.commcarehq.org/a/demo-18/api/form/attachment/e4de1e5a-fd37-487b-8fd2-5b426d21c0d5/1582275685046.jpg")</f>
        <v>https://www.commcarehq.org/a/demo-18/api/form/attachment/e4de1e5a-fd37-487b-8fd2-5b426d21c0d5/1582275685046.jpg</v>
      </c>
      <c r="R51" s="2">
        <v>43882.37599537037</v>
      </c>
      <c r="S51" s="2">
        <v>43882.374421296299</v>
      </c>
      <c r="T51" t="s">
        <v>32</v>
      </c>
      <c r="U51" s="2">
        <v>43882.376331018517</v>
      </c>
      <c r="V51" t="s">
        <v>1341</v>
      </c>
      <c r="W51" t="s">
        <v>1342</v>
      </c>
    </row>
    <row r="52" spans="1:23" x14ac:dyDescent="0.45">
      <c r="A52" t="s">
        <v>89</v>
      </c>
      <c r="B52">
        <v>7.2</v>
      </c>
      <c r="C52" s="1">
        <v>43947</v>
      </c>
      <c r="D52" s="1">
        <v>43917</v>
      </c>
      <c r="E52" t="s">
        <v>428</v>
      </c>
      <c r="F52" t="s">
        <v>429</v>
      </c>
      <c r="G52" t="s">
        <v>429</v>
      </c>
      <c r="H52" t="s">
        <v>429</v>
      </c>
      <c r="I52" t="s">
        <v>579</v>
      </c>
      <c r="J52" t="s">
        <v>428</v>
      </c>
      <c r="K52" t="s">
        <v>429</v>
      </c>
      <c r="L52" t="str">
        <f>HYPERLINK("https://www.commcarehq.org/a/demo-18/api/form/attachment/4ac9ca69-9b33-4cb6-9259-76c42df7229f/1585292311036.jpg")</f>
        <v>https://www.commcarehq.org/a/demo-18/api/form/attachment/4ac9ca69-9b33-4cb6-9259-76c42df7229f/1585292311036.jpg</v>
      </c>
      <c r="M52" t="str">
        <f>HYPERLINK("https://www.commcarehq.org/a/demo-18/api/form/attachment/4ac9ca69-9b33-4cb6-9259-76c42df7229f/1585292332554.jpg")</f>
        <v>https://www.commcarehq.org/a/demo-18/api/form/attachment/4ac9ca69-9b33-4cb6-9259-76c42df7229f/1585292332554.jpg</v>
      </c>
      <c r="N52" t="str">
        <f>HYPERLINK("https://www.commcarehq.org/a/demo-18/api/form/attachment/4ac9ca69-9b33-4cb6-9259-76c42df7229f/1585292431348.jpg")</f>
        <v>https://www.commcarehq.org/a/demo-18/api/form/attachment/4ac9ca69-9b33-4cb6-9259-76c42df7229f/1585292431348.jpg</v>
      </c>
      <c r="O52" t="str">
        <f>HYPERLINK("https://www.commcarehq.org/a/demo-18/api/form/attachment/4ac9ca69-9b33-4cb6-9259-76c42df7229f/1585292441049.jpg")</f>
        <v>https://www.commcarehq.org/a/demo-18/api/form/attachment/4ac9ca69-9b33-4cb6-9259-76c42df7229f/1585292441049.jpg</v>
      </c>
      <c r="P52" t="str">
        <f>HYPERLINK("https://www.commcarehq.org/a/demo-18/api/form/attachment/4ac9ca69-9b33-4cb6-9259-76c42df7229f/1585292454426.jpg")</f>
        <v>https://www.commcarehq.org/a/demo-18/api/form/attachment/4ac9ca69-9b33-4cb6-9259-76c42df7229f/1585292454426.jpg</v>
      </c>
      <c r="Q52" t="str">
        <f>HYPERLINK("https://www.commcarehq.org/a/demo-18/api/form/attachment/4ac9ca69-9b33-4cb6-9259-76c42df7229f/1585292462858.jpg")</f>
        <v>https://www.commcarehq.org/a/demo-18/api/form/attachment/4ac9ca69-9b33-4cb6-9259-76c42df7229f/1585292462858.jpg</v>
      </c>
      <c r="R52" s="2">
        <v>43917.29241898148</v>
      </c>
      <c r="S52" s="2">
        <v>43917.290277777778</v>
      </c>
      <c r="T52" t="s">
        <v>32</v>
      </c>
      <c r="U52" s="2">
        <v>43917.292638888888</v>
      </c>
      <c r="V52" t="s">
        <v>1720</v>
      </c>
      <c r="W52" t="s">
        <v>1721</v>
      </c>
    </row>
    <row r="53" spans="1:23" x14ac:dyDescent="0.45">
      <c r="A53" t="s">
        <v>25</v>
      </c>
      <c r="B53">
        <v>6.5</v>
      </c>
      <c r="C53" s="1">
        <v>43910</v>
      </c>
      <c r="D53" s="1">
        <v>43880</v>
      </c>
      <c r="E53" t="s">
        <v>428</v>
      </c>
      <c r="F53" t="s">
        <v>429</v>
      </c>
      <c r="G53" t="s">
        <v>429</v>
      </c>
      <c r="H53" t="s">
        <v>429</v>
      </c>
      <c r="I53" t="s">
        <v>498</v>
      </c>
      <c r="J53" t="s">
        <v>428</v>
      </c>
      <c r="K53" t="s">
        <v>429</v>
      </c>
      <c r="L53" t="str">
        <f>HYPERLINK("https://www.commcarehq.org/a/demo-18/api/form/attachment/94eb3575-d0b2-46c0-87f6-75ceb086a9b2/1582095685952.jpg")</f>
        <v>https://www.commcarehq.org/a/demo-18/api/form/attachment/94eb3575-d0b2-46c0-87f6-75ceb086a9b2/1582095685952.jpg</v>
      </c>
      <c r="M53" t="str">
        <f>HYPERLINK("https://www.commcarehq.org/a/demo-18/api/form/attachment/94eb3575-d0b2-46c0-87f6-75ceb086a9b2/1582095699158.jpg")</f>
        <v>https://www.commcarehq.org/a/demo-18/api/form/attachment/94eb3575-d0b2-46c0-87f6-75ceb086a9b2/1582095699158.jpg</v>
      </c>
      <c r="N53" t="str">
        <f>HYPERLINK("https://www.commcarehq.org/a/demo-18/api/form/attachment/94eb3575-d0b2-46c0-87f6-75ceb086a9b2/1582095727217.jpg")</f>
        <v>https://www.commcarehq.org/a/demo-18/api/form/attachment/94eb3575-d0b2-46c0-87f6-75ceb086a9b2/1582095727217.jpg</v>
      </c>
      <c r="O53" t="str">
        <f>HYPERLINK("https://www.commcarehq.org/a/demo-18/api/form/attachment/94eb3575-d0b2-46c0-87f6-75ceb086a9b2/1582095736003.jpg")</f>
        <v>https://www.commcarehq.org/a/demo-18/api/form/attachment/94eb3575-d0b2-46c0-87f6-75ceb086a9b2/1582095736003.jpg</v>
      </c>
      <c r="P53" t="str">
        <f>HYPERLINK("https://www.commcarehq.org/a/demo-18/api/form/attachment/94eb3575-d0b2-46c0-87f6-75ceb086a9b2/1582095761401.jpg")</f>
        <v>https://www.commcarehq.org/a/demo-18/api/form/attachment/94eb3575-d0b2-46c0-87f6-75ceb086a9b2/1582095761401.jpg</v>
      </c>
      <c r="Q53" t="str">
        <f>HYPERLINK("https://www.commcarehq.org/a/demo-18/api/form/attachment/94eb3575-d0b2-46c0-87f6-75ceb086a9b2/1582095770178.jpg")</f>
        <v>https://www.commcarehq.org/a/demo-18/api/form/attachment/94eb3575-d0b2-46c0-87f6-75ceb086a9b2/1582095770178.jpg</v>
      </c>
      <c r="R53" s="2">
        <v>43880.293645833335</v>
      </c>
      <c r="S53" s="2">
        <v>43880.292256944442</v>
      </c>
      <c r="T53" t="s">
        <v>32</v>
      </c>
      <c r="U53" s="2">
        <v>43880.293865740743</v>
      </c>
      <c r="V53" t="s">
        <v>1345</v>
      </c>
      <c r="W53" t="s">
        <v>1346</v>
      </c>
    </row>
    <row r="54" spans="1:23" x14ac:dyDescent="0.45">
      <c r="A54" t="s">
        <v>28</v>
      </c>
      <c r="B54">
        <v>7.2</v>
      </c>
      <c r="C54" s="1">
        <v>43936</v>
      </c>
      <c r="D54" s="1">
        <v>43906</v>
      </c>
      <c r="E54" t="s">
        <v>428</v>
      </c>
      <c r="F54" t="s">
        <v>429</v>
      </c>
      <c r="G54" t="s">
        <v>429</v>
      </c>
      <c r="H54" t="s">
        <v>429</v>
      </c>
      <c r="I54" t="s">
        <v>1709</v>
      </c>
      <c r="J54" t="s">
        <v>428</v>
      </c>
      <c r="K54" t="s">
        <v>429</v>
      </c>
      <c r="L54" t="str">
        <f>HYPERLINK("https://www.commcarehq.org/a/demo-18/api/form/attachment/7670055d-4880-49e0-a71a-291fc6044b17/1584345253838.jpg")</f>
        <v>https://www.commcarehq.org/a/demo-18/api/form/attachment/7670055d-4880-49e0-a71a-291fc6044b17/1584345253838.jpg</v>
      </c>
      <c r="M54" t="str">
        <f>HYPERLINK("https://www.commcarehq.org/a/demo-18/api/form/attachment/7670055d-4880-49e0-a71a-291fc6044b17/1584345270447.jpg")</f>
        <v>https://www.commcarehq.org/a/demo-18/api/form/attachment/7670055d-4880-49e0-a71a-291fc6044b17/1584345270447.jpg</v>
      </c>
      <c r="N54" t="str">
        <f>HYPERLINK("https://www.commcarehq.org/a/demo-18/api/form/attachment/7670055d-4880-49e0-a71a-291fc6044b17/1584345303696.jpg")</f>
        <v>https://www.commcarehq.org/a/demo-18/api/form/attachment/7670055d-4880-49e0-a71a-291fc6044b17/1584345303696.jpg</v>
      </c>
      <c r="O54" t="str">
        <f>HYPERLINK("https://www.commcarehq.org/a/demo-18/api/form/attachment/7670055d-4880-49e0-a71a-291fc6044b17/1584345313148.jpg")</f>
        <v>https://www.commcarehq.org/a/demo-18/api/form/attachment/7670055d-4880-49e0-a71a-291fc6044b17/1584345313148.jpg</v>
      </c>
      <c r="P54" t="str">
        <f>HYPERLINK("https://www.commcarehq.org/a/demo-18/api/form/attachment/7670055d-4880-49e0-a71a-291fc6044b17/1584345323544.jpg")</f>
        <v>https://www.commcarehq.org/a/demo-18/api/form/attachment/7670055d-4880-49e0-a71a-291fc6044b17/1584345323544.jpg</v>
      </c>
      <c r="Q54" t="str">
        <f>HYPERLINK("https://www.commcarehq.org/a/demo-18/api/form/attachment/7670055d-4880-49e0-a71a-291fc6044b17/1584345334186.jpg")</f>
        <v>https://www.commcarehq.org/a/demo-18/api/form/attachment/7670055d-4880-49e0-a71a-291fc6044b17/1584345334186.jpg</v>
      </c>
      <c r="R54" s="2">
        <v>43906.330266203702</v>
      </c>
      <c r="S54" s="2">
        <v>43906.328888888886</v>
      </c>
      <c r="T54" t="s">
        <v>32</v>
      </c>
      <c r="U54" s="2">
        <v>43906.330509259256</v>
      </c>
      <c r="V54" t="s">
        <v>1710</v>
      </c>
      <c r="W54" t="s">
        <v>1711</v>
      </c>
    </row>
    <row r="55" spans="1:23" x14ac:dyDescent="0.45">
      <c r="A55" t="s">
        <v>110</v>
      </c>
      <c r="B55">
        <v>7.9</v>
      </c>
      <c r="C55" s="1">
        <v>43936</v>
      </c>
      <c r="D55" s="1">
        <v>43906</v>
      </c>
      <c r="E55" t="s">
        <v>428</v>
      </c>
      <c r="F55" t="s">
        <v>429</v>
      </c>
      <c r="G55" t="s">
        <v>429</v>
      </c>
      <c r="H55" t="s">
        <v>429</v>
      </c>
      <c r="I55" t="s">
        <v>447</v>
      </c>
      <c r="J55" t="s">
        <v>428</v>
      </c>
      <c r="K55" t="s">
        <v>429</v>
      </c>
      <c r="L55" t="str">
        <f>HYPERLINK("https://www.commcarehq.org/a/demo-18/api/form/attachment/6b7407f2-7000-468d-b080-74e8cc382548/1584345819562.jpg")</f>
        <v>https://www.commcarehq.org/a/demo-18/api/form/attachment/6b7407f2-7000-468d-b080-74e8cc382548/1584345819562.jpg</v>
      </c>
      <c r="M55" t="str">
        <f>HYPERLINK("https://www.commcarehq.org/a/demo-18/api/form/attachment/6b7407f2-7000-468d-b080-74e8cc382548/1584345834959.jpg")</f>
        <v>https://www.commcarehq.org/a/demo-18/api/form/attachment/6b7407f2-7000-468d-b080-74e8cc382548/1584345834959.jpg</v>
      </c>
      <c r="N55" t="str">
        <f>HYPERLINK("https://www.commcarehq.org/a/demo-18/api/form/attachment/6b7407f2-7000-468d-b080-74e8cc382548/1584345886528.jpg")</f>
        <v>https://www.commcarehq.org/a/demo-18/api/form/attachment/6b7407f2-7000-468d-b080-74e8cc382548/1584345886528.jpg</v>
      </c>
      <c r="O55" t="str">
        <f>HYPERLINK("https://www.commcarehq.org/a/demo-18/api/form/attachment/6b7407f2-7000-468d-b080-74e8cc382548/1584345896481.jpg")</f>
        <v>https://www.commcarehq.org/a/demo-18/api/form/attachment/6b7407f2-7000-468d-b080-74e8cc382548/1584345896481.jpg</v>
      </c>
      <c r="P55" t="str">
        <f>HYPERLINK("https://www.commcarehq.org/a/demo-18/api/form/attachment/6b7407f2-7000-468d-b080-74e8cc382548/1584345909015.jpg")</f>
        <v>https://www.commcarehq.org/a/demo-18/api/form/attachment/6b7407f2-7000-468d-b080-74e8cc382548/1584345909015.jpg</v>
      </c>
      <c r="Q55" t="str">
        <f>HYPERLINK("https://www.commcarehq.org/a/demo-18/api/form/attachment/6b7407f2-7000-468d-b080-74e8cc382548/1584345917317.jpg")</f>
        <v>https://www.commcarehq.org/a/demo-18/api/form/attachment/6b7407f2-7000-468d-b080-74e8cc382548/1584345917317.jpg</v>
      </c>
      <c r="R55" s="2">
        <v>43906.337013888886</v>
      </c>
      <c r="S55" s="2">
        <v>43906.335405092592</v>
      </c>
      <c r="T55" t="s">
        <v>32</v>
      </c>
      <c r="U55" s="2">
        <v>43906.337268518517</v>
      </c>
      <c r="V55" t="s">
        <v>1707</v>
      </c>
      <c r="W55" t="s">
        <v>1708</v>
      </c>
    </row>
    <row r="56" spans="1:23" x14ac:dyDescent="0.45">
      <c r="A56" t="s">
        <v>274</v>
      </c>
      <c r="B56">
        <v>7.1</v>
      </c>
      <c r="C56" s="1">
        <v>43939</v>
      </c>
      <c r="D56" s="1">
        <v>43909</v>
      </c>
      <c r="E56" t="s">
        <v>428</v>
      </c>
      <c r="F56" t="s">
        <v>429</v>
      </c>
      <c r="G56" t="s">
        <v>429</v>
      </c>
      <c r="H56" t="s">
        <v>429</v>
      </c>
      <c r="I56" t="s">
        <v>1310</v>
      </c>
      <c r="J56" t="s">
        <v>428</v>
      </c>
      <c r="K56" t="s">
        <v>429</v>
      </c>
      <c r="L56" t="str">
        <f>HYPERLINK("https://www.commcarehq.org/a/demo-18/api/form/attachment/3a21d909-ecd2-4078-a169-56fdb88e7fca/1584603597867.jpg")</f>
        <v>https://www.commcarehq.org/a/demo-18/api/form/attachment/3a21d909-ecd2-4078-a169-56fdb88e7fca/1584603597867.jpg</v>
      </c>
      <c r="M56" t="str">
        <f>HYPERLINK("https://www.commcarehq.org/a/demo-18/api/form/attachment/3a21d909-ecd2-4078-a169-56fdb88e7fca/1584603612707.jpg")</f>
        <v>https://www.commcarehq.org/a/demo-18/api/form/attachment/3a21d909-ecd2-4078-a169-56fdb88e7fca/1584603612707.jpg</v>
      </c>
      <c r="N56" t="str">
        <f>HYPERLINK("https://www.commcarehq.org/a/demo-18/api/form/attachment/3a21d909-ecd2-4078-a169-56fdb88e7fca/1584603644046.jpg")</f>
        <v>https://www.commcarehq.org/a/demo-18/api/form/attachment/3a21d909-ecd2-4078-a169-56fdb88e7fca/1584603644046.jpg</v>
      </c>
      <c r="O56" t="str">
        <f>HYPERLINK("https://www.commcarehq.org/a/demo-18/api/form/attachment/3a21d909-ecd2-4078-a169-56fdb88e7fca/1584603652700.jpg")</f>
        <v>https://www.commcarehq.org/a/demo-18/api/form/attachment/3a21d909-ecd2-4078-a169-56fdb88e7fca/1584603652700.jpg</v>
      </c>
      <c r="P56" t="str">
        <f>HYPERLINK("https://www.commcarehq.org/a/demo-18/api/form/attachment/3a21d909-ecd2-4078-a169-56fdb88e7fca/1584603668264.jpg")</f>
        <v>https://www.commcarehq.org/a/demo-18/api/form/attachment/3a21d909-ecd2-4078-a169-56fdb88e7fca/1584603668264.jpg</v>
      </c>
      <c r="Q56" t="str">
        <f>HYPERLINK("https://www.commcarehq.org/a/demo-18/api/form/attachment/3a21d909-ecd2-4078-a169-56fdb88e7fca/1584603676104.jpg")</f>
        <v>https://www.commcarehq.org/a/demo-18/api/form/attachment/3a21d909-ecd2-4078-a169-56fdb88e7fca/1584603676104.jpg</v>
      </c>
      <c r="R56" s="2">
        <v>43909.320347222223</v>
      </c>
      <c r="S56" s="2">
        <v>43909.318958333337</v>
      </c>
      <c r="T56" t="s">
        <v>32</v>
      </c>
      <c r="U56" s="2">
        <v>43909.320567129631</v>
      </c>
      <c r="V56" t="s">
        <v>1644</v>
      </c>
      <c r="W56" t="s">
        <v>1645</v>
      </c>
    </row>
    <row r="57" spans="1:23" x14ac:dyDescent="0.45">
      <c r="A57" t="s">
        <v>346</v>
      </c>
      <c r="B57">
        <v>7.7</v>
      </c>
      <c r="C57" s="1">
        <v>43912</v>
      </c>
      <c r="D57" s="1">
        <v>43882</v>
      </c>
      <c r="E57" t="s">
        <v>428</v>
      </c>
      <c r="F57" t="s">
        <v>429</v>
      </c>
      <c r="G57" t="s">
        <v>429</v>
      </c>
      <c r="H57" t="s">
        <v>429</v>
      </c>
      <c r="I57" t="s">
        <v>447</v>
      </c>
      <c r="J57" t="s">
        <v>428</v>
      </c>
      <c r="K57" t="s">
        <v>429</v>
      </c>
      <c r="L57" t="str">
        <f>HYPERLINK("https://www.commcarehq.org/a/demo-18/api/form/attachment/b771defe-b240-4889-81b6-4672c5214ce7/1582276301347.jpg")</f>
        <v>https://www.commcarehq.org/a/demo-18/api/form/attachment/b771defe-b240-4889-81b6-4672c5214ce7/1582276301347.jpg</v>
      </c>
      <c r="M57" t="str">
        <f>HYPERLINK("https://www.commcarehq.org/a/demo-18/api/form/attachment/b771defe-b240-4889-81b6-4672c5214ce7/1582276315151.jpg")</f>
        <v>https://www.commcarehq.org/a/demo-18/api/form/attachment/b771defe-b240-4889-81b6-4672c5214ce7/1582276315151.jpg</v>
      </c>
      <c r="N57" t="str">
        <f>HYPERLINK("https://www.commcarehq.org/a/demo-18/api/form/attachment/b771defe-b240-4889-81b6-4672c5214ce7/1582276368610.jpg")</f>
        <v>https://www.commcarehq.org/a/demo-18/api/form/attachment/b771defe-b240-4889-81b6-4672c5214ce7/1582276368610.jpg</v>
      </c>
      <c r="O57" t="str">
        <f>HYPERLINK("https://www.commcarehq.org/a/demo-18/api/form/attachment/b771defe-b240-4889-81b6-4672c5214ce7/1582276378590.jpg")</f>
        <v>https://www.commcarehq.org/a/demo-18/api/form/attachment/b771defe-b240-4889-81b6-4672c5214ce7/1582276378590.jpg</v>
      </c>
      <c r="P57" t="str">
        <f>HYPERLINK("https://www.commcarehq.org/a/demo-18/api/form/attachment/b771defe-b240-4889-81b6-4672c5214ce7/1582276391600.jpg")</f>
        <v>https://www.commcarehq.org/a/demo-18/api/form/attachment/b771defe-b240-4889-81b6-4672c5214ce7/1582276391600.jpg</v>
      </c>
      <c r="Q57" t="str">
        <f>HYPERLINK("https://www.commcarehq.org/a/demo-18/api/form/attachment/b771defe-b240-4889-81b6-4672c5214ce7/1582276401676.jpg")</f>
        <v>https://www.commcarehq.org/a/demo-18/api/form/attachment/b771defe-b240-4889-81b6-4672c5214ce7/1582276401676.jpg</v>
      </c>
      <c r="R57" s="2">
        <v>43882.384293981479</v>
      </c>
      <c r="S57" s="2">
        <v>43882.382407407407</v>
      </c>
      <c r="T57" t="s">
        <v>32</v>
      </c>
      <c r="U57" s="2">
        <v>43882.384571759256</v>
      </c>
      <c r="V57" t="s">
        <v>1347</v>
      </c>
      <c r="W57" t="s">
        <v>1348</v>
      </c>
    </row>
    <row r="58" spans="1:23" x14ac:dyDescent="0.45">
      <c r="A58" t="s">
        <v>343</v>
      </c>
      <c r="B58">
        <v>6.4</v>
      </c>
      <c r="C58" s="1">
        <v>43940</v>
      </c>
      <c r="D58" s="1">
        <v>43910</v>
      </c>
      <c r="E58" t="s">
        <v>428</v>
      </c>
      <c r="F58" t="s">
        <v>429</v>
      </c>
      <c r="G58" t="s">
        <v>429</v>
      </c>
      <c r="H58" t="s">
        <v>429</v>
      </c>
      <c r="I58" t="s">
        <v>447</v>
      </c>
      <c r="J58" t="s">
        <v>428</v>
      </c>
      <c r="K58" t="s">
        <v>429</v>
      </c>
      <c r="L58" t="str">
        <f>HYPERLINK("https://www.commcarehq.org/a/demo-18/api/form/attachment/5b4193ef-ad5f-4cb5-a35d-2935aad89ad6/1584688153817.jpg")</f>
        <v>https://www.commcarehq.org/a/demo-18/api/form/attachment/5b4193ef-ad5f-4cb5-a35d-2935aad89ad6/1584688153817.jpg</v>
      </c>
      <c r="M58" t="str">
        <f>HYPERLINK("https://www.commcarehq.org/a/demo-18/api/form/attachment/5b4193ef-ad5f-4cb5-a35d-2935aad89ad6/1584688173327.jpg")</f>
        <v>https://www.commcarehq.org/a/demo-18/api/form/attachment/5b4193ef-ad5f-4cb5-a35d-2935aad89ad6/1584688173327.jpg</v>
      </c>
      <c r="N58" t="str">
        <f>HYPERLINK("https://www.commcarehq.org/a/demo-18/api/form/attachment/5b4193ef-ad5f-4cb5-a35d-2935aad89ad6/1584688301227.jpg")</f>
        <v>https://www.commcarehq.org/a/demo-18/api/form/attachment/5b4193ef-ad5f-4cb5-a35d-2935aad89ad6/1584688301227.jpg</v>
      </c>
      <c r="O58" t="str">
        <f>HYPERLINK("https://www.commcarehq.org/a/demo-18/api/form/attachment/5b4193ef-ad5f-4cb5-a35d-2935aad89ad6/1584688314045.jpg")</f>
        <v>https://www.commcarehq.org/a/demo-18/api/form/attachment/5b4193ef-ad5f-4cb5-a35d-2935aad89ad6/1584688314045.jpg</v>
      </c>
      <c r="P58" t="str">
        <f>HYPERLINK("https://www.commcarehq.org/a/demo-18/api/form/attachment/5b4193ef-ad5f-4cb5-a35d-2935aad89ad6/1584688329037.jpg")</f>
        <v>https://www.commcarehq.org/a/demo-18/api/form/attachment/5b4193ef-ad5f-4cb5-a35d-2935aad89ad6/1584688329037.jpg</v>
      </c>
      <c r="Q58" t="str">
        <f>HYPERLINK("https://www.commcarehq.org/a/demo-18/api/form/attachment/5b4193ef-ad5f-4cb5-a35d-2935aad89ad6/1584688339044.jpg")</f>
        <v>https://www.commcarehq.org/a/demo-18/api/form/attachment/5b4193ef-ad5f-4cb5-a35d-2935aad89ad6/1584688339044.jpg</v>
      </c>
      <c r="R58" s="2">
        <v>43910.300243055557</v>
      </c>
      <c r="S58" s="2">
        <v>43910.297337962962</v>
      </c>
      <c r="T58" t="s">
        <v>32</v>
      </c>
      <c r="U58" s="2">
        <v>43910.300509259258</v>
      </c>
      <c r="V58" t="s">
        <v>1625</v>
      </c>
      <c r="W58" t="s">
        <v>1626</v>
      </c>
    </row>
    <row r="59" spans="1:23" x14ac:dyDescent="0.45">
      <c r="A59" t="s">
        <v>277</v>
      </c>
      <c r="B59">
        <v>7.9</v>
      </c>
      <c r="C59" s="1">
        <v>43917</v>
      </c>
      <c r="D59" s="1">
        <v>43887</v>
      </c>
      <c r="E59" t="s">
        <v>428</v>
      </c>
      <c r="F59" t="s">
        <v>429</v>
      </c>
      <c r="G59" t="s">
        <v>429</v>
      </c>
      <c r="H59" t="s">
        <v>429</v>
      </c>
      <c r="I59" t="s">
        <v>447</v>
      </c>
      <c r="J59" t="s">
        <v>428</v>
      </c>
      <c r="K59" t="s">
        <v>429</v>
      </c>
      <c r="L59" t="str">
        <f>HYPERLINK("https://www.commcarehq.org/a/demo-18/api/form/attachment/300902fe-7ec7-4c56-95b2-629b9fc96d6d/1582705915010.jpg")</f>
        <v>https://www.commcarehq.org/a/demo-18/api/form/attachment/300902fe-7ec7-4c56-95b2-629b9fc96d6d/1582705915010.jpg</v>
      </c>
      <c r="M59" t="str">
        <f>HYPERLINK("https://www.commcarehq.org/a/demo-18/api/form/attachment/300902fe-7ec7-4c56-95b2-629b9fc96d6d/1582705930386.jpg")</f>
        <v>https://www.commcarehq.org/a/demo-18/api/form/attachment/300902fe-7ec7-4c56-95b2-629b9fc96d6d/1582705930386.jpg</v>
      </c>
      <c r="N59" t="str">
        <f>HYPERLINK("https://www.commcarehq.org/a/demo-18/api/form/attachment/300902fe-7ec7-4c56-95b2-629b9fc96d6d/1582705952458.jpg")</f>
        <v>https://www.commcarehq.org/a/demo-18/api/form/attachment/300902fe-7ec7-4c56-95b2-629b9fc96d6d/1582705952458.jpg</v>
      </c>
      <c r="O59" t="str">
        <f>HYPERLINK("https://www.commcarehq.org/a/demo-18/api/form/attachment/300902fe-7ec7-4c56-95b2-629b9fc96d6d/1582705961688.jpg")</f>
        <v>https://www.commcarehq.org/a/demo-18/api/form/attachment/300902fe-7ec7-4c56-95b2-629b9fc96d6d/1582705961688.jpg</v>
      </c>
      <c r="P59" t="str">
        <f>HYPERLINK("https://www.commcarehq.org/a/demo-18/api/form/attachment/300902fe-7ec7-4c56-95b2-629b9fc96d6d/1582705976020.jpg")</f>
        <v>https://www.commcarehq.org/a/demo-18/api/form/attachment/300902fe-7ec7-4c56-95b2-629b9fc96d6d/1582705976020.jpg</v>
      </c>
      <c r="Q59" t="str">
        <f>HYPERLINK("https://www.commcarehq.org/a/demo-18/api/form/attachment/300902fe-7ec7-4c56-95b2-629b9fc96d6d/1582705985250.jpg")</f>
        <v>https://www.commcarehq.org/a/demo-18/api/form/attachment/300902fe-7ec7-4c56-95b2-629b9fc96d6d/1582705985250.jpg</v>
      </c>
      <c r="R59" s="2">
        <v>43887.35633101852</v>
      </c>
      <c r="S59" s="2">
        <v>43887.355104166665</v>
      </c>
      <c r="T59" t="s">
        <v>32</v>
      </c>
      <c r="U59" s="2">
        <v>43887.472638888888</v>
      </c>
      <c r="V59" t="s">
        <v>1544</v>
      </c>
      <c r="W59" t="s">
        <v>1545</v>
      </c>
    </row>
    <row r="60" spans="1:23" x14ac:dyDescent="0.45">
      <c r="A60" t="s">
        <v>352</v>
      </c>
      <c r="B60">
        <v>7.4</v>
      </c>
      <c r="C60" s="1">
        <v>43939</v>
      </c>
      <c r="D60" s="1">
        <v>43909</v>
      </c>
      <c r="E60" t="s">
        <v>428</v>
      </c>
      <c r="F60" t="s">
        <v>429</v>
      </c>
      <c r="G60" t="s">
        <v>429</v>
      </c>
      <c r="H60" t="s">
        <v>429</v>
      </c>
      <c r="I60" t="s">
        <v>1321</v>
      </c>
      <c r="J60" t="s">
        <v>428</v>
      </c>
      <c r="K60" t="s">
        <v>429</v>
      </c>
      <c r="L60" t="str">
        <f>HYPERLINK("https://www.commcarehq.org/a/demo-18/api/form/attachment/4ce31dcc-d46c-46c6-933d-98544c82580c/1584603182962.jpg")</f>
        <v>https://www.commcarehq.org/a/demo-18/api/form/attachment/4ce31dcc-d46c-46c6-933d-98544c82580c/1584603182962.jpg</v>
      </c>
      <c r="M60" t="str">
        <f>HYPERLINK("https://www.commcarehq.org/a/demo-18/api/form/attachment/4ce31dcc-d46c-46c6-933d-98544c82580c/1584603199539.jpg")</f>
        <v>https://www.commcarehq.org/a/demo-18/api/form/attachment/4ce31dcc-d46c-46c6-933d-98544c82580c/1584603199539.jpg</v>
      </c>
      <c r="N60" t="str">
        <f>HYPERLINK("https://www.commcarehq.org/a/demo-18/api/form/attachment/4ce31dcc-d46c-46c6-933d-98544c82580c/1584603301575.jpg")</f>
        <v>https://www.commcarehq.org/a/demo-18/api/form/attachment/4ce31dcc-d46c-46c6-933d-98544c82580c/1584603301575.jpg</v>
      </c>
      <c r="O60" t="str">
        <f>HYPERLINK("https://www.commcarehq.org/a/demo-18/api/form/attachment/4ce31dcc-d46c-46c6-933d-98544c82580c/1584603310480.jpg")</f>
        <v>https://www.commcarehq.org/a/demo-18/api/form/attachment/4ce31dcc-d46c-46c6-933d-98544c82580c/1584603310480.jpg</v>
      </c>
      <c r="P60" t="str">
        <f>HYPERLINK("https://www.commcarehq.org/a/demo-18/api/form/attachment/4ce31dcc-d46c-46c6-933d-98544c82580c/1584603321136.jpg")</f>
        <v>https://www.commcarehq.org/a/demo-18/api/form/attachment/4ce31dcc-d46c-46c6-933d-98544c82580c/1584603321136.jpg</v>
      </c>
      <c r="Q60" t="str">
        <f>HYPERLINK("https://www.commcarehq.org/a/demo-18/api/form/attachment/4ce31dcc-d46c-46c6-933d-98544c82580c/1584603330237.jpg")</f>
        <v>https://www.commcarehq.org/a/demo-18/api/form/attachment/4ce31dcc-d46c-46c6-933d-98544c82580c/1584603330237.jpg</v>
      </c>
      <c r="R60" s="2">
        <v>43909.316331018519</v>
      </c>
      <c r="S60" s="2">
        <v>43909.313993055555</v>
      </c>
      <c r="T60" t="s">
        <v>32</v>
      </c>
      <c r="U60" s="2">
        <v>43909.316562499997</v>
      </c>
      <c r="V60" t="s">
        <v>1656</v>
      </c>
      <c r="W60" t="s">
        <v>1657</v>
      </c>
    </row>
    <row r="61" spans="1:23" x14ac:dyDescent="0.45">
      <c r="A61" t="s">
        <v>220</v>
      </c>
      <c r="B61">
        <v>6.4</v>
      </c>
      <c r="C61" s="1">
        <v>43938</v>
      </c>
      <c r="D61" s="1">
        <v>43908</v>
      </c>
      <c r="E61" t="s">
        <v>428</v>
      </c>
      <c r="F61" t="s">
        <v>429</v>
      </c>
      <c r="G61" t="s">
        <v>429</v>
      </c>
      <c r="H61" t="s">
        <v>429</v>
      </c>
      <c r="I61" t="s">
        <v>1321</v>
      </c>
      <c r="J61" t="s">
        <v>428</v>
      </c>
      <c r="K61" t="s">
        <v>429</v>
      </c>
      <c r="L61" t="str">
        <f>HYPERLINK("https://www.commcarehq.org/a/demo-18/api/form/attachment/031b7901-1ea9-4b79-a57b-0364fbbaa7e2/1584518802034.jpg")</f>
        <v>https://www.commcarehq.org/a/demo-18/api/form/attachment/031b7901-1ea9-4b79-a57b-0364fbbaa7e2/1584518802034.jpg</v>
      </c>
      <c r="M61" t="str">
        <f>HYPERLINK("https://www.commcarehq.org/a/demo-18/api/form/attachment/031b7901-1ea9-4b79-a57b-0364fbbaa7e2/1584518840881.jpg")</f>
        <v>https://www.commcarehq.org/a/demo-18/api/form/attachment/031b7901-1ea9-4b79-a57b-0364fbbaa7e2/1584518840881.jpg</v>
      </c>
      <c r="N61" t="str">
        <f>HYPERLINK("https://www.commcarehq.org/a/demo-18/api/form/attachment/031b7901-1ea9-4b79-a57b-0364fbbaa7e2/1584518985185.jpg")</f>
        <v>https://www.commcarehq.org/a/demo-18/api/form/attachment/031b7901-1ea9-4b79-a57b-0364fbbaa7e2/1584518985185.jpg</v>
      </c>
      <c r="O61" t="str">
        <f>HYPERLINK("https://www.commcarehq.org/a/demo-18/api/form/attachment/031b7901-1ea9-4b79-a57b-0364fbbaa7e2/1584518993384.jpg")</f>
        <v>https://www.commcarehq.org/a/demo-18/api/form/attachment/031b7901-1ea9-4b79-a57b-0364fbbaa7e2/1584518993384.jpg</v>
      </c>
      <c r="P61" t="str">
        <f>HYPERLINK("https://www.commcarehq.org/a/demo-18/api/form/attachment/031b7901-1ea9-4b79-a57b-0364fbbaa7e2/1584519009603.jpg")</f>
        <v>https://www.commcarehq.org/a/demo-18/api/form/attachment/031b7901-1ea9-4b79-a57b-0364fbbaa7e2/1584519009603.jpg</v>
      </c>
      <c r="Q61" t="str">
        <f>HYPERLINK("https://www.commcarehq.org/a/demo-18/api/form/attachment/031b7901-1ea9-4b79-a57b-0364fbbaa7e2/1584519017962.jpg")</f>
        <v>https://www.commcarehq.org/a/demo-18/api/form/attachment/031b7901-1ea9-4b79-a57b-0364fbbaa7e2/1584519017962.jpg</v>
      </c>
      <c r="R61" s="2">
        <v>43908.340497685182</v>
      </c>
      <c r="S61" s="2">
        <v>43908.336597222224</v>
      </c>
      <c r="T61" t="s">
        <v>32</v>
      </c>
      <c r="U61" s="2">
        <v>43908.341400462959</v>
      </c>
      <c r="V61" t="s">
        <v>1642</v>
      </c>
      <c r="W61" t="s">
        <v>1643</v>
      </c>
    </row>
    <row r="62" spans="1:23" x14ac:dyDescent="0.45">
      <c r="A62" t="s">
        <v>349</v>
      </c>
      <c r="B62">
        <v>6.1</v>
      </c>
      <c r="C62" s="1">
        <v>43939</v>
      </c>
      <c r="D62" s="1">
        <v>43909</v>
      </c>
      <c r="E62" t="s">
        <v>428</v>
      </c>
      <c r="F62" t="s">
        <v>429</v>
      </c>
      <c r="G62" t="s">
        <v>429</v>
      </c>
      <c r="H62" t="s">
        <v>429</v>
      </c>
      <c r="I62" t="s">
        <v>498</v>
      </c>
      <c r="J62" t="s">
        <v>428</v>
      </c>
      <c r="K62" t="s">
        <v>429</v>
      </c>
      <c r="L62" t="str">
        <f>HYPERLINK("https://www.commcarehq.org/a/demo-18/api/form/attachment/15e48f1c-daff-4985-bab4-b218717852a0/1584600258817.jpg")</f>
        <v>https://www.commcarehq.org/a/demo-18/api/form/attachment/15e48f1c-daff-4985-bab4-b218717852a0/1584600258817.jpg</v>
      </c>
      <c r="M62" t="str">
        <f>HYPERLINK("https://www.commcarehq.org/a/demo-18/api/form/attachment/15e48f1c-daff-4985-bab4-b218717852a0/1584600269879.jpg")</f>
        <v>https://www.commcarehq.org/a/demo-18/api/form/attachment/15e48f1c-daff-4985-bab4-b218717852a0/1584600269879.jpg</v>
      </c>
      <c r="N62" t="str">
        <f>HYPERLINK("https://www.commcarehq.org/a/demo-18/api/form/attachment/15e48f1c-daff-4985-bab4-b218717852a0/1584600314265.jpg")</f>
        <v>https://www.commcarehq.org/a/demo-18/api/form/attachment/15e48f1c-daff-4985-bab4-b218717852a0/1584600314265.jpg</v>
      </c>
      <c r="O62" t="str">
        <f>HYPERLINK("https://www.commcarehq.org/a/demo-18/api/form/attachment/15e48f1c-daff-4985-bab4-b218717852a0/1584600327013.jpg")</f>
        <v>https://www.commcarehq.org/a/demo-18/api/form/attachment/15e48f1c-daff-4985-bab4-b218717852a0/1584600327013.jpg</v>
      </c>
      <c r="P62" t="str">
        <f>HYPERLINK("https://www.commcarehq.org/a/demo-18/api/form/attachment/15e48f1c-daff-4985-bab4-b218717852a0/1584600342721.jpg")</f>
        <v>https://www.commcarehq.org/a/demo-18/api/form/attachment/15e48f1c-daff-4985-bab4-b218717852a0/1584600342721.jpg</v>
      </c>
      <c r="Q62" t="str">
        <f>HYPERLINK("https://www.commcarehq.org/a/demo-18/api/form/attachment/15e48f1c-daff-4985-bab4-b218717852a0/1584600350761.jpg")</f>
        <v>https://www.commcarehq.org/a/demo-18/api/form/attachment/15e48f1c-daff-4985-bab4-b218717852a0/1584600350761.jpg</v>
      </c>
      <c r="R62" s="2">
        <v>43909.281851851854</v>
      </c>
      <c r="S62" s="2">
        <v>43909.280324074076</v>
      </c>
      <c r="T62" t="s">
        <v>32</v>
      </c>
      <c r="U62" s="2">
        <v>43909.282013888886</v>
      </c>
      <c r="V62" t="s">
        <v>1637</v>
      </c>
      <c r="W62" t="s">
        <v>1638</v>
      </c>
    </row>
    <row r="63" spans="1:23" x14ac:dyDescent="0.45">
      <c r="A63" t="s">
        <v>62</v>
      </c>
      <c r="B63">
        <v>6.7</v>
      </c>
      <c r="C63" s="1">
        <v>43940</v>
      </c>
      <c r="D63" s="1">
        <v>43910</v>
      </c>
      <c r="E63" t="s">
        <v>428</v>
      </c>
      <c r="F63" t="s">
        <v>429</v>
      </c>
      <c r="G63" t="s">
        <v>429</v>
      </c>
      <c r="H63" t="s">
        <v>429</v>
      </c>
      <c r="I63" t="s">
        <v>498</v>
      </c>
      <c r="J63" t="s">
        <v>428</v>
      </c>
      <c r="K63" t="s">
        <v>429</v>
      </c>
      <c r="L63" t="str">
        <f>HYPERLINK("https://www.commcarehq.org/a/demo-18/api/form/attachment/06e48154-661f-413f-b86c-4b7b5695f281/1584694257651.jpg")</f>
        <v>https://www.commcarehq.org/a/demo-18/api/form/attachment/06e48154-661f-413f-b86c-4b7b5695f281/1584694257651.jpg</v>
      </c>
      <c r="M63" t="str">
        <f>HYPERLINK("https://www.commcarehq.org/a/demo-18/api/form/attachment/06e48154-661f-413f-b86c-4b7b5695f281/1584694274444.jpg")</f>
        <v>https://www.commcarehq.org/a/demo-18/api/form/attachment/06e48154-661f-413f-b86c-4b7b5695f281/1584694274444.jpg</v>
      </c>
      <c r="N63" t="str">
        <f>HYPERLINK("https://www.commcarehq.org/a/demo-18/api/form/attachment/06e48154-661f-413f-b86c-4b7b5695f281/1584694302810.jpg")</f>
        <v>https://www.commcarehq.org/a/demo-18/api/form/attachment/06e48154-661f-413f-b86c-4b7b5695f281/1584694302810.jpg</v>
      </c>
      <c r="O63" t="str">
        <f>HYPERLINK("https://www.commcarehq.org/a/demo-18/api/form/attachment/06e48154-661f-413f-b86c-4b7b5695f281/1584694310817.jpg")</f>
        <v>https://www.commcarehq.org/a/demo-18/api/form/attachment/06e48154-661f-413f-b86c-4b7b5695f281/1584694310817.jpg</v>
      </c>
      <c r="P63" t="str">
        <f>HYPERLINK("https://www.commcarehq.org/a/demo-18/api/form/attachment/06e48154-661f-413f-b86c-4b7b5695f281/1584694335388.jpg")</f>
        <v>https://www.commcarehq.org/a/demo-18/api/form/attachment/06e48154-661f-413f-b86c-4b7b5695f281/1584694335388.jpg</v>
      </c>
      <c r="Q63" t="str">
        <f>HYPERLINK("https://www.commcarehq.org/a/demo-18/api/form/attachment/06e48154-661f-413f-b86c-4b7b5695f281/1584694343069.jpg")</f>
        <v>https://www.commcarehq.org/a/demo-18/api/form/attachment/06e48154-661f-413f-b86c-4b7b5695f281/1584694343069.jpg</v>
      </c>
      <c r="R63" s="2">
        <v>43910.369722222225</v>
      </c>
      <c r="S63" s="2">
        <v>43910.368437500001</v>
      </c>
      <c r="T63" t="s">
        <v>32</v>
      </c>
      <c r="U63" s="2">
        <v>43910.417071759257</v>
      </c>
      <c r="V63" s="3" t="s">
        <v>1736</v>
      </c>
      <c r="W63" t="s">
        <v>1737</v>
      </c>
    </row>
    <row r="64" spans="1:23" x14ac:dyDescent="0.45">
      <c r="A64" t="s">
        <v>331</v>
      </c>
      <c r="B64">
        <v>5.8</v>
      </c>
      <c r="C64" s="1">
        <v>43940</v>
      </c>
      <c r="D64" s="1">
        <v>43910</v>
      </c>
      <c r="E64" t="s">
        <v>428</v>
      </c>
      <c r="F64" t="s">
        <v>429</v>
      </c>
      <c r="G64" t="s">
        <v>429</v>
      </c>
      <c r="H64" t="s">
        <v>429</v>
      </c>
      <c r="I64" t="s">
        <v>498</v>
      </c>
      <c r="J64" t="s">
        <v>428</v>
      </c>
      <c r="K64" t="s">
        <v>429</v>
      </c>
      <c r="L64" t="str">
        <f>HYPERLINK("https://www.commcarehq.org/a/demo-18/api/form/attachment/0578627a-d894-433a-835a-460a4a13702d/1584686661092.jpg")</f>
        <v>https://www.commcarehq.org/a/demo-18/api/form/attachment/0578627a-d894-433a-835a-460a4a13702d/1584686661092.jpg</v>
      </c>
      <c r="M64" t="str">
        <f>HYPERLINK("https://www.commcarehq.org/a/demo-18/api/form/attachment/0578627a-d894-433a-835a-460a4a13702d/1584686674153.jpg")</f>
        <v>https://www.commcarehq.org/a/demo-18/api/form/attachment/0578627a-d894-433a-835a-460a4a13702d/1584686674153.jpg</v>
      </c>
      <c r="N64" t="str">
        <f>HYPERLINK("https://www.commcarehq.org/a/demo-18/api/form/attachment/0578627a-d894-433a-835a-460a4a13702d/1584686841922.jpg")</f>
        <v>https://www.commcarehq.org/a/demo-18/api/form/attachment/0578627a-d894-433a-835a-460a4a13702d/1584686841922.jpg</v>
      </c>
      <c r="O64" t="str">
        <f>HYPERLINK("https://www.commcarehq.org/a/demo-18/api/form/attachment/0578627a-d894-433a-835a-460a4a13702d/1584686850547.jpg")</f>
        <v>https://www.commcarehq.org/a/demo-18/api/form/attachment/0578627a-d894-433a-835a-460a4a13702d/1584686850547.jpg</v>
      </c>
      <c r="P64" t="str">
        <f>HYPERLINK("https://www.commcarehq.org/a/demo-18/api/form/attachment/0578627a-d894-433a-835a-460a4a13702d/1584686866416.jpg")</f>
        <v>https://www.commcarehq.org/a/demo-18/api/form/attachment/0578627a-d894-433a-835a-460a4a13702d/1584686866416.jpg</v>
      </c>
      <c r="Q64" t="str">
        <f>HYPERLINK("https://www.commcarehq.org/a/demo-18/api/form/attachment/0578627a-d894-433a-835a-460a4a13702d/1584686875446.jpg")</f>
        <v>https://www.commcarehq.org/a/demo-18/api/form/attachment/0578627a-d894-433a-835a-460a4a13702d/1584686875446.jpg</v>
      </c>
      <c r="R64" s="2">
        <v>43910.28329861111</v>
      </c>
      <c r="S64" s="2">
        <v>43910.280127314814</v>
      </c>
      <c r="T64" t="s">
        <v>32</v>
      </c>
      <c r="U64" s="2">
        <v>43910.283518518518</v>
      </c>
      <c r="V64" t="s">
        <v>1685</v>
      </c>
      <c r="W64" t="s">
        <v>1686</v>
      </c>
    </row>
    <row r="65" spans="1:23" x14ac:dyDescent="0.45">
      <c r="A65" t="s">
        <v>334</v>
      </c>
      <c r="B65">
        <v>6.5</v>
      </c>
      <c r="C65" s="1">
        <v>43940</v>
      </c>
      <c r="D65" s="1">
        <v>43910</v>
      </c>
      <c r="E65" t="s">
        <v>428</v>
      </c>
      <c r="F65" t="s">
        <v>429</v>
      </c>
      <c r="G65" t="s">
        <v>429</v>
      </c>
      <c r="H65" t="s">
        <v>429</v>
      </c>
      <c r="I65" t="s">
        <v>1321</v>
      </c>
      <c r="J65" t="s">
        <v>428</v>
      </c>
      <c r="K65" t="s">
        <v>429</v>
      </c>
      <c r="L65" t="str">
        <f>HYPERLINK("https://www.commcarehq.org/a/demo-18/api/form/attachment/c251d942-cd2f-492c-8e68-5b776d5f5a34/1584689305389.jpg")</f>
        <v>https://www.commcarehq.org/a/demo-18/api/form/attachment/c251d942-cd2f-492c-8e68-5b776d5f5a34/1584689305389.jpg</v>
      </c>
      <c r="M65" t="str">
        <f>HYPERLINK("https://www.commcarehq.org/a/demo-18/api/form/attachment/c251d942-cd2f-492c-8e68-5b776d5f5a34/1584689319479.jpg")</f>
        <v>https://www.commcarehq.org/a/demo-18/api/form/attachment/c251d942-cd2f-492c-8e68-5b776d5f5a34/1584689319479.jpg</v>
      </c>
      <c r="N65" t="str">
        <f>HYPERLINK("https://www.commcarehq.org/a/demo-18/api/form/attachment/c251d942-cd2f-492c-8e68-5b776d5f5a34/1584689353836.jpg")</f>
        <v>https://www.commcarehq.org/a/demo-18/api/form/attachment/c251d942-cd2f-492c-8e68-5b776d5f5a34/1584689353836.jpg</v>
      </c>
      <c r="O65" t="str">
        <f>HYPERLINK("https://www.commcarehq.org/a/demo-18/api/form/attachment/c251d942-cd2f-492c-8e68-5b776d5f5a34/1584689364317.jpg")</f>
        <v>https://www.commcarehq.org/a/demo-18/api/form/attachment/c251d942-cd2f-492c-8e68-5b776d5f5a34/1584689364317.jpg</v>
      </c>
      <c r="P65" t="str">
        <f>HYPERLINK("https://www.commcarehq.org/a/demo-18/api/form/attachment/c251d942-cd2f-492c-8e68-5b776d5f5a34/1584689380836.jpg")</f>
        <v>https://www.commcarehq.org/a/demo-18/api/form/attachment/c251d942-cd2f-492c-8e68-5b776d5f5a34/1584689380836.jpg</v>
      </c>
      <c r="Q65" t="str">
        <f>HYPERLINK("https://www.commcarehq.org/a/demo-18/api/form/attachment/c251d942-cd2f-492c-8e68-5b776d5f5a34/1584689388972.jpg")</f>
        <v>https://www.commcarehq.org/a/demo-18/api/form/attachment/c251d942-cd2f-492c-8e68-5b776d5f5a34/1584689388972.jpg</v>
      </c>
      <c r="R65" s="2">
        <v>43910.312384259261</v>
      </c>
      <c r="S65" s="2">
        <v>43910.311018518521</v>
      </c>
      <c r="T65" t="s">
        <v>32</v>
      </c>
      <c r="U65" s="2">
        <v>43910.31287037037</v>
      </c>
      <c r="V65" t="s">
        <v>1627</v>
      </c>
      <c r="W65" t="s">
        <v>1628</v>
      </c>
    </row>
    <row r="66" spans="1:23" x14ac:dyDescent="0.45">
      <c r="A66" t="s">
        <v>128</v>
      </c>
      <c r="B66">
        <v>7.6</v>
      </c>
      <c r="C66" s="1">
        <v>43939</v>
      </c>
      <c r="D66" s="1">
        <v>43909</v>
      </c>
      <c r="E66" t="s">
        <v>428</v>
      </c>
      <c r="F66" t="s">
        <v>429</v>
      </c>
      <c r="G66" t="s">
        <v>429</v>
      </c>
      <c r="H66" t="s">
        <v>429</v>
      </c>
      <c r="I66" t="s">
        <v>579</v>
      </c>
      <c r="J66" t="s">
        <v>428</v>
      </c>
      <c r="K66" t="s">
        <v>429</v>
      </c>
      <c r="L66" t="str">
        <f>HYPERLINK("https://www.commcarehq.org/a/demo-18/api/form/attachment/9f3208bf-09a8-4a6f-a0a6-0266bc9acdd8/1584601913926.jpg")</f>
        <v>https://www.commcarehq.org/a/demo-18/api/form/attachment/9f3208bf-09a8-4a6f-a0a6-0266bc9acdd8/1584601913926.jpg</v>
      </c>
      <c r="M66" t="str">
        <f>HYPERLINK("https://www.commcarehq.org/a/demo-18/api/form/attachment/9f3208bf-09a8-4a6f-a0a6-0266bc9acdd8/1584601929802.jpg")</f>
        <v>https://www.commcarehq.org/a/demo-18/api/form/attachment/9f3208bf-09a8-4a6f-a0a6-0266bc9acdd8/1584601929802.jpg</v>
      </c>
      <c r="N66" t="str">
        <f>HYPERLINK("https://www.commcarehq.org/a/demo-18/api/form/attachment/9f3208bf-09a8-4a6f-a0a6-0266bc9acdd8/1584601961797.jpg")</f>
        <v>https://www.commcarehq.org/a/demo-18/api/form/attachment/9f3208bf-09a8-4a6f-a0a6-0266bc9acdd8/1584601961797.jpg</v>
      </c>
      <c r="O66" t="str">
        <f>HYPERLINK("https://www.commcarehq.org/a/demo-18/api/form/attachment/9f3208bf-09a8-4a6f-a0a6-0266bc9acdd8/1584601969413.jpg")</f>
        <v>https://www.commcarehq.org/a/demo-18/api/form/attachment/9f3208bf-09a8-4a6f-a0a6-0266bc9acdd8/1584601969413.jpg</v>
      </c>
      <c r="P66" t="str">
        <f>HYPERLINK("https://www.commcarehq.org/a/demo-18/api/form/attachment/9f3208bf-09a8-4a6f-a0a6-0266bc9acdd8/1584601990276.jpg")</f>
        <v>https://www.commcarehq.org/a/demo-18/api/form/attachment/9f3208bf-09a8-4a6f-a0a6-0266bc9acdd8/1584601990276.jpg</v>
      </c>
      <c r="Q66" t="str">
        <f>HYPERLINK("https://www.commcarehq.org/a/demo-18/api/form/attachment/9f3208bf-09a8-4a6f-a0a6-0266bc9acdd8/1584602000846.jpg")</f>
        <v>https://www.commcarehq.org/a/demo-18/api/form/attachment/9f3208bf-09a8-4a6f-a0a6-0266bc9acdd8/1584602000846.jpg</v>
      </c>
      <c r="R66" s="2">
        <v>43909.300949074073</v>
      </c>
      <c r="S66" s="2">
        <v>43909.299456018518</v>
      </c>
      <c r="T66" t="s">
        <v>32</v>
      </c>
      <c r="U66" s="2">
        <v>43909.301145833335</v>
      </c>
      <c r="V66" t="s">
        <v>1734</v>
      </c>
      <c r="W66" t="s">
        <v>1735</v>
      </c>
    </row>
    <row r="67" spans="1:23" x14ac:dyDescent="0.45">
      <c r="A67" t="s">
        <v>205</v>
      </c>
      <c r="B67">
        <v>6.9</v>
      </c>
      <c r="C67" s="1">
        <v>43943</v>
      </c>
      <c r="D67" s="1">
        <v>43913</v>
      </c>
      <c r="E67" t="s">
        <v>428</v>
      </c>
      <c r="F67" t="s">
        <v>429</v>
      </c>
      <c r="G67" t="s">
        <v>429</v>
      </c>
      <c r="H67" t="s">
        <v>429</v>
      </c>
      <c r="I67" t="s">
        <v>579</v>
      </c>
      <c r="J67" t="s">
        <v>428</v>
      </c>
      <c r="K67" t="s">
        <v>429</v>
      </c>
      <c r="L67" t="str">
        <f>HYPERLINK("https://www.commcarehq.org/a/demo-18/api/form/attachment/f049a3e3-524a-4dea-b733-9a8e2757fae0/1584953527124.jpg")</f>
        <v>https://www.commcarehq.org/a/demo-18/api/form/attachment/f049a3e3-524a-4dea-b733-9a8e2757fae0/1584953527124.jpg</v>
      </c>
      <c r="M67" t="str">
        <f>HYPERLINK("https://www.commcarehq.org/a/demo-18/api/form/attachment/f049a3e3-524a-4dea-b733-9a8e2757fae0/1584953543385.jpg")</f>
        <v>https://www.commcarehq.org/a/demo-18/api/form/attachment/f049a3e3-524a-4dea-b733-9a8e2757fae0/1584953543385.jpg</v>
      </c>
      <c r="N67" t="str">
        <f>HYPERLINK("https://www.commcarehq.org/a/demo-18/api/form/attachment/f049a3e3-524a-4dea-b733-9a8e2757fae0/1584953585993.jpg")</f>
        <v>https://www.commcarehq.org/a/demo-18/api/form/attachment/f049a3e3-524a-4dea-b733-9a8e2757fae0/1584953585993.jpg</v>
      </c>
      <c r="O67" t="str">
        <f>HYPERLINK("https://www.commcarehq.org/a/demo-18/api/form/attachment/f049a3e3-524a-4dea-b733-9a8e2757fae0/1584953594087.jpg")</f>
        <v>https://www.commcarehq.org/a/demo-18/api/form/attachment/f049a3e3-524a-4dea-b733-9a8e2757fae0/1584953594087.jpg</v>
      </c>
      <c r="P67" t="str">
        <f>HYPERLINK("https://www.commcarehq.org/a/demo-18/api/form/attachment/f049a3e3-524a-4dea-b733-9a8e2757fae0/1584953608729.jpg")</f>
        <v>https://www.commcarehq.org/a/demo-18/api/form/attachment/f049a3e3-524a-4dea-b733-9a8e2757fae0/1584953608729.jpg</v>
      </c>
      <c r="Q67" t="str">
        <f>HYPERLINK("https://www.commcarehq.org/a/demo-18/api/form/attachment/f049a3e3-524a-4dea-b733-9a8e2757fae0/1584953619137.jpg")</f>
        <v>https://www.commcarehq.org/a/demo-18/api/form/attachment/f049a3e3-524a-4dea-b733-9a8e2757fae0/1584953619137.jpg</v>
      </c>
      <c r="R67" s="2">
        <v>43913.370613425926</v>
      </c>
      <c r="S67" s="2">
        <v>43913.369120370371</v>
      </c>
      <c r="T67" t="s">
        <v>32</v>
      </c>
      <c r="U67" s="2">
        <v>43913.370972222219</v>
      </c>
      <c r="V67" t="s">
        <v>1675</v>
      </c>
      <c r="W67" t="s">
        <v>1676</v>
      </c>
    </row>
    <row r="68" spans="1:23" x14ac:dyDescent="0.45">
      <c r="A68" t="s">
        <v>131</v>
      </c>
      <c r="B68">
        <v>5.8</v>
      </c>
      <c r="C68" s="1">
        <v>43931</v>
      </c>
      <c r="D68" s="1">
        <v>43901</v>
      </c>
      <c r="E68" t="s">
        <v>428</v>
      </c>
      <c r="F68" t="s">
        <v>429</v>
      </c>
      <c r="G68" t="s">
        <v>429</v>
      </c>
      <c r="H68" t="s">
        <v>429</v>
      </c>
      <c r="I68" t="s">
        <v>579</v>
      </c>
      <c r="J68" t="s">
        <v>428</v>
      </c>
      <c r="K68" t="s">
        <v>429</v>
      </c>
      <c r="L68" t="str">
        <f>HYPERLINK("https://www.commcarehq.org/a/demo-18/api/form/attachment/8f31aabc-4b91-4fc3-8206-d430e487de2d/1583911126710.jpg")</f>
        <v>https://www.commcarehq.org/a/demo-18/api/form/attachment/8f31aabc-4b91-4fc3-8206-d430e487de2d/1583911126710.jpg</v>
      </c>
      <c r="M68" t="str">
        <f>HYPERLINK("https://www.commcarehq.org/a/demo-18/api/form/attachment/8f31aabc-4b91-4fc3-8206-d430e487de2d/1583911141626.jpg")</f>
        <v>https://www.commcarehq.org/a/demo-18/api/form/attachment/8f31aabc-4b91-4fc3-8206-d430e487de2d/1583911141626.jpg</v>
      </c>
      <c r="N68" t="str">
        <f>HYPERLINK("https://www.commcarehq.org/a/demo-18/api/form/attachment/8f31aabc-4b91-4fc3-8206-d430e487de2d/1583911199245.jpg")</f>
        <v>https://www.commcarehq.org/a/demo-18/api/form/attachment/8f31aabc-4b91-4fc3-8206-d430e487de2d/1583911199245.jpg</v>
      </c>
      <c r="O68" t="str">
        <f>HYPERLINK("https://www.commcarehq.org/a/demo-18/api/form/attachment/8f31aabc-4b91-4fc3-8206-d430e487de2d/1583911208132.jpg")</f>
        <v>https://www.commcarehq.org/a/demo-18/api/form/attachment/8f31aabc-4b91-4fc3-8206-d430e487de2d/1583911208132.jpg</v>
      </c>
      <c r="P68" t="str">
        <f>HYPERLINK("https://www.commcarehq.org/a/demo-18/api/form/attachment/8f31aabc-4b91-4fc3-8206-d430e487de2d/1583911225597.jpg")</f>
        <v>https://www.commcarehq.org/a/demo-18/api/form/attachment/8f31aabc-4b91-4fc3-8206-d430e487de2d/1583911225597.jpg</v>
      </c>
      <c r="Q68" t="str">
        <f>HYPERLINK("https://www.commcarehq.org/a/demo-18/api/form/attachment/8f31aabc-4b91-4fc3-8206-d430e487de2d/1583911234446.jpg")</f>
        <v>https://www.commcarehq.org/a/demo-18/api/form/attachment/8f31aabc-4b91-4fc3-8206-d430e487de2d/1583911234446.jpg</v>
      </c>
      <c r="R68" s="2">
        <v>43901.305972222224</v>
      </c>
      <c r="S68" s="2">
        <v>43901.304409722223</v>
      </c>
      <c r="T68" t="s">
        <v>32</v>
      </c>
      <c r="U68" s="2">
        <v>43901.306319444448</v>
      </c>
      <c r="V68" t="s">
        <v>1650</v>
      </c>
      <c r="W68" t="s">
        <v>1651</v>
      </c>
    </row>
    <row r="69" spans="1:23" x14ac:dyDescent="0.45">
      <c r="A69" t="s">
        <v>211</v>
      </c>
      <c r="B69">
        <v>6.2</v>
      </c>
      <c r="C69" s="1">
        <v>43939</v>
      </c>
      <c r="D69" s="1">
        <v>43909</v>
      </c>
      <c r="E69" t="s">
        <v>428</v>
      </c>
      <c r="F69" t="s">
        <v>429</v>
      </c>
      <c r="G69" t="s">
        <v>429</v>
      </c>
      <c r="H69" t="s">
        <v>429</v>
      </c>
      <c r="I69" t="s">
        <v>1660</v>
      </c>
      <c r="J69" t="s">
        <v>428</v>
      </c>
      <c r="K69" t="s">
        <v>429</v>
      </c>
      <c r="L69" t="str">
        <f>HYPERLINK("https://www.commcarehq.org/a/demo-18/api/form/attachment/0f0a84e1-9f50-4ef6-8665-2c4677f86fc7/1584607430374.jpg")</f>
        <v>https://www.commcarehq.org/a/demo-18/api/form/attachment/0f0a84e1-9f50-4ef6-8665-2c4677f86fc7/1584607430374.jpg</v>
      </c>
      <c r="M69" t="str">
        <f>HYPERLINK("https://www.commcarehq.org/a/demo-18/api/form/attachment/0f0a84e1-9f50-4ef6-8665-2c4677f86fc7/1584607444624.jpg")</f>
        <v>https://www.commcarehq.org/a/demo-18/api/form/attachment/0f0a84e1-9f50-4ef6-8665-2c4677f86fc7/1584607444624.jpg</v>
      </c>
      <c r="N69" t="str">
        <f>HYPERLINK("https://www.commcarehq.org/a/demo-18/api/form/attachment/0f0a84e1-9f50-4ef6-8665-2c4677f86fc7/1584607480832.jpg")</f>
        <v>https://www.commcarehq.org/a/demo-18/api/form/attachment/0f0a84e1-9f50-4ef6-8665-2c4677f86fc7/1584607480832.jpg</v>
      </c>
      <c r="O69" t="str">
        <f>HYPERLINK("https://www.commcarehq.org/a/demo-18/api/form/attachment/0f0a84e1-9f50-4ef6-8665-2c4677f86fc7/1584607489292.jpg")</f>
        <v>https://www.commcarehq.org/a/demo-18/api/form/attachment/0f0a84e1-9f50-4ef6-8665-2c4677f86fc7/1584607489292.jpg</v>
      </c>
      <c r="P69" t="str">
        <f>HYPERLINK("https://www.commcarehq.org/a/demo-18/api/form/attachment/0f0a84e1-9f50-4ef6-8665-2c4677f86fc7/1584607504111.jpg")</f>
        <v>https://www.commcarehq.org/a/demo-18/api/form/attachment/0f0a84e1-9f50-4ef6-8665-2c4677f86fc7/1584607504111.jpg</v>
      </c>
      <c r="Q69" t="str">
        <f>HYPERLINK("https://www.commcarehq.org/a/demo-18/api/form/attachment/0f0a84e1-9f50-4ef6-8665-2c4677f86fc7/1584607514235.jpg")</f>
        <v>https://www.commcarehq.org/a/demo-18/api/form/attachment/0f0a84e1-9f50-4ef6-8665-2c4677f86fc7/1584607514235.jpg</v>
      </c>
      <c r="R69" s="2">
        <v>43909.364768518521</v>
      </c>
      <c r="S69" s="2">
        <v>43909.36310185185</v>
      </c>
      <c r="T69" t="s">
        <v>32</v>
      </c>
      <c r="U69" s="2">
        <v>43909.365034722221</v>
      </c>
      <c r="V69" t="s">
        <v>1661</v>
      </c>
      <c r="W69" t="s">
        <v>1662</v>
      </c>
    </row>
    <row r="70" spans="1:23" x14ac:dyDescent="0.45">
      <c r="A70" t="s">
        <v>134</v>
      </c>
      <c r="B70">
        <v>6.6</v>
      </c>
      <c r="C70" s="1">
        <v>43940</v>
      </c>
      <c r="D70" s="1">
        <v>43910</v>
      </c>
      <c r="E70" t="s">
        <v>428</v>
      </c>
      <c r="F70" t="s">
        <v>429</v>
      </c>
      <c r="G70" t="s">
        <v>429</v>
      </c>
      <c r="H70" t="s">
        <v>429</v>
      </c>
      <c r="I70" t="s">
        <v>1321</v>
      </c>
      <c r="J70" t="s">
        <v>428</v>
      </c>
      <c r="K70" t="s">
        <v>429</v>
      </c>
      <c r="L70" t="str">
        <f>HYPERLINK("https://www.commcarehq.org/a/demo-18/api/form/attachment/90cf2f97-1711-4875-9db0-e7925d3d0cea/1584695119413.jpg")</f>
        <v>https://www.commcarehq.org/a/demo-18/api/form/attachment/90cf2f97-1711-4875-9db0-e7925d3d0cea/1584695119413.jpg</v>
      </c>
      <c r="M70" t="str">
        <f>HYPERLINK("https://www.commcarehq.org/a/demo-18/api/form/attachment/90cf2f97-1711-4875-9db0-e7925d3d0cea/1584695133947.jpg")</f>
        <v>https://www.commcarehq.org/a/demo-18/api/form/attachment/90cf2f97-1711-4875-9db0-e7925d3d0cea/1584695133947.jpg</v>
      </c>
      <c r="N70" t="str">
        <f>HYPERLINK("https://www.commcarehq.org/a/demo-18/api/form/attachment/90cf2f97-1711-4875-9db0-e7925d3d0cea/1584695162586.jpg")</f>
        <v>https://www.commcarehq.org/a/demo-18/api/form/attachment/90cf2f97-1711-4875-9db0-e7925d3d0cea/1584695162586.jpg</v>
      </c>
      <c r="O70" t="str">
        <f>HYPERLINK("https://www.commcarehq.org/a/demo-18/api/form/attachment/90cf2f97-1711-4875-9db0-e7925d3d0cea/1584695171019.jpg")</f>
        <v>https://www.commcarehq.org/a/demo-18/api/form/attachment/90cf2f97-1711-4875-9db0-e7925d3d0cea/1584695171019.jpg</v>
      </c>
      <c r="P70" t="str">
        <f>HYPERLINK("https://www.commcarehq.org/a/demo-18/api/form/attachment/90cf2f97-1711-4875-9db0-e7925d3d0cea/1584695186786.jpg")</f>
        <v>https://www.commcarehq.org/a/demo-18/api/form/attachment/90cf2f97-1711-4875-9db0-e7925d3d0cea/1584695186786.jpg</v>
      </c>
      <c r="Q70" t="str">
        <f>HYPERLINK("https://www.commcarehq.org/a/demo-18/api/form/attachment/90cf2f97-1711-4875-9db0-e7925d3d0cea/1584695194382.jpg")</f>
        <v>https://www.commcarehq.org/a/demo-18/api/form/attachment/90cf2f97-1711-4875-9db0-e7925d3d0cea/1584695194382.jpg</v>
      </c>
      <c r="R70" s="2">
        <v>43910.379583333335</v>
      </c>
      <c r="S70" s="2">
        <v>43910.378298611111</v>
      </c>
      <c r="T70" t="s">
        <v>32</v>
      </c>
      <c r="U70" s="2">
        <v>43910.419085648151</v>
      </c>
      <c r="V70" t="s">
        <v>1699</v>
      </c>
      <c r="W70" t="s">
        <v>1700</v>
      </c>
    </row>
    <row r="71" spans="1:23" x14ac:dyDescent="0.45">
      <c r="A71" t="s">
        <v>268</v>
      </c>
      <c r="B71">
        <v>8.1999999999999993</v>
      </c>
      <c r="C71" s="1">
        <v>43940</v>
      </c>
      <c r="D71" s="1">
        <v>43910</v>
      </c>
      <c r="E71" t="s">
        <v>428</v>
      </c>
      <c r="F71" t="s">
        <v>429</v>
      </c>
      <c r="G71" t="s">
        <v>429</v>
      </c>
      <c r="H71" t="s">
        <v>429</v>
      </c>
      <c r="I71" t="s">
        <v>1321</v>
      </c>
      <c r="J71" t="s">
        <v>428</v>
      </c>
      <c r="K71" t="s">
        <v>429</v>
      </c>
      <c r="L71" t="str">
        <f>HYPERLINK("https://www.commcarehq.org/a/demo-18/api/form/attachment/c2012c8b-a8b8-4ed3-8b01-3392b15811b9/1584691976424.jpg")</f>
        <v>https://www.commcarehq.org/a/demo-18/api/form/attachment/c2012c8b-a8b8-4ed3-8b01-3392b15811b9/1584691976424.jpg</v>
      </c>
      <c r="M71" t="str">
        <f>HYPERLINK("https://www.commcarehq.org/a/demo-18/api/form/attachment/c2012c8b-a8b8-4ed3-8b01-3392b15811b9/1584691993179.jpg")</f>
        <v>https://www.commcarehq.org/a/demo-18/api/form/attachment/c2012c8b-a8b8-4ed3-8b01-3392b15811b9/1584691993179.jpg</v>
      </c>
      <c r="N71" t="str">
        <f>HYPERLINK("https://www.commcarehq.org/a/demo-18/api/form/attachment/c2012c8b-a8b8-4ed3-8b01-3392b15811b9/1584692028129.jpg")</f>
        <v>https://www.commcarehq.org/a/demo-18/api/form/attachment/c2012c8b-a8b8-4ed3-8b01-3392b15811b9/1584692028129.jpg</v>
      </c>
      <c r="O71" t="str">
        <f>HYPERLINK("https://www.commcarehq.org/a/demo-18/api/form/attachment/c2012c8b-a8b8-4ed3-8b01-3392b15811b9/1584692039439.jpg")</f>
        <v>https://www.commcarehq.org/a/demo-18/api/form/attachment/c2012c8b-a8b8-4ed3-8b01-3392b15811b9/1584692039439.jpg</v>
      </c>
      <c r="P71" t="str">
        <f>HYPERLINK("https://www.commcarehq.org/a/demo-18/api/form/attachment/c2012c8b-a8b8-4ed3-8b01-3392b15811b9/1584692112773.jpg")</f>
        <v>https://www.commcarehq.org/a/demo-18/api/form/attachment/c2012c8b-a8b8-4ed3-8b01-3392b15811b9/1584692112773.jpg</v>
      </c>
      <c r="Q71" t="str">
        <f>HYPERLINK("https://www.commcarehq.org/a/demo-18/api/form/attachment/c2012c8b-a8b8-4ed3-8b01-3392b15811b9/1584692129855.jpg")</f>
        <v>https://www.commcarehq.org/a/demo-18/api/form/attachment/c2012c8b-a8b8-4ed3-8b01-3392b15811b9/1584692129855.jpg</v>
      </c>
      <c r="R71" s="2">
        <v>43910.344108796293</v>
      </c>
      <c r="S71" s="2">
        <v>43910.341863425929</v>
      </c>
      <c r="T71" t="s">
        <v>32</v>
      </c>
      <c r="U71" s="2">
        <v>43910.34578703704</v>
      </c>
      <c r="V71" t="s">
        <v>1728</v>
      </c>
      <c r="W71" t="s">
        <v>1729</v>
      </c>
    </row>
    <row r="72" spans="1:23" x14ac:dyDescent="0.45">
      <c r="A72" t="s">
        <v>337</v>
      </c>
      <c r="B72">
        <v>6.7</v>
      </c>
      <c r="C72" s="1">
        <v>43919</v>
      </c>
      <c r="D72" s="1">
        <v>43889</v>
      </c>
      <c r="E72" t="s">
        <v>428</v>
      </c>
      <c r="F72" t="s">
        <v>429</v>
      </c>
      <c r="G72" t="s">
        <v>429</v>
      </c>
      <c r="H72" t="s">
        <v>429</v>
      </c>
      <c r="I72" t="s">
        <v>498</v>
      </c>
      <c r="J72" t="s">
        <v>428</v>
      </c>
      <c r="K72" t="s">
        <v>429</v>
      </c>
      <c r="L72" t="str">
        <f>HYPERLINK("https://www.commcarehq.org/a/demo-18/api/form/attachment/918f9aea-7b86-49f8-abc6-ae7ac273c1b5/1582871420634.jpg")</f>
        <v>https://www.commcarehq.org/a/demo-18/api/form/attachment/918f9aea-7b86-49f8-abc6-ae7ac273c1b5/1582871420634.jpg</v>
      </c>
      <c r="M72" t="str">
        <f>HYPERLINK("https://www.commcarehq.org/a/demo-18/api/form/attachment/918f9aea-7b86-49f8-abc6-ae7ac273c1b5/1582871433787.jpg")</f>
        <v>https://www.commcarehq.org/a/demo-18/api/form/attachment/918f9aea-7b86-49f8-abc6-ae7ac273c1b5/1582871433787.jpg</v>
      </c>
      <c r="N72" t="str">
        <f>HYPERLINK("https://www.commcarehq.org/a/demo-18/api/form/attachment/918f9aea-7b86-49f8-abc6-ae7ac273c1b5/1582871472856.jpg")</f>
        <v>https://www.commcarehq.org/a/demo-18/api/form/attachment/918f9aea-7b86-49f8-abc6-ae7ac273c1b5/1582871472856.jpg</v>
      </c>
      <c r="O72" t="str">
        <f>HYPERLINK("https://www.commcarehq.org/a/demo-18/api/form/attachment/918f9aea-7b86-49f8-abc6-ae7ac273c1b5/1582871483803.jpg")</f>
        <v>https://www.commcarehq.org/a/demo-18/api/form/attachment/918f9aea-7b86-49f8-abc6-ae7ac273c1b5/1582871483803.jpg</v>
      </c>
      <c r="P72" t="str">
        <f>HYPERLINK("https://www.commcarehq.org/a/demo-18/api/form/attachment/918f9aea-7b86-49f8-abc6-ae7ac273c1b5/1582871513884.jpg")</f>
        <v>https://www.commcarehq.org/a/demo-18/api/form/attachment/918f9aea-7b86-49f8-abc6-ae7ac273c1b5/1582871513884.jpg</v>
      </c>
      <c r="Q72" t="str">
        <f>HYPERLINK("https://www.commcarehq.org/a/demo-18/api/form/attachment/918f9aea-7b86-49f8-abc6-ae7ac273c1b5/1582871525742.jpg")</f>
        <v>https://www.commcarehq.org/a/demo-18/api/form/attachment/918f9aea-7b86-49f8-abc6-ae7ac273c1b5/1582871525742.jpg</v>
      </c>
      <c r="R72" s="2">
        <v>43889.272303240738</v>
      </c>
      <c r="S72" s="2">
        <v>43889.270358796297</v>
      </c>
      <c r="T72" t="s">
        <v>32</v>
      </c>
      <c r="U72" s="2">
        <v>43889.272592592592</v>
      </c>
      <c r="V72" t="s">
        <v>1652</v>
      </c>
      <c r="W72" t="s">
        <v>1653</v>
      </c>
    </row>
    <row r="73" spans="1:23" x14ac:dyDescent="0.45">
      <c r="A73" t="s">
        <v>56</v>
      </c>
      <c r="B73">
        <v>6</v>
      </c>
      <c r="C73" s="1">
        <v>43943</v>
      </c>
      <c r="D73" s="1">
        <v>43913</v>
      </c>
      <c r="E73" t="s">
        <v>428</v>
      </c>
      <c r="F73" t="s">
        <v>429</v>
      </c>
      <c r="G73" t="s">
        <v>429</v>
      </c>
      <c r="H73" t="s">
        <v>429</v>
      </c>
      <c r="I73" t="s">
        <v>1321</v>
      </c>
      <c r="J73" t="s">
        <v>428</v>
      </c>
      <c r="K73" t="s">
        <v>429</v>
      </c>
      <c r="L73" t="str">
        <f>HYPERLINK("https://www.commcarehq.org/a/demo-18/api/form/attachment/8c4e9ccd-ca79-4c69-8540-0c57658a196b/1584949473603.jpg")</f>
        <v>https://www.commcarehq.org/a/demo-18/api/form/attachment/8c4e9ccd-ca79-4c69-8540-0c57658a196b/1584949473603.jpg</v>
      </c>
      <c r="M73" t="str">
        <f>HYPERLINK("https://www.commcarehq.org/a/demo-18/api/form/attachment/8c4e9ccd-ca79-4c69-8540-0c57658a196b/1584949486623.jpg")</f>
        <v>https://www.commcarehq.org/a/demo-18/api/form/attachment/8c4e9ccd-ca79-4c69-8540-0c57658a196b/1584949486623.jpg</v>
      </c>
      <c r="N73" t="str">
        <f>HYPERLINK("https://www.commcarehq.org/a/demo-18/api/form/attachment/8c4e9ccd-ca79-4c69-8540-0c57658a196b/1584949551900.jpg")</f>
        <v>https://www.commcarehq.org/a/demo-18/api/form/attachment/8c4e9ccd-ca79-4c69-8540-0c57658a196b/1584949551900.jpg</v>
      </c>
      <c r="O73" t="str">
        <f>HYPERLINK("https://www.commcarehq.org/a/demo-18/api/form/attachment/8c4e9ccd-ca79-4c69-8540-0c57658a196b/1584949565390.jpg")</f>
        <v>https://www.commcarehq.org/a/demo-18/api/form/attachment/8c4e9ccd-ca79-4c69-8540-0c57658a196b/1584949565390.jpg</v>
      </c>
      <c r="P73" t="str">
        <f>HYPERLINK("https://www.commcarehq.org/a/demo-18/api/form/attachment/8c4e9ccd-ca79-4c69-8540-0c57658a196b/1584949582703.jpg")</f>
        <v>https://www.commcarehq.org/a/demo-18/api/form/attachment/8c4e9ccd-ca79-4c69-8540-0c57658a196b/1584949582703.jpg</v>
      </c>
      <c r="Q73" t="str">
        <f>HYPERLINK("https://www.commcarehq.org/a/demo-18/api/form/attachment/8c4e9ccd-ca79-4c69-8540-0c57658a196b/1584949591055.jpg")</f>
        <v>https://www.commcarehq.org/a/demo-18/api/form/attachment/8c4e9ccd-ca79-4c69-8540-0c57658a196b/1584949591055.jpg</v>
      </c>
      <c r="R73" s="2">
        <v>43913.323993055557</v>
      </c>
      <c r="S73" s="2">
        <v>43913.322245370371</v>
      </c>
      <c r="T73" t="s">
        <v>32</v>
      </c>
      <c r="U73" s="2">
        <v>43913.324212962965</v>
      </c>
      <c r="V73" t="s">
        <v>1726</v>
      </c>
      <c r="W73" t="s">
        <v>1727</v>
      </c>
    </row>
    <row r="74" spans="1:23" x14ac:dyDescent="0.45">
      <c r="A74" t="s">
        <v>119</v>
      </c>
      <c r="B74">
        <v>7.5</v>
      </c>
      <c r="C74" s="1">
        <v>43938</v>
      </c>
      <c r="D74" s="1">
        <v>43908</v>
      </c>
      <c r="E74" t="s">
        <v>428</v>
      </c>
      <c r="F74" t="s">
        <v>429</v>
      </c>
      <c r="G74" t="s">
        <v>429</v>
      </c>
      <c r="H74" t="s">
        <v>429</v>
      </c>
      <c r="I74" t="s">
        <v>1639</v>
      </c>
      <c r="J74" t="s">
        <v>428</v>
      </c>
      <c r="K74" t="s">
        <v>429</v>
      </c>
      <c r="L74" t="str">
        <f>HYPERLINK("https://www.commcarehq.org/a/demo-18/api/form/attachment/c07955b8-87e5-4d9b-a091-2c6cea3b2681/1584520360089.jpg")</f>
        <v>https://www.commcarehq.org/a/demo-18/api/form/attachment/c07955b8-87e5-4d9b-a091-2c6cea3b2681/1584520360089.jpg</v>
      </c>
      <c r="M74" t="str">
        <f>HYPERLINK("https://www.commcarehq.org/a/demo-18/api/form/attachment/c07955b8-87e5-4d9b-a091-2c6cea3b2681/1584520372152.jpg")</f>
        <v>https://www.commcarehq.org/a/demo-18/api/form/attachment/c07955b8-87e5-4d9b-a091-2c6cea3b2681/1584520372152.jpg</v>
      </c>
      <c r="N74" t="str">
        <f>HYPERLINK("https://www.commcarehq.org/a/demo-18/api/form/attachment/c07955b8-87e5-4d9b-a091-2c6cea3b2681/1584520469880.jpg")</f>
        <v>https://www.commcarehq.org/a/demo-18/api/form/attachment/c07955b8-87e5-4d9b-a091-2c6cea3b2681/1584520469880.jpg</v>
      </c>
      <c r="O74" t="str">
        <f>HYPERLINK("https://www.commcarehq.org/a/demo-18/api/form/attachment/c07955b8-87e5-4d9b-a091-2c6cea3b2681/1584520482612.jpg")</f>
        <v>https://www.commcarehq.org/a/demo-18/api/form/attachment/c07955b8-87e5-4d9b-a091-2c6cea3b2681/1584520482612.jpg</v>
      </c>
      <c r="P74" t="str">
        <f>HYPERLINK("https://www.commcarehq.org/a/demo-18/api/form/attachment/c07955b8-87e5-4d9b-a091-2c6cea3b2681/1584520501757.jpg")</f>
        <v>https://www.commcarehq.org/a/demo-18/api/form/attachment/c07955b8-87e5-4d9b-a091-2c6cea3b2681/1584520501757.jpg</v>
      </c>
      <c r="Q74" t="str">
        <f>HYPERLINK("https://www.commcarehq.org/a/demo-18/api/form/attachment/c07955b8-87e5-4d9b-a091-2c6cea3b2681/1584520514388.jpg")</f>
        <v>https://www.commcarehq.org/a/demo-18/api/form/attachment/c07955b8-87e5-4d9b-a091-2c6cea3b2681/1584520514388.jpg</v>
      </c>
      <c r="R74" s="2">
        <v>43908.357870370368</v>
      </c>
      <c r="S74" s="2">
        <v>43908.355428240742</v>
      </c>
      <c r="T74" t="s">
        <v>32</v>
      </c>
      <c r="U74" s="2">
        <v>43908.358101851853</v>
      </c>
      <c r="V74" t="s">
        <v>1640</v>
      </c>
      <c r="W74" t="s">
        <v>1641</v>
      </c>
    </row>
    <row r="75" spans="1:23" x14ac:dyDescent="0.45">
      <c r="A75" t="s">
        <v>214</v>
      </c>
      <c r="B75">
        <v>7</v>
      </c>
      <c r="C75" s="1">
        <v>43940</v>
      </c>
      <c r="D75" s="1">
        <v>43910</v>
      </c>
      <c r="E75" t="s">
        <v>428</v>
      </c>
      <c r="F75" t="s">
        <v>429</v>
      </c>
      <c r="G75" t="s">
        <v>429</v>
      </c>
      <c r="H75" t="s">
        <v>429</v>
      </c>
      <c r="I75" t="s">
        <v>579</v>
      </c>
      <c r="J75" t="s">
        <v>428</v>
      </c>
      <c r="K75" t="s">
        <v>429</v>
      </c>
      <c r="L75" t="str">
        <f>HYPERLINK("https://www.commcarehq.org/a/demo-18/api/form/attachment/898b2e17-2f4a-4cf2-b0cf-34b427ec60d2/1584684178908.jpg")</f>
        <v>https://www.commcarehq.org/a/demo-18/api/form/attachment/898b2e17-2f4a-4cf2-b0cf-34b427ec60d2/1584684178908.jpg</v>
      </c>
      <c r="M75" t="str">
        <f>HYPERLINK("https://www.commcarehq.org/a/demo-18/api/form/attachment/898b2e17-2f4a-4cf2-b0cf-34b427ec60d2/1584684201382.jpg")</f>
        <v>https://www.commcarehq.org/a/demo-18/api/form/attachment/898b2e17-2f4a-4cf2-b0cf-34b427ec60d2/1584684201382.jpg</v>
      </c>
      <c r="N75" t="str">
        <f>HYPERLINK("https://www.commcarehq.org/a/demo-18/api/form/attachment/898b2e17-2f4a-4cf2-b0cf-34b427ec60d2/1584684289401.jpg")</f>
        <v>https://www.commcarehq.org/a/demo-18/api/form/attachment/898b2e17-2f4a-4cf2-b0cf-34b427ec60d2/1584684289401.jpg</v>
      </c>
      <c r="O75" t="str">
        <f>HYPERLINK("https://www.commcarehq.org/a/demo-18/api/form/attachment/898b2e17-2f4a-4cf2-b0cf-34b427ec60d2/1584684298799.jpg")</f>
        <v>https://www.commcarehq.org/a/demo-18/api/form/attachment/898b2e17-2f4a-4cf2-b0cf-34b427ec60d2/1584684298799.jpg</v>
      </c>
      <c r="P75" t="str">
        <f>HYPERLINK("https://www.commcarehq.org/a/demo-18/api/form/attachment/898b2e17-2f4a-4cf2-b0cf-34b427ec60d2/1584684318031.jpg")</f>
        <v>https://www.commcarehq.org/a/demo-18/api/form/attachment/898b2e17-2f4a-4cf2-b0cf-34b427ec60d2/1584684318031.jpg</v>
      </c>
      <c r="Q75" t="str">
        <f>HYPERLINK("https://www.commcarehq.org/a/demo-18/api/form/attachment/898b2e17-2f4a-4cf2-b0cf-34b427ec60d2/1584684330679.jpg")</f>
        <v>https://www.commcarehq.org/a/demo-18/api/form/attachment/898b2e17-2f4a-4cf2-b0cf-34b427ec60d2/1584684330679.jpg</v>
      </c>
      <c r="R75" s="2">
        <v>43910.253900462965</v>
      </c>
      <c r="S75" s="2">
        <v>43910.251342592594</v>
      </c>
      <c r="T75" t="s">
        <v>32</v>
      </c>
      <c r="U75" s="2">
        <v>43910.25409722222</v>
      </c>
      <c r="V75" t="s">
        <v>1679</v>
      </c>
      <c r="W75" t="s">
        <v>1680</v>
      </c>
    </row>
    <row r="76" spans="1:23" x14ac:dyDescent="0.45">
      <c r="A76" t="s">
        <v>271</v>
      </c>
      <c r="B76">
        <v>7.3</v>
      </c>
      <c r="C76" s="1">
        <v>43940</v>
      </c>
      <c r="D76" s="1">
        <v>43910</v>
      </c>
      <c r="E76" t="s">
        <v>428</v>
      </c>
      <c r="F76" t="s">
        <v>429</v>
      </c>
      <c r="G76" t="s">
        <v>429</v>
      </c>
      <c r="H76" t="s">
        <v>429</v>
      </c>
      <c r="I76" t="s">
        <v>1321</v>
      </c>
      <c r="J76" t="s">
        <v>428</v>
      </c>
      <c r="K76" t="s">
        <v>429</v>
      </c>
      <c r="L76" t="str">
        <f>HYPERLINK("https://www.commcarehq.org/a/demo-18/api/form/attachment/ab640af2-5b64-4bc2-8e4c-dabe4e1fe7a7/1584693647328.jpg")</f>
        <v>https://www.commcarehq.org/a/demo-18/api/form/attachment/ab640af2-5b64-4bc2-8e4c-dabe4e1fe7a7/1584693647328.jpg</v>
      </c>
      <c r="M76" t="str">
        <f>HYPERLINK("https://www.commcarehq.org/a/demo-18/api/form/attachment/ab640af2-5b64-4bc2-8e4c-dabe4e1fe7a7/1584693660011.jpg")</f>
        <v>https://www.commcarehq.org/a/demo-18/api/form/attachment/ab640af2-5b64-4bc2-8e4c-dabe4e1fe7a7/1584693660011.jpg</v>
      </c>
      <c r="N76" t="str">
        <f>HYPERLINK("https://www.commcarehq.org/a/demo-18/api/form/attachment/ab640af2-5b64-4bc2-8e4c-dabe4e1fe7a7/1584693705937.jpg")</f>
        <v>https://www.commcarehq.org/a/demo-18/api/form/attachment/ab640af2-5b64-4bc2-8e4c-dabe4e1fe7a7/1584693705937.jpg</v>
      </c>
      <c r="O76" t="str">
        <f>HYPERLINK("https://www.commcarehq.org/a/demo-18/api/form/attachment/ab640af2-5b64-4bc2-8e4c-dabe4e1fe7a7/1584693713445.jpg")</f>
        <v>https://www.commcarehq.org/a/demo-18/api/form/attachment/ab640af2-5b64-4bc2-8e4c-dabe4e1fe7a7/1584693713445.jpg</v>
      </c>
      <c r="P76" t="str">
        <f>HYPERLINK("https://www.commcarehq.org/a/demo-18/api/form/attachment/ab640af2-5b64-4bc2-8e4c-dabe4e1fe7a7/1584693732254.jpg")</f>
        <v>https://www.commcarehq.org/a/demo-18/api/form/attachment/ab640af2-5b64-4bc2-8e4c-dabe4e1fe7a7/1584693732254.jpg</v>
      </c>
      <c r="Q76" t="str">
        <f>HYPERLINK("https://www.commcarehq.org/a/demo-18/api/form/attachment/ab640af2-5b64-4bc2-8e4c-dabe4e1fe7a7/1584693739601.jpg")</f>
        <v>https://www.commcarehq.org/a/demo-18/api/form/attachment/ab640af2-5b64-4bc2-8e4c-dabe4e1fe7a7/1584693739601.jpg</v>
      </c>
      <c r="R76" s="2">
        <v>43910.362743055557</v>
      </c>
      <c r="S76" s="2">
        <v>43910.361377314817</v>
      </c>
      <c r="T76" t="s">
        <v>32</v>
      </c>
      <c r="U76" s="2">
        <v>43910.414456018516</v>
      </c>
      <c r="V76" t="s">
        <v>1681</v>
      </c>
      <c r="W76" t="s">
        <v>1682</v>
      </c>
    </row>
    <row r="77" spans="1:23" x14ac:dyDescent="0.45">
      <c r="A77" t="s">
        <v>41</v>
      </c>
      <c r="B77">
        <v>8.1999999999999993</v>
      </c>
      <c r="C77" s="1">
        <v>43946</v>
      </c>
      <c r="D77" s="1">
        <v>43916</v>
      </c>
      <c r="E77" t="s">
        <v>428</v>
      </c>
      <c r="F77" t="s">
        <v>429</v>
      </c>
      <c r="G77" t="s">
        <v>429</v>
      </c>
      <c r="H77" t="s">
        <v>429</v>
      </c>
      <c r="I77" t="s">
        <v>1321</v>
      </c>
      <c r="J77" t="s">
        <v>428</v>
      </c>
      <c r="K77" t="s">
        <v>429</v>
      </c>
      <c r="L77" t="str">
        <f>HYPERLINK("https://www.commcarehq.org/a/demo-18/api/form/attachment/dc62959c-f81a-483e-8cfc-32222758fdec/1585206417972.jpg")</f>
        <v>https://www.commcarehq.org/a/demo-18/api/form/attachment/dc62959c-f81a-483e-8cfc-32222758fdec/1585206417972.jpg</v>
      </c>
      <c r="M77" t="str">
        <f>HYPERLINK("https://www.commcarehq.org/a/demo-18/api/form/attachment/dc62959c-f81a-483e-8cfc-32222758fdec/1585206433592.jpg")</f>
        <v>https://www.commcarehq.org/a/demo-18/api/form/attachment/dc62959c-f81a-483e-8cfc-32222758fdec/1585206433592.jpg</v>
      </c>
      <c r="N77" t="str">
        <f>HYPERLINK("https://www.commcarehq.org/a/demo-18/api/form/attachment/dc62959c-f81a-483e-8cfc-32222758fdec/1585206475680.jpg")</f>
        <v>https://www.commcarehq.org/a/demo-18/api/form/attachment/dc62959c-f81a-483e-8cfc-32222758fdec/1585206475680.jpg</v>
      </c>
      <c r="O77" t="str">
        <f>HYPERLINK("https://www.commcarehq.org/a/demo-18/api/form/attachment/dc62959c-f81a-483e-8cfc-32222758fdec/1585206484030.jpg")</f>
        <v>https://www.commcarehq.org/a/demo-18/api/form/attachment/dc62959c-f81a-483e-8cfc-32222758fdec/1585206484030.jpg</v>
      </c>
      <c r="P77" t="str">
        <f>HYPERLINK("https://www.commcarehq.org/a/demo-18/api/form/attachment/dc62959c-f81a-483e-8cfc-32222758fdec/1585206499931.jpg")</f>
        <v>https://www.commcarehq.org/a/demo-18/api/form/attachment/dc62959c-f81a-483e-8cfc-32222758fdec/1585206499931.jpg</v>
      </c>
      <c r="Q77" t="str">
        <f>HYPERLINK("https://www.commcarehq.org/a/demo-18/api/form/attachment/dc62959c-f81a-483e-8cfc-32222758fdec/1585206508301.jpg")</f>
        <v>https://www.commcarehq.org/a/demo-18/api/form/attachment/dc62959c-f81a-483e-8cfc-32222758fdec/1585206508301.jpg</v>
      </c>
      <c r="R77" s="2">
        <v>43916.297569444447</v>
      </c>
      <c r="S77" s="2">
        <v>43916.294722222221</v>
      </c>
      <c r="T77" t="s">
        <v>32</v>
      </c>
      <c r="U77" s="2">
        <v>43916.297812500001</v>
      </c>
      <c r="V77" t="s">
        <v>1740</v>
      </c>
      <c r="W77" t="s">
        <v>1741</v>
      </c>
    </row>
    <row r="78" spans="1:23" x14ac:dyDescent="0.45">
      <c r="A78" t="s">
        <v>44</v>
      </c>
      <c r="B78">
        <v>6.5</v>
      </c>
      <c r="C78" s="1">
        <v>43943</v>
      </c>
      <c r="D78" s="1">
        <v>43913</v>
      </c>
      <c r="E78" t="s">
        <v>428</v>
      </c>
      <c r="F78" t="s">
        <v>429</v>
      </c>
      <c r="G78" t="s">
        <v>429</v>
      </c>
      <c r="H78" t="s">
        <v>429</v>
      </c>
      <c r="I78" t="s">
        <v>1310</v>
      </c>
      <c r="J78" t="s">
        <v>428</v>
      </c>
      <c r="K78" t="s">
        <v>429</v>
      </c>
      <c r="L78" t="str">
        <f>HYPERLINK("https://www.commcarehq.org/a/demo-18/api/form/attachment/4567f3b5-46bc-4a4b-89dd-cbc1aa0badb7/1584948039000.jpg")</f>
        <v>https://www.commcarehq.org/a/demo-18/api/form/attachment/4567f3b5-46bc-4a4b-89dd-cbc1aa0badb7/1584948039000.jpg</v>
      </c>
      <c r="M78" t="str">
        <f>HYPERLINK("https://www.commcarehq.org/a/demo-18/api/form/attachment/4567f3b5-46bc-4a4b-89dd-cbc1aa0badb7/1584948055161.jpg")</f>
        <v>https://www.commcarehq.org/a/demo-18/api/form/attachment/4567f3b5-46bc-4a4b-89dd-cbc1aa0badb7/1584948055161.jpg</v>
      </c>
      <c r="N78" t="str">
        <f>HYPERLINK("https://www.commcarehq.org/a/demo-18/api/form/attachment/4567f3b5-46bc-4a4b-89dd-cbc1aa0badb7/1584948119740.jpg")</f>
        <v>https://www.commcarehq.org/a/demo-18/api/form/attachment/4567f3b5-46bc-4a4b-89dd-cbc1aa0badb7/1584948119740.jpg</v>
      </c>
      <c r="O78" t="str">
        <f>HYPERLINK("https://www.commcarehq.org/a/demo-18/api/form/attachment/4567f3b5-46bc-4a4b-89dd-cbc1aa0badb7/1584948129054.jpg")</f>
        <v>https://www.commcarehq.org/a/demo-18/api/form/attachment/4567f3b5-46bc-4a4b-89dd-cbc1aa0badb7/1584948129054.jpg</v>
      </c>
      <c r="P78" t="str">
        <f>HYPERLINK("https://www.commcarehq.org/a/demo-18/api/form/attachment/4567f3b5-46bc-4a4b-89dd-cbc1aa0badb7/1584948144609.jpg")</f>
        <v>https://www.commcarehq.org/a/demo-18/api/form/attachment/4567f3b5-46bc-4a4b-89dd-cbc1aa0badb7/1584948144609.jpg</v>
      </c>
      <c r="Q78" t="str">
        <f>HYPERLINK("https://www.commcarehq.org/a/demo-18/api/form/attachment/4567f3b5-46bc-4a4b-89dd-cbc1aa0badb7/1584948156429.jpg")</f>
        <v>https://www.commcarehq.org/a/demo-18/api/form/attachment/4567f3b5-46bc-4a4b-89dd-cbc1aa0badb7/1584948156429.jpg</v>
      </c>
      <c r="R78" s="2">
        <v>43913.307384259257</v>
      </c>
      <c r="S78" s="2">
        <v>43913.305509259262</v>
      </c>
      <c r="T78" t="s">
        <v>32</v>
      </c>
      <c r="U78" s="2">
        <v>43913.30773148148</v>
      </c>
      <c r="V78" t="s">
        <v>1695</v>
      </c>
      <c r="W78" t="s">
        <v>1696</v>
      </c>
    </row>
    <row r="79" spans="1:23" x14ac:dyDescent="0.45">
      <c r="A79" t="s">
        <v>47</v>
      </c>
      <c r="B79">
        <v>6</v>
      </c>
      <c r="C79" s="1">
        <v>43943</v>
      </c>
      <c r="D79" s="1">
        <v>43913</v>
      </c>
      <c r="E79" t="s">
        <v>428</v>
      </c>
      <c r="F79" t="s">
        <v>429</v>
      </c>
      <c r="G79" t="s">
        <v>429</v>
      </c>
      <c r="H79" t="s">
        <v>429</v>
      </c>
      <c r="I79" t="s">
        <v>1321</v>
      </c>
      <c r="J79" t="s">
        <v>428</v>
      </c>
      <c r="K79" t="s">
        <v>429</v>
      </c>
      <c r="L79" t="str">
        <f>HYPERLINK("https://www.commcarehq.org/a/demo-18/api/form/attachment/ee99375f-8318-4e78-aa90-23157de0b767/1584956258850.jpg")</f>
        <v>https://www.commcarehq.org/a/demo-18/api/form/attachment/ee99375f-8318-4e78-aa90-23157de0b767/1584956258850.jpg</v>
      </c>
      <c r="M79" t="str">
        <f>HYPERLINK("https://www.commcarehq.org/a/demo-18/api/form/attachment/ee99375f-8318-4e78-aa90-23157de0b767/1584956276332.jpg")</f>
        <v>https://www.commcarehq.org/a/demo-18/api/form/attachment/ee99375f-8318-4e78-aa90-23157de0b767/1584956276332.jpg</v>
      </c>
      <c r="N79" t="str">
        <f>HYPERLINK("https://www.commcarehq.org/a/demo-18/api/form/attachment/ee99375f-8318-4e78-aa90-23157de0b767/1584956318181.jpg")</f>
        <v>https://www.commcarehq.org/a/demo-18/api/form/attachment/ee99375f-8318-4e78-aa90-23157de0b767/1584956318181.jpg</v>
      </c>
      <c r="O79" t="str">
        <f>HYPERLINK("https://www.commcarehq.org/a/demo-18/api/form/attachment/ee99375f-8318-4e78-aa90-23157de0b767/1584956326559.jpg")</f>
        <v>https://www.commcarehq.org/a/demo-18/api/form/attachment/ee99375f-8318-4e78-aa90-23157de0b767/1584956326559.jpg</v>
      </c>
      <c r="P79" t="str">
        <f>HYPERLINK("https://www.commcarehq.org/a/demo-18/api/form/attachment/ee99375f-8318-4e78-aa90-23157de0b767/1584956337266.jpg")</f>
        <v>https://www.commcarehq.org/a/demo-18/api/form/attachment/ee99375f-8318-4e78-aa90-23157de0b767/1584956337266.jpg</v>
      </c>
      <c r="Q79" t="str">
        <f>HYPERLINK("https://www.commcarehq.org/a/demo-18/api/form/attachment/ee99375f-8318-4e78-aa90-23157de0b767/1584956347855.jpg")</f>
        <v>https://www.commcarehq.org/a/demo-18/api/form/attachment/ee99375f-8318-4e78-aa90-23157de0b767/1584956347855.jpg</v>
      </c>
      <c r="R79" s="2">
        <v>43913.402245370373</v>
      </c>
      <c r="S79" s="2">
        <v>43913.400740740741</v>
      </c>
      <c r="T79" t="s">
        <v>32</v>
      </c>
      <c r="U79" s="2">
        <v>43913.402604166666</v>
      </c>
      <c r="V79" t="s">
        <v>1689</v>
      </c>
      <c r="W79" t="s">
        <v>1690</v>
      </c>
    </row>
    <row r="80" spans="1:23" x14ac:dyDescent="0.45">
      <c r="A80" t="s">
        <v>340</v>
      </c>
      <c r="B80">
        <v>6.8</v>
      </c>
      <c r="C80" s="1">
        <v>43943</v>
      </c>
      <c r="D80" s="1">
        <v>43913</v>
      </c>
      <c r="E80" t="s">
        <v>428</v>
      </c>
      <c r="F80" t="s">
        <v>429</v>
      </c>
      <c r="G80" t="s">
        <v>429</v>
      </c>
      <c r="H80" t="s">
        <v>429</v>
      </c>
      <c r="I80" t="s">
        <v>447</v>
      </c>
      <c r="J80" t="s">
        <v>428</v>
      </c>
      <c r="K80" t="s">
        <v>429</v>
      </c>
      <c r="L80" t="str">
        <f>HYPERLINK("https://www.commcarehq.org/a/demo-18/api/form/attachment/123b7b01-a514-4346-b63e-1d05ed70eb8f/1584948815318.jpg")</f>
        <v>https://www.commcarehq.org/a/demo-18/api/form/attachment/123b7b01-a514-4346-b63e-1d05ed70eb8f/1584948815318.jpg</v>
      </c>
      <c r="M80" t="str">
        <f>HYPERLINK("https://www.commcarehq.org/a/demo-18/api/form/attachment/123b7b01-a514-4346-b63e-1d05ed70eb8f/1584948831828.jpg")</f>
        <v>https://www.commcarehq.org/a/demo-18/api/form/attachment/123b7b01-a514-4346-b63e-1d05ed70eb8f/1584948831828.jpg</v>
      </c>
      <c r="N80" t="str">
        <f>HYPERLINK("https://www.commcarehq.org/a/demo-18/api/form/attachment/123b7b01-a514-4346-b63e-1d05ed70eb8f/1584948866884.jpg")</f>
        <v>https://www.commcarehq.org/a/demo-18/api/form/attachment/123b7b01-a514-4346-b63e-1d05ed70eb8f/1584948866884.jpg</v>
      </c>
      <c r="O80" t="str">
        <f>HYPERLINK("https://www.commcarehq.org/a/demo-18/api/form/attachment/123b7b01-a514-4346-b63e-1d05ed70eb8f/1584948875649.jpg")</f>
        <v>https://www.commcarehq.org/a/demo-18/api/form/attachment/123b7b01-a514-4346-b63e-1d05ed70eb8f/1584948875649.jpg</v>
      </c>
      <c r="P80" t="str">
        <f>HYPERLINK("https://www.commcarehq.org/a/demo-18/api/form/attachment/123b7b01-a514-4346-b63e-1d05ed70eb8f/1584948897364.jpg")</f>
        <v>https://www.commcarehq.org/a/demo-18/api/form/attachment/123b7b01-a514-4346-b63e-1d05ed70eb8f/1584948897364.jpg</v>
      </c>
      <c r="Q80" t="str">
        <f>HYPERLINK("https://www.commcarehq.org/a/demo-18/api/form/attachment/123b7b01-a514-4346-b63e-1d05ed70eb8f/1584948909849.jpg")</f>
        <v>https://www.commcarehq.org/a/demo-18/api/form/attachment/123b7b01-a514-4346-b63e-1d05ed70eb8f/1584948909849.jpg</v>
      </c>
      <c r="R80" s="2">
        <v>43913.316099537034</v>
      </c>
      <c r="S80" s="2">
        <v>43913.314560185187</v>
      </c>
      <c r="T80" t="s">
        <v>32</v>
      </c>
      <c r="U80" s="2">
        <v>43913.316435185188</v>
      </c>
      <c r="V80" t="s">
        <v>1667</v>
      </c>
      <c r="W80" t="s">
        <v>1668</v>
      </c>
    </row>
    <row r="81" spans="1:23" x14ac:dyDescent="0.45">
      <c r="A81" t="s">
        <v>217</v>
      </c>
      <c r="B81">
        <v>6.4</v>
      </c>
      <c r="C81" s="1">
        <v>43946</v>
      </c>
      <c r="D81" s="1">
        <v>43916</v>
      </c>
      <c r="E81" t="s">
        <v>428</v>
      </c>
      <c r="F81" t="s">
        <v>429</v>
      </c>
      <c r="G81" t="s">
        <v>429</v>
      </c>
      <c r="H81" t="s">
        <v>429</v>
      </c>
      <c r="I81" t="s">
        <v>447</v>
      </c>
      <c r="J81" t="s">
        <v>428</v>
      </c>
      <c r="K81" t="s">
        <v>429</v>
      </c>
      <c r="L81" t="str">
        <f>HYPERLINK("https://www.commcarehq.org/a/demo-18/api/form/attachment/9bd879ce-aadd-456d-9c1c-4ba6e6b86ec0/1585205264109.jpg")</f>
        <v>https://www.commcarehq.org/a/demo-18/api/form/attachment/9bd879ce-aadd-456d-9c1c-4ba6e6b86ec0/1585205264109.jpg</v>
      </c>
      <c r="M81" t="str">
        <f>HYPERLINK("https://www.commcarehq.org/a/demo-18/api/form/attachment/9bd879ce-aadd-456d-9c1c-4ba6e6b86ec0/1585205281181.jpg")</f>
        <v>https://www.commcarehq.org/a/demo-18/api/form/attachment/9bd879ce-aadd-456d-9c1c-4ba6e6b86ec0/1585205281181.jpg</v>
      </c>
      <c r="N81" t="str">
        <f>HYPERLINK("https://www.commcarehq.org/a/demo-18/api/form/attachment/9bd879ce-aadd-456d-9c1c-4ba6e6b86ec0/1585205347649.jpg")</f>
        <v>https://www.commcarehq.org/a/demo-18/api/form/attachment/9bd879ce-aadd-456d-9c1c-4ba6e6b86ec0/1585205347649.jpg</v>
      </c>
      <c r="O81" t="str">
        <f>HYPERLINK("https://www.commcarehq.org/a/demo-18/api/form/attachment/9bd879ce-aadd-456d-9c1c-4ba6e6b86ec0/1585205356123.jpg")</f>
        <v>https://www.commcarehq.org/a/demo-18/api/form/attachment/9bd879ce-aadd-456d-9c1c-4ba6e6b86ec0/1585205356123.jpg</v>
      </c>
      <c r="P81" t="str">
        <f>HYPERLINK("https://www.commcarehq.org/a/demo-18/api/form/attachment/9bd879ce-aadd-456d-9c1c-4ba6e6b86ec0/1585205383900.jpg")</f>
        <v>https://www.commcarehq.org/a/demo-18/api/form/attachment/9bd879ce-aadd-456d-9c1c-4ba6e6b86ec0/1585205383900.jpg</v>
      </c>
      <c r="Q81" t="str">
        <f>HYPERLINK("https://www.commcarehq.org/a/demo-18/api/form/attachment/9bd879ce-aadd-456d-9c1c-4ba6e6b86ec0/1585205403195.jpg")</f>
        <v>https://www.commcarehq.org/a/demo-18/api/form/attachment/9bd879ce-aadd-456d-9c1c-4ba6e6b86ec0/1585205403195.jpg</v>
      </c>
      <c r="R81" s="2">
        <v>43916.284780092596</v>
      </c>
      <c r="S81" s="2">
        <v>43916.282638888886</v>
      </c>
      <c r="T81" t="s">
        <v>32</v>
      </c>
      <c r="U81" s="2">
        <v>43916.285138888888</v>
      </c>
      <c r="V81" t="s">
        <v>1663</v>
      </c>
      <c r="W81" t="s">
        <v>1664</v>
      </c>
    </row>
    <row r="82" spans="1:23" x14ac:dyDescent="0.45">
      <c r="A82" t="s">
        <v>50</v>
      </c>
      <c r="B82">
        <v>6.7</v>
      </c>
      <c r="C82" s="1">
        <v>43943</v>
      </c>
      <c r="D82" s="1">
        <v>43913</v>
      </c>
      <c r="E82" t="s">
        <v>428</v>
      </c>
      <c r="F82" t="s">
        <v>429</v>
      </c>
      <c r="G82" t="s">
        <v>429</v>
      </c>
      <c r="H82" t="s">
        <v>429</v>
      </c>
      <c r="I82" t="s">
        <v>447</v>
      </c>
      <c r="J82" t="s">
        <v>428</v>
      </c>
      <c r="K82" t="s">
        <v>429</v>
      </c>
      <c r="L82" t="str">
        <f>HYPERLINK("https://www.commcarehq.org/a/demo-18/api/form/attachment/2c278530-f6f4-498b-a0e1-0ddd0929d5e4/1584952554126.jpg")</f>
        <v>https://www.commcarehq.org/a/demo-18/api/form/attachment/2c278530-f6f4-498b-a0e1-0ddd0929d5e4/1584952554126.jpg</v>
      </c>
      <c r="M82" t="str">
        <f>HYPERLINK("https://www.commcarehq.org/a/demo-18/api/form/attachment/2c278530-f6f4-498b-a0e1-0ddd0929d5e4/1584952571968.jpg")</f>
        <v>https://www.commcarehq.org/a/demo-18/api/form/attachment/2c278530-f6f4-498b-a0e1-0ddd0929d5e4/1584952571968.jpg</v>
      </c>
      <c r="N82" t="str">
        <f>HYPERLINK("https://www.commcarehq.org/a/demo-18/api/form/attachment/2c278530-f6f4-498b-a0e1-0ddd0929d5e4/1584952605374.jpg")</f>
        <v>https://www.commcarehq.org/a/demo-18/api/form/attachment/2c278530-f6f4-498b-a0e1-0ddd0929d5e4/1584952605374.jpg</v>
      </c>
      <c r="O82" t="str">
        <f>HYPERLINK("https://www.commcarehq.org/a/demo-18/api/form/attachment/2c278530-f6f4-498b-a0e1-0ddd0929d5e4/1584952614394.jpg")</f>
        <v>https://www.commcarehq.org/a/demo-18/api/form/attachment/2c278530-f6f4-498b-a0e1-0ddd0929d5e4/1584952614394.jpg</v>
      </c>
      <c r="P82" t="str">
        <f>HYPERLINK("https://www.commcarehq.org/a/demo-18/api/form/attachment/2c278530-f6f4-498b-a0e1-0ddd0929d5e4/1584952632016.jpg")</f>
        <v>https://www.commcarehq.org/a/demo-18/api/form/attachment/2c278530-f6f4-498b-a0e1-0ddd0929d5e4/1584952632016.jpg</v>
      </c>
      <c r="Q82" t="str">
        <f>HYPERLINK("https://www.commcarehq.org/a/demo-18/api/form/attachment/2c278530-f6f4-498b-a0e1-0ddd0929d5e4/1584952641489.jpg")</f>
        <v>https://www.commcarehq.org/a/demo-18/api/form/attachment/2c278530-f6f4-498b-a0e1-0ddd0929d5e4/1584952641489.jpg</v>
      </c>
      <c r="R82" s="2">
        <v>43913.359293981484</v>
      </c>
      <c r="S82" s="2">
        <v>43913.357812499999</v>
      </c>
      <c r="T82" t="s">
        <v>32</v>
      </c>
      <c r="U82" s="2">
        <v>43913.359548611108</v>
      </c>
      <c r="V82" t="s">
        <v>1665</v>
      </c>
      <c r="W82" t="s">
        <v>1666</v>
      </c>
    </row>
    <row r="83" spans="1:23" x14ac:dyDescent="0.45">
      <c r="A83" t="s">
        <v>292</v>
      </c>
      <c r="B83">
        <v>8.6</v>
      </c>
      <c r="C83" s="1">
        <v>43943</v>
      </c>
      <c r="D83" s="1">
        <v>43913</v>
      </c>
      <c r="E83" t="s">
        <v>428</v>
      </c>
      <c r="F83" t="s">
        <v>429</v>
      </c>
      <c r="G83" t="s">
        <v>429</v>
      </c>
      <c r="H83" t="s">
        <v>429</v>
      </c>
      <c r="I83" t="s">
        <v>1321</v>
      </c>
      <c r="J83" t="s">
        <v>428</v>
      </c>
      <c r="K83" t="s">
        <v>429</v>
      </c>
      <c r="L83" t="str">
        <f>HYPERLINK("https://www.commcarehq.org/a/demo-18/api/form/attachment/6985b479-fe67-4078-8803-de9ab9bf0b3f/1584949853003.jpg")</f>
        <v>https://www.commcarehq.org/a/demo-18/api/form/attachment/6985b479-fe67-4078-8803-de9ab9bf0b3f/1584949853003.jpg</v>
      </c>
      <c r="M83" t="str">
        <f>HYPERLINK("https://www.commcarehq.org/a/demo-18/api/form/attachment/6985b479-fe67-4078-8803-de9ab9bf0b3f/1584949868143.jpg")</f>
        <v>https://www.commcarehq.org/a/demo-18/api/form/attachment/6985b479-fe67-4078-8803-de9ab9bf0b3f/1584949868143.jpg</v>
      </c>
      <c r="N83" t="str">
        <f>HYPERLINK("https://www.commcarehq.org/a/demo-18/api/form/attachment/6985b479-fe67-4078-8803-de9ab9bf0b3f/1584949920401.jpg")</f>
        <v>https://www.commcarehq.org/a/demo-18/api/form/attachment/6985b479-fe67-4078-8803-de9ab9bf0b3f/1584949920401.jpg</v>
      </c>
      <c r="O83" t="str">
        <f>HYPERLINK("https://www.commcarehq.org/a/demo-18/api/form/attachment/6985b479-fe67-4078-8803-de9ab9bf0b3f/1584949928950.jpg")</f>
        <v>https://www.commcarehq.org/a/demo-18/api/form/attachment/6985b479-fe67-4078-8803-de9ab9bf0b3f/1584949928950.jpg</v>
      </c>
      <c r="P83" t="str">
        <f>HYPERLINK("https://www.commcarehq.org/a/demo-18/api/form/attachment/6985b479-fe67-4078-8803-de9ab9bf0b3f/1584949946500.jpg")</f>
        <v>https://www.commcarehq.org/a/demo-18/api/form/attachment/6985b479-fe67-4078-8803-de9ab9bf0b3f/1584949946500.jpg</v>
      </c>
      <c r="Q83" t="str">
        <f>HYPERLINK("https://www.commcarehq.org/a/demo-18/api/form/attachment/6985b479-fe67-4078-8803-de9ab9bf0b3f/1584949956194.jpg")</f>
        <v>https://www.commcarehq.org/a/demo-18/api/form/attachment/6985b479-fe67-4078-8803-de9ab9bf0b3f/1584949956194.jpg</v>
      </c>
      <c r="R83" s="2">
        <v>43913.328206018516</v>
      </c>
      <c r="S83" s="2">
        <v>43913.326504629629</v>
      </c>
      <c r="T83" t="s">
        <v>32</v>
      </c>
      <c r="U83" s="2">
        <v>43913.328518518516</v>
      </c>
      <c r="V83" t="s">
        <v>1732</v>
      </c>
      <c r="W83" t="s">
        <v>1733</v>
      </c>
    </row>
    <row r="84" spans="1:23" x14ac:dyDescent="0.45">
      <c r="A84" t="s">
        <v>325</v>
      </c>
      <c r="B84">
        <v>5</v>
      </c>
      <c r="C84" s="1">
        <v>43915</v>
      </c>
      <c r="D84" s="1">
        <v>43885</v>
      </c>
      <c r="E84" t="s">
        <v>428</v>
      </c>
      <c r="F84" t="s">
        <v>429</v>
      </c>
      <c r="G84" t="s">
        <v>429</v>
      </c>
      <c r="H84" t="s">
        <v>429</v>
      </c>
      <c r="I84" t="s">
        <v>626</v>
      </c>
      <c r="J84" t="s">
        <v>428</v>
      </c>
      <c r="K84" t="s">
        <v>429</v>
      </c>
      <c r="L84" t="str">
        <f>HYPERLINK("https://www.commcarehq.org/a/demo-18/api/form/attachment/c3c60898-adfc-4138-9336-fbd49115d009/1582530069930.jpg")</f>
        <v>https://www.commcarehq.org/a/demo-18/api/form/attachment/c3c60898-adfc-4138-9336-fbd49115d009/1582530069930.jpg</v>
      </c>
      <c r="M84" t="str">
        <f>HYPERLINK("https://www.commcarehq.org/a/demo-18/api/form/attachment/c3c60898-adfc-4138-9336-fbd49115d009/1582530091506.jpg")</f>
        <v>https://www.commcarehq.org/a/demo-18/api/form/attachment/c3c60898-adfc-4138-9336-fbd49115d009/1582530091506.jpg</v>
      </c>
      <c r="N84" t="str">
        <f>HYPERLINK("https://www.commcarehq.org/a/demo-18/api/form/attachment/c3c60898-adfc-4138-9336-fbd49115d009/1582530128890.jpg")</f>
        <v>https://www.commcarehq.org/a/demo-18/api/form/attachment/c3c60898-adfc-4138-9336-fbd49115d009/1582530128890.jpg</v>
      </c>
      <c r="O84" t="str">
        <f>HYPERLINK("https://www.commcarehq.org/a/demo-18/api/form/attachment/c3c60898-adfc-4138-9336-fbd49115d009/1582530138807.jpg")</f>
        <v>https://www.commcarehq.org/a/demo-18/api/form/attachment/c3c60898-adfc-4138-9336-fbd49115d009/1582530138807.jpg</v>
      </c>
      <c r="P84" t="str">
        <f>HYPERLINK("https://www.commcarehq.org/a/demo-18/api/form/attachment/c3c60898-adfc-4138-9336-fbd49115d009/1582530166365.jpg")</f>
        <v>https://www.commcarehq.org/a/demo-18/api/form/attachment/c3c60898-adfc-4138-9336-fbd49115d009/1582530166365.jpg</v>
      </c>
      <c r="Q84" t="str">
        <f>HYPERLINK("https://www.commcarehq.org/a/demo-18/api/form/attachment/c3c60898-adfc-4138-9336-fbd49115d009/1582530175536.jpg")</f>
        <v>https://www.commcarehq.org/a/demo-18/api/form/attachment/c3c60898-adfc-4138-9336-fbd49115d009/1582530175536.jpg</v>
      </c>
      <c r="R84" s="2">
        <v>43885.321493055555</v>
      </c>
      <c r="S84" s="2">
        <v>43885.318368055552</v>
      </c>
      <c r="T84" t="s">
        <v>32</v>
      </c>
      <c r="U84" s="2">
        <v>43885.321712962963</v>
      </c>
      <c r="V84" t="s">
        <v>1343</v>
      </c>
      <c r="W84" t="s">
        <v>1344</v>
      </c>
    </row>
    <row r="85" spans="1:23" x14ac:dyDescent="0.45">
      <c r="A85" t="s">
        <v>361</v>
      </c>
      <c r="B85">
        <v>6.2</v>
      </c>
      <c r="C85" s="1">
        <v>43945</v>
      </c>
      <c r="D85" s="1">
        <v>43915</v>
      </c>
      <c r="E85" t="s">
        <v>428</v>
      </c>
      <c r="F85" t="s">
        <v>429</v>
      </c>
      <c r="G85" t="s">
        <v>429</v>
      </c>
      <c r="H85" t="s">
        <v>429</v>
      </c>
      <c r="I85" t="s">
        <v>579</v>
      </c>
      <c r="J85" t="s">
        <v>428</v>
      </c>
      <c r="K85" t="s">
        <v>429</v>
      </c>
      <c r="L85" t="str">
        <f>HYPERLINK("https://www.commcarehq.org/a/demo-18/api/form/attachment/113d7f04-dfd9-4efa-9ce8-75c8706e722b/1585117335612.jpg")</f>
        <v>https://www.commcarehq.org/a/demo-18/api/form/attachment/113d7f04-dfd9-4efa-9ce8-75c8706e722b/1585117335612.jpg</v>
      </c>
      <c r="M85" t="str">
        <f>HYPERLINK("https://www.commcarehq.org/a/demo-18/api/form/attachment/113d7f04-dfd9-4efa-9ce8-75c8706e722b/1585117355079.jpg")</f>
        <v>https://www.commcarehq.org/a/demo-18/api/form/attachment/113d7f04-dfd9-4efa-9ce8-75c8706e722b/1585117355079.jpg</v>
      </c>
      <c r="N85" t="str">
        <f>HYPERLINK("https://www.commcarehq.org/a/demo-18/api/form/attachment/113d7f04-dfd9-4efa-9ce8-75c8706e722b/1585117388903.jpg")</f>
        <v>https://www.commcarehq.org/a/demo-18/api/form/attachment/113d7f04-dfd9-4efa-9ce8-75c8706e722b/1585117388903.jpg</v>
      </c>
      <c r="O85" t="str">
        <f>HYPERLINK("https://www.commcarehq.org/a/demo-18/api/form/attachment/113d7f04-dfd9-4efa-9ce8-75c8706e722b/1585117398554.jpg")</f>
        <v>https://www.commcarehq.org/a/demo-18/api/form/attachment/113d7f04-dfd9-4efa-9ce8-75c8706e722b/1585117398554.jpg</v>
      </c>
      <c r="P85" t="str">
        <f>HYPERLINK("https://www.commcarehq.org/a/demo-18/api/form/attachment/113d7f04-dfd9-4efa-9ce8-75c8706e722b/1585117422287.jpg")</f>
        <v>https://www.commcarehq.org/a/demo-18/api/form/attachment/113d7f04-dfd9-4efa-9ce8-75c8706e722b/1585117422287.jpg</v>
      </c>
      <c r="Q85" t="str">
        <f>HYPERLINK("https://www.commcarehq.org/a/demo-18/api/form/attachment/113d7f04-dfd9-4efa-9ce8-75c8706e722b/1585117431054.jpg")</f>
        <v>https://www.commcarehq.org/a/demo-18/api/form/attachment/113d7f04-dfd9-4efa-9ce8-75c8706e722b/1585117431054.jpg</v>
      </c>
      <c r="R85" s="2">
        <v>43915.266608796293</v>
      </c>
      <c r="S85" s="2">
        <v>43915.260983796295</v>
      </c>
      <c r="T85" t="s">
        <v>32</v>
      </c>
      <c r="U85" s="2">
        <v>43915.266828703701</v>
      </c>
      <c r="V85" t="s">
        <v>1646</v>
      </c>
      <c r="W85" t="s">
        <v>1647</v>
      </c>
    </row>
    <row r="86" spans="1:23" x14ac:dyDescent="0.45">
      <c r="A86" t="s">
        <v>295</v>
      </c>
      <c r="B86">
        <v>8.4</v>
      </c>
      <c r="C86" s="1">
        <v>43940</v>
      </c>
      <c r="D86" s="1">
        <v>43910</v>
      </c>
      <c r="E86" t="s">
        <v>428</v>
      </c>
      <c r="F86" t="s">
        <v>429</v>
      </c>
      <c r="G86" t="s">
        <v>429</v>
      </c>
      <c r="H86" t="s">
        <v>429</v>
      </c>
      <c r="I86" t="s">
        <v>579</v>
      </c>
      <c r="J86" t="s">
        <v>428</v>
      </c>
      <c r="K86" t="s">
        <v>429</v>
      </c>
      <c r="L86" t="str">
        <f>HYPERLINK("https://www.commcarehq.org/a/demo-18/api/form/attachment/ac91d439-7ac3-4c3a-88d5-60da1c64e17a/1584687902795.jpg")</f>
        <v>https://www.commcarehq.org/a/demo-18/api/form/attachment/ac91d439-7ac3-4c3a-88d5-60da1c64e17a/1584687902795.jpg</v>
      </c>
      <c r="M86" t="str">
        <f>HYPERLINK("https://www.commcarehq.org/a/demo-18/api/form/attachment/ac91d439-7ac3-4c3a-88d5-60da1c64e17a/1584687920385.jpg")</f>
        <v>https://www.commcarehq.org/a/demo-18/api/form/attachment/ac91d439-7ac3-4c3a-88d5-60da1c64e17a/1584687920385.jpg</v>
      </c>
      <c r="N86" t="str">
        <f>HYPERLINK("https://www.commcarehq.org/a/demo-18/api/form/attachment/ac91d439-7ac3-4c3a-88d5-60da1c64e17a/1584687952165.jpg")</f>
        <v>https://www.commcarehq.org/a/demo-18/api/form/attachment/ac91d439-7ac3-4c3a-88d5-60da1c64e17a/1584687952165.jpg</v>
      </c>
      <c r="O86" t="str">
        <f>HYPERLINK("https://www.commcarehq.org/a/demo-18/api/form/attachment/ac91d439-7ac3-4c3a-88d5-60da1c64e17a/1584687963607.jpg")</f>
        <v>https://www.commcarehq.org/a/demo-18/api/form/attachment/ac91d439-7ac3-4c3a-88d5-60da1c64e17a/1584687963607.jpg</v>
      </c>
      <c r="P86" t="str">
        <f>HYPERLINK("https://www.commcarehq.org/a/demo-18/api/form/attachment/ac91d439-7ac3-4c3a-88d5-60da1c64e17a/1584687985949.jpg")</f>
        <v>https://www.commcarehq.org/a/demo-18/api/form/attachment/ac91d439-7ac3-4c3a-88d5-60da1c64e17a/1584687985949.jpg</v>
      </c>
      <c r="Q86" t="str">
        <f>HYPERLINK("https://www.commcarehq.org/a/demo-18/api/form/attachment/ac91d439-7ac3-4c3a-88d5-60da1c64e17a/1584687993649.jpg")</f>
        <v>https://www.commcarehq.org/a/demo-18/api/form/attachment/ac91d439-7ac3-4c3a-88d5-60da1c64e17a/1584687993649.jpg</v>
      </c>
      <c r="R86" s="2">
        <v>43910.296238425923</v>
      </c>
      <c r="S86" s="2">
        <v>43910.294675925928</v>
      </c>
      <c r="T86" t="s">
        <v>32</v>
      </c>
      <c r="U86" s="2">
        <v>43910.296412037038</v>
      </c>
      <c r="V86" t="s">
        <v>1683</v>
      </c>
      <c r="W86" t="s">
        <v>1684</v>
      </c>
    </row>
    <row r="87" spans="1:23" x14ac:dyDescent="0.45">
      <c r="A87" t="s">
        <v>175</v>
      </c>
      <c r="B87">
        <v>5.9</v>
      </c>
      <c r="C87" s="1">
        <v>43940</v>
      </c>
      <c r="D87" s="1">
        <v>43910</v>
      </c>
      <c r="E87" t="s">
        <v>428</v>
      </c>
      <c r="F87" t="s">
        <v>429</v>
      </c>
      <c r="G87" t="s">
        <v>429</v>
      </c>
      <c r="H87" t="s">
        <v>429</v>
      </c>
      <c r="I87" t="s">
        <v>1321</v>
      </c>
      <c r="J87" t="s">
        <v>428</v>
      </c>
      <c r="K87" t="s">
        <v>429</v>
      </c>
      <c r="L87" t="str">
        <f>HYPERLINK("https://www.commcarehq.org/a/demo-18/api/form/attachment/17403fd4-fc4c-4d94-a5f0-9de9bec33cdd/1584690355755.jpg")</f>
        <v>https://www.commcarehq.org/a/demo-18/api/form/attachment/17403fd4-fc4c-4d94-a5f0-9de9bec33cdd/1584690355755.jpg</v>
      </c>
      <c r="M87" t="str">
        <f>HYPERLINK("https://www.commcarehq.org/a/demo-18/api/form/attachment/17403fd4-fc4c-4d94-a5f0-9de9bec33cdd/1584690369418.jpg")</f>
        <v>https://www.commcarehq.org/a/demo-18/api/form/attachment/17403fd4-fc4c-4d94-a5f0-9de9bec33cdd/1584690369418.jpg</v>
      </c>
      <c r="N87" t="str">
        <f>HYPERLINK("https://www.commcarehq.org/a/demo-18/api/form/attachment/17403fd4-fc4c-4d94-a5f0-9de9bec33cdd/1584690419904.jpg")</f>
        <v>https://www.commcarehq.org/a/demo-18/api/form/attachment/17403fd4-fc4c-4d94-a5f0-9de9bec33cdd/1584690419904.jpg</v>
      </c>
      <c r="O87" t="str">
        <f>HYPERLINK("https://www.commcarehq.org/a/demo-18/api/form/attachment/17403fd4-fc4c-4d94-a5f0-9de9bec33cdd/1584690428234.jpg")</f>
        <v>https://www.commcarehq.org/a/demo-18/api/form/attachment/17403fd4-fc4c-4d94-a5f0-9de9bec33cdd/1584690428234.jpg</v>
      </c>
      <c r="P87" t="str">
        <f>HYPERLINK("https://www.commcarehq.org/a/demo-18/api/form/attachment/17403fd4-fc4c-4d94-a5f0-9de9bec33cdd/1584690439732.jpg")</f>
        <v>https://www.commcarehq.org/a/demo-18/api/form/attachment/17403fd4-fc4c-4d94-a5f0-9de9bec33cdd/1584690439732.jpg</v>
      </c>
      <c r="Q87" t="str">
        <f>HYPERLINK("https://www.commcarehq.org/a/demo-18/api/form/attachment/17403fd4-fc4c-4d94-a5f0-9de9bec33cdd/1584690447280.jpg")</f>
        <v>https://www.commcarehq.org/a/demo-18/api/form/attachment/17403fd4-fc4c-4d94-a5f0-9de9bec33cdd/1584690447280.jpg</v>
      </c>
      <c r="R87" s="2">
        <v>43910.324629629627</v>
      </c>
      <c r="S87" s="2">
        <v>43910.323148148149</v>
      </c>
      <c r="T87" t="s">
        <v>32</v>
      </c>
      <c r="U87" s="2">
        <v>43910.324895833335</v>
      </c>
      <c r="V87" t="s">
        <v>1629</v>
      </c>
      <c r="W87" t="s">
        <v>1630</v>
      </c>
    </row>
    <row r="88" spans="1:23" x14ac:dyDescent="0.45">
      <c r="A88" t="s">
        <v>65</v>
      </c>
      <c r="B88">
        <v>6.5</v>
      </c>
      <c r="C88" s="1">
        <v>43943</v>
      </c>
      <c r="D88" s="1">
        <v>43913</v>
      </c>
      <c r="E88" t="s">
        <v>428</v>
      </c>
      <c r="F88" t="s">
        <v>429</v>
      </c>
      <c r="G88" t="s">
        <v>429</v>
      </c>
      <c r="H88" t="s">
        <v>429</v>
      </c>
      <c r="I88" t="s">
        <v>447</v>
      </c>
      <c r="J88" t="s">
        <v>428</v>
      </c>
      <c r="K88" t="s">
        <v>429</v>
      </c>
      <c r="L88" t="str">
        <f>HYPERLINK("https://www.commcarehq.org/a/demo-18/api/form/attachment/3d93f3b7-22d3-461b-b65a-e816d3f54cd0/1584944262824.jpg")</f>
        <v>https://www.commcarehq.org/a/demo-18/api/form/attachment/3d93f3b7-22d3-461b-b65a-e816d3f54cd0/1584944262824.jpg</v>
      </c>
      <c r="M88" t="str">
        <f>HYPERLINK("https://www.commcarehq.org/a/demo-18/api/form/attachment/3d93f3b7-22d3-461b-b65a-e816d3f54cd0/1584944276552.jpg")</f>
        <v>https://www.commcarehq.org/a/demo-18/api/form/attachment/3d93f3b7-22d3-461b-b65a-e816d3f54cd0/1584944276552.jpg</v>
      </c>
      <c r="N88" t="str">
        <f>HYPERLINK("https://www.commcarehq.org/a/demo-18/api/form/attachment/3d93f3b7-22d3-461b-b65a-e816d3f54cd0/1584944352163.jpg")</f>
        <v>https://www.commcarehq.org/a/demo-18/api/form/attachment/3d93f3b7-22d3-461b-b65a-e816d3f54cd0/1584944352163.jpg</v>
      </c>
      <c r="O88" t="str">
        <f>HYPERLINK("https://www.commcarehq.org/a/demo-18/api/form/attachment/3d93f3b7-22d3-461b-b65a-e816d3f54cd0/1584944361103.jpg")</f>
        <v>https://www.commcarehq.org/a/demo-18/api/form/attachment/3d93f3b7-22d3-461b-b65a-e816d3f54cd0/1584944361103.jpg</v>
      </c>
      <c r="P88" t="str">
        <f>HYPERLINK("https://www.commcarehq.org/a/demo-18/api/form/attachment/3d93f3b7-22d3-461b-b65a-e816d3f54cd0/1584944389161.jpg")</f>
        <v>https://www.commcarehq.org/a/demo-18/api/form/attachment/3d93f3b7-22d3-461b-b65a-e816d3f54cd0/1584944389161.jpg</v>
      </c>
      <c r="Q88" t="str">
        <f>HYPERLINK("https://www.commcarehq.org/a/demo-18/api/form/attachment/3d93f3b7-22d3-461b-b65a-e816d3f54cd0/1584944406574.jpg")</f>
        <v>https://www.commcarehq.org/a/demo-18/api/form/attachment/3d93f3b7-22d3-461b-b65a-e816d3f54cd0/1584944406574.jpg</v>
      </c>
      <c r="R88" s="2">
        <v>43913.263981481483</v>
      </c>
      <c r="S88" s="2">
        <v>43913.261736111112</v>
      </c>
      <c r="T88" t="s">
        <v>32</v>
      </c>
      <c r="U88" s="2">
        <v>43913.264201388891</v>
      </c>
      <c r="V88" t="s">
        <v>1697</v>
      </c>
      <c r="W88" t="s">
        <v>1698</v>
      </c>
    </row>
    <row r="89" spans="1:23" x14ac:dyDescent="0.45">
      <c r="A89" t="s">
        <v>125</v>
      </c>
      <c r="B89">
        <v>7.4</v>
      </c>
      <c r="C89" s="1">
        <v>43940</v>
      </c>
      <c r="D89" s="1">
        <v>43910</v>
      </c>
      <c r="E89" t="s">
        <v>428</v>
      </c>
      <c r="F89" t="s">
        <v>429</v>
      </c>
      <c r="G89" t="s">
        <v>429</v>
      </c>
      <c r="H89" t="s">
        <v>429</v>
      </c>
      <c r="I89" t="s">
        <v>447</v>
      </c>
      <c r="J89" t="s">
        <v>428</v>
      </c>
      <c r="K89" t="s">
        <v>429</v>
      </c>
      <c r="L89" t="str">
        <f>HYPERLINK("https://www.commcarehq.org/a/demo-18/api/form/attachment/67a82269-3236-43fa-a762-0a18ac0006bc/1584695714677.jpg")</f>
        <v>https://www.commcarehq.org/a/demo-18/api/form/attachment/67a82269-3236-43fa-a762-0a18ac0006bc/1584695714677.jpg</v>
      </c>
      <c r="M89" t="str">
        <f>HYPERLINK("https://www.commcarehq.org/a/demo-18/api/form/attachment/67a82269-3236-43fa-a762-0a18ac0006bc/1584695729105.jpg")</f>
        <v>https://www.commcarehq.org/a/demo-18/api/form/attachment/67a82269-3236-43fa-a762-0a18ac0006bc/1584695729105.jpg</v>
      </c>
      <c r="N89" t="str">
        <f>HYPERLINK("https://www.commcarehq.org/a/demo-18/api/form/attachment/67a82269-3236-43fa-a762-0a18ac0006bc/1584695780960.jpg")</f>
        <v>https://www.commcarehq.org/a/demo-18/api/form/attachment/67a82269-3236-43fa-a762-0a18ac0006bc/1584695780960.jpg</v>
      </c>
      <c r="O89" t="str">
        <f>HYPERLINK("https://www.commcarehq.org/a/demo-18/api/form/attachment/67a82269-3236-43fa-a762-0a18ac0006bc/1584695805145.jpg")</f>
        <v>https://www.commcarehq.org/a/demo-18/api/form/attachment/67a82269-3236-43fa-a762-0a18ac0006bc/1584695805145.jpg</v>
      </c>
      <c r="P89" t="str">
        <f>HYPERLINK("https://www.commcarehq.org/a/demo-18/api/form/attachment/67a82269-3236-43fa-a762-0a18ac0006bc/1584695825805.jpg")</f>
        <v>https://www.commcarehq.org/a/demo-18/api/form/attachment/67a82269-3236-43fa-a762-0a18ac0006bc/1584695825805.jpg</v>
      </c>
      <c r="Q89" t="str">
        <f>HYPERLINK("https://www.commcarehq.org/a/demo-18/api/form/attachment/67a82269-3236-43fa-a762-0a18ac0006bc/1584695836454.jpg")</f>
        <v>https://www.commcarehq.org/a/demo-18/api/form/attachment/67a82269-3236-43fa-a762-0a18ac0006bc/1584695836454.jpg</v>
      </c>
      <c r="R89" s="2">
        <v>43910.387013888889</v>
      </c>
      <c r="S89" s="2">
        <v>43910.385104166664</v>
      </c>
      <c r="T89" t="s">
        <v>32</v>
      </c>
      <c r="U89" s="2">
        <v>43910.419930555552</v>
      </c>
      <c r="V89" t="s">
        <v>1633</v>
      </c>
      <c r="W89" t="s">
        <v>1634</v>
      </c>
    </row>
    <row r="90" spans="1:23" x14ac:dyDescent="0.45">
      <c r="A90" t="s">
        <v>358</v>
      </c>
      <c r="B90">
        <v>5.8</v>
      </c>
      <c r="C90" s="1">
        <v>43943</v>
      </c>
      <c r="D90" s="1">
        <v>43913</v>
      </c>
      <c r="E90" t="s">
        <v>428</v>
      </c>
      <c r="F90" t="s">
        <v>429</v>
      </c>
      <c r="G90" t="s">
        <v>429</v>
      </c>
      <c r="H90" t="s">
        <v>429</v>
      </c>
      <c r="I90" t="s">
        <v>1354</v>
      </c>
      <c r="J90" t="s">
        <v>428</v>
      </c>
      <c r="K90" t="s">
        <v>429</v>
      </c>
      <c r="L90" t="str">
        <f>HYPERLINK("https://www.commcarehq.org/a/demo-18/api/form/attachment/c3293ba0-5731-421c-81e6-a8c36a4a77a4/1584955562405.jpg")</f>
        <v>https://www.commcarehq.org/a/demo-18/api/form/attachment/c3293ba0-5731-421c-81e6-a8c36a4a77a4/1584955562405.jpg</v>
      </c>
      <c r="M90" t="str">
        <f>HYPERLINK("https://www.commcarehq.org/a/demo-18/api/form/attachment/c3293ba0-5731-421c-81e6-a8c36a4a77a4/1584955576389.jpg")</f>
        <v>https://www.commcarehq.org/a/demo-18/api/form/attachment/c3293ba0-5731-421c-81e6-a8c36a4a77a4/1584955576389.jpg</v>
      </c>
      <c r="N90" t="str">
        <f>HYPERLINK("https://www.commcarehq.org/a/demo-18/api/form/attachment/c3293ba0-5731-421c-81e6-a8c36a4a77a4/1584955613276.jpg")</f>
        <v>https://www.commcarehq.org/a/demo-18/api/form/attachment/c3293ba0-5731-421c-81e6-a8c36a4a77a4/1584955613276.jpg</v>
      </c>
      <c r="O90" t="str">
        <f>HYPERLINK("https://www.commcarehq.org/a/demo-18/api/form/attachment/c3293ba0-5731-421c-81e6-a8c36a4a77a4/1584955622497.jpg")</f>
        <v>https://www.commcarehq.org/a/demo-18/api/form/attachment/c3293ba0-5731-421c-81e6-a8c36a4a77a4/1584955622497.jpg</v>
      </c>
      <c r="P90" t="str">
        <f>HYPERLINK("https://www.commcarehq.org/a/demo-18/api/form/attachment/c3293ba0-5731-421c-81e6-a8c36a4a77a4/1584955640021.jpg")</f>
        <v>https://www.commcarehq.org/a/demo-18/api/form/attachment/c3293ba0-5731-421c-81e6-a8c36a4a77a4/1584955640021.jpg</v>
      </c>
      <c r="Q90" t="str">
        <f>HYPERLINK("https://www.commcarehq.org/a/demo-18/api/form/attachment/c3293ba0-5731-421c-81e6-a8c36a4a77a4/1584955648777.jpg")</f>
        <v>https://www.commcarehq.org/a/demo-18/api/form/attachment/c3293ba0-5731-421c-81e6-a8c36a4a77a4/1584955648777.jpg</v>
      </c>
      <c r="R90" s="2">
        <v>43913.394236111111</v>
      </c>
      <c r="S90" s="2">
        <v>43913.39261574074</v>
      </c>
      <c r="T90" t="s">
        <v>32</v>
      </c>
      <c r="U90" s="2">
        <v>43913.394594907404</v>
      </c>
      <c r="V90" t="s">
        <v>1677</v>
      </c>
      <c r="W90" t="s">
        <v>1678</v>
      </c>
    </row>
    <row r="91" spans="1:23" x14ac:dyDescent="0.45">
      <c r="A91" t="s">
        <v>373</v>
      </c>
      <c r="B91">
        <v>7.8</v>
      </c>
      <c r="C91" s="1">
        <v>43950</v>
      </c>
      <c r="D91" s="1">
        <v>43920</v>
      </c>
      <c r="E91" t="s">
        <v>428</v>
      </c>
      <c r="F91" t="s">
        <v>429</v>
      </c>
      <c r="G91" t="s">
        <v>429</v>
      </c>
      <c r="H91" t="s">
        <v>429</v>
      </c>
      <c r="I91" t="s">
        <v>1321</v>
      </c>
      <c r="J91" t="s">
        <v>428</v>
      </c>
      <c r="K91" t="s">
        <v>429</v>
      </c>
      <c r="L91" t="str">
        <f>HYPERLINK("https://www.commcarehq.org/a/demo-18/api/form/attachment/9fbccb1f-6c7f-4b05-b7bb-4a946f8f9c27/1585552130603.jpg")</f>
        <v>https://www.commcarehq.org/a/demo-18/api/form/attachment/9fbccb1f-6c7f-4b05-b7bb-4a946f8f9c27/1585552130603.jpg</v>
      </c>
      <c r="M91" t="str">
        <f>HYPERLINK("https://www.commcarehq.org/a/demo-18/api/form/attachment/9fbccb1f-6c7f-4b05-b7bb-4a946f8f9c27/1585552144751.jpg")</f>
        <v>https://www.commcarehq.org/a/demo-18/api/form/attachment/9fbccb1f-6c7f-4b05-b7bb-4a946f8f9c27/1585552144751.jpg</v>
      </c>
      <c r="N91" t="str">
        <f>HYPERLINK("https://www.commcarehq.org/a/demo-18/api/form/attachment/9fbccb1f-6c7f-4b05-b7bb-4a946f8f9c27/1585552197953.jpg")</f>
        <v>https://www.commcarehq.org/a/demo-18/api/form/attachment/9fbccb1f-6c7f-4b05-b7bb-4a946f8f9c27/1585552197953.jpg</v>
      </c>
      <c r="O91" t="str">
        <f>HYPERLINK("https://www.commcarehq.org/a/demo-18/api/form/attachment/9fbccb1f-6c7f-4b05-b7bb-4a946f8f9c27/1585552208835.jpg")</f>
        <v>https://www.commcarehq.org/a/demo-18/api/form/attachment/9fbccb1f-6c7f-4b05-b7bb-4a946f8f9c27/1585552208835.jpg</v>
      </c>
      <c r="P91" t="str">
        <f>HYPERLINK("https://www.commcarehq.org/a/demo-18/api/form/attachment/9fbccb1f-6c7f-4b05-b7bb-4a946f8f9c27/1585552230453.jpg")</f>
        <v>https://www.commcarehq.org/a/demo-18/api/form/attachment/9fbccb1f-6c7f-4b05-b7bb-4a946f8f9c27/1585552230453.jpg</v>
      </c>
      <c r="Q91" t="str">
        <f>HYPERLINK("https://www.commcarehq.org/a/demo-18/api/form/attachment/9fbccb1f-6c7f-4b05-b7bb-4a946f8f9c27/1585552240479.jpg")</f>
        <v>https://www.commcarehq.org/a/demo-18/api/form/attachment/9fbccb1f-6c7f-4b05-b7bb-4a946f8f9c27/1585552240479.jpg</v>
      </c>
      <c r="R91" s="2">
        <v>43920.299097222225</v>
      </c>
      <c r="S91" s="2">
        <v>43920.2971412037</v>
      </c>
      <c r="T91" t="s">
        <v>32</v>
      </c>
      <c r="U91" s="2">
        <v>43920.299421296295</v>
      </c>
      <c r="V91" t="s">
        <v>1724</v>
      </c>
      <c r="W91" t="s">
        <v>1725</v>
      </c>
    </row>
    <row r="92" spans="1:23" x14ac:dyDescent="0.45">
      <c r="A92" t="s">
        <v>187</v>
      </c>
      <c r="B92">
        <v>6.8</v>
      </c>
      <c r="C92" s="1">
        <v>43950</v>
      </c>
      <c r="D92" s="1">
        <v>43920</v>
      </c>
      <c r="E92" t="s">
        <v>428</v>
      </c>
      <c r="F92" t="s">
        <v>429</v>
      </c>
      <c r="G92" t="s">
        <v>429</v>
      </c>
      <c r="H92" t="s">
        <v>429</v>
      </c>
      <c r="I92" t="s">
        <v>1321</v>
      </c>
      <c r="J92" t="s">
        <v>428</v>
      </c>
      <c r="K92" t="s">
        <v>429</v>
      </c>
      <c r="L92" t="str">
        <f>HYPERLINK("https://www.commcarehq.org/a/demo-18/api/form/attachment/18919d42-1a95-41e0-bb18-6f64f900e3e5/1585550708445.jpg")</f>
        <v>https://www.commcarehq.org/a/demo-18/api/form/attachment/18919d42-1a95-41e0-bb18-6f64f900e3e5/1585550708445.jpg</v>
      </c>
      <c r="M92" t="str">
        <f>HYPERLINK("https://www.commcarehq.org/a/demo-18/api/form/attachment/18919d42-1a95-41e0-bb18-6f64f900e3e5/1585550722308.jpg")</f>
        <v>https://www.commcarehq.org/a/demo-18/api/form/attachment/18919d42-1a95-41e0-bb18-6f64f900e3e5/1585550722308.jpg</v>
      </c>
      <c r="N92" t="str">
        <f>HYPERLINK("https://www.commcarehq.org/a/demo-18/api/form/attachment/18919d42-1a95-41e0-bb18-6f64f900e3e5/1585550780947.jpg")</f>
        <v>https://www.commcarehq.org/a/demo-18/api/form/attachment/18919d42-1a95-41e0-bb18-6f64f900e3e5/1585550780947.jpg</v>
      </c>
      <c r="O92" t="str">
        <f>HYPERLINK("https://www.commcarehq.org/a/demo-18/api/form/attachment/18919d42-1a95-41e0-bb18-6f64f900e3e5/1585550794251.jpg")</f>
        <v>https://www.commcarehq.org/a/demo-18/api/form/attachment/18919d42-1a95-41e0-bb18-6f64f900e3e5/1585550794251.jpg</v>
      </c>
      <c r="P92" t="str">
        <f>HYPERLINK("https://www.commcarehq.org/a/demo-18/api/form/attachment/18919d42-1a95-41e0-bb18-6f64f900e3e5/1585550818673.jpg")</f>
        <v>https://www.commcarehq.org/a/demo-18/api/form/attachment/18919d42-1a95-41e0-bb18-6f64f900e3e5/1585550818673.jpg</v>
      </c>
      <c r="Q92" t="str">
        <f>HYPERLINK("https://www.commcarehq.org/a/demo-18/api/form/attachment/18919d42-1a95-41e0-bb18-6f64f900e3e5/1585550827495.jpg")</f>
        <v>https://www.commcarehq.org/a/demo-18/api/form/attachment/18919d42-1a95-41e0-bb18-6f64f900e3e5/1585550827495.jpg</v>
      </c>
      <c r="R92" s="2">
        <v>43920.282743055555</v>
      </c>
      <c r="S92" s="2">
        <v>43920.280138888891</v>
      </c>
      <c r="T92" t="s">
        <v>32</v>
      </c>
      <c r="U92" s="2">
        <v>43920.282986111109</v>
      </c>
      <c r="V92" t="s">
        <v>1687</v>
      </c>
      <c r="W92" t="s">
        <v>1688</v>
      </c>
    </row>
    <row r="93" spans="1:23" x14ac:dyDescent="0.45">
      <c r="A93" t="s">
        <v>196</v>
      </c>
      <c r="B93">
        <v>8</v>
      </c>
      <c r="C93" s="1">
        <v>43938</v>
      </c>
      <c r="D93" s="1">
        <v>43908</v>
      </c>
      <c r="E93" t="s">
        <v>428</v>
      </c>
      <c r="F93" t="s">
        <v>429</v>
      </c>
      <c r="G93" t="s">
        <v>429</v>
      </c>
      <c r="H93" t="s">
        <v>429</v>
      </c>
      <c r="I93" t="s">
        <v>579</v>
      </c>
      <c r="J93" t="s">
        <v>428</v>
      </c>
      <c r="K93" t="s">
        <v>429</v>
      </c>
      <c r="L93" t="str">
        <f>HYPERLINK("https://www.commcarehq.org/a/demo-18/api/form/attachment/e7e79a9c-0675-4438-b76b-2463823fb830/1584513035843.jpg")</f>
        <v>https://www.commcarehq.org/a/demo-18/api/form/attachment/e7e79a9c-0675-4438-b76b-2463823fb830/1584513035843.jpg</v>
      </c>
      <c r="M93" t="str">
        <f>HYPERLINK("https://www.commcarehq.org/a/demo-18/api/form/attachment/e7e79a9c-0675-4438-b76b-2463823fb830/1584513051486.jpg")</f>
        <v>https://www.commcarehq.org/a/demo-18/api/form/attachment/e7e79a9c-0675-4438-b76b-2463823fb830/1584513051486.jpg</v>
      </c>
      <c r="N93" t="str">
        <f>HYPERLINK("https://www.commcarehq.org/a/demo-18/api/form/attachment/e7e79a9c-0675-4438-b76b-2463823fb830/1584513131107.jpg")</f>
        <v>https://www.commcarehq.org/a/demo-18/api/form/attachment/e7e79a9c-0675-4438-b76b-2463823fb830/1584513131107.jpg</v>
      </c>
      <c r="O93" t="str">
        <f>HYPERLINK("https://www.commcarehq.org/a/demo-18/api/form/attachment/e7e79a9c-0675-4438-b76b-2463823fb830/1584513140777.jpg")</f>
        <v>https://www.commcarehq.org/a/demo-18/api/form/attachment/e7e79a9c-0675-4438-b76b-2463823fb830/1584513140777.jpg</v>
      </c>
      <c r="P93" t="str">
        <f>HYPERLINK("https://www.commcarehq.org/a/demo-18/api/form/attachment/e7e79a9c-0675-4438-b76b-2463823fb830/1584513156967.jpg")</f>
        <v>https://www.commcarehq.org/a/demo-18/api/form/attachment/e7e79a9c-0675-4438-b76b-2463823fb830/1584513156967.jpg</v>
      </c>
      <c r="Q93" t="str">
        <f>HYPERLINK("https://www.commcarehq.org/a/demo-18/api/form/attachment/e7e79a9c-0675-4438-b76b-2463823fb830/1584513166293.jpg")</f>
        <v>https://www.commcarehq.org/a/demo-18/api/form/attachment/e7e79a9c-0675-4438-b76b-2463823fb830/1584513166293.jpg</v>
      </c>
      <c r="R93" s="2">
        <v>43908.272766203707</v>
      </c>
      <c r="S93" s="2">
        <v>43908.270798611113</v>
      </c>
      <c r="T93" t="s">
        <v>32</v>
      </c>
      <c r="U93" s="2">
        <v>43908.318101851852</v>
      </c>
      <c r="V93" t="s">
        <v>1658</v>
      </c>
      <c r="W93" t="s">
        <v>1659</v>
      </c>
    </row>
    <row r="94" spans="1:23" x14ac:dyDescent="0.45">
      <c r="A94" t="s">
        <v>298</v>
      </c>
      <c r="B94">
        <v>5.6</v>
      </c>
      <c r="C94" s="1">
        <v>43940</v>
      </c>
      <c r="D94" s="1">
        <v>43910</v>
      </c>
      <c r="E94" t="s">
        <v>428</v>
      </c>
      <c r="F94" t="s">
        <v>429</v>
      </c>
      <c r="G94" t="s">
        <v>429</v>
      </c>
      <c r="H94" t="s">
        <v>429</v>
      </c>
      <c r="I94" t="s">
        <v>1321</v>
      </c>
      <c r="J94" t="s">
        <v>428</v>
      </c>
      <c r="K94" t="s">
        <v>429</v>
      </c>
      <c r="L94" t="str">
        <f>HYPERLINK("https://www.commcarehq.org/a/demo-18/api/form/attachment/ba267639-9a8f-4fb7-866e-294d071754b2/1584696405642.jpg")</f>
        <v>https://www.commcarehq.org/a/demo-18/api/form/attachment/ba267639-9a8f-4fb7-866e-294d071754b2/1584696405642.jpg</v>
      </c>
      <c r="M94" t="str">
        <f>HYPERLINK("https://www.commcarehq.org/a/demo-18/api/form/attachment/ba267639-9a8f-4fb7-866e-294d071754b2/1584696421734.jpg")</f>
        <v>https://www.commcarehq.org/a/demo-18/api/form/attachment/ba267639-9a8f-4fb7-866e-294d071754b2/1584696421734.jpg</v>
      </c>
      <c r="N94" t="str">
        <f>HYPERLINK("https://www.commcarehq.org/a/demo-18/api/form/attachment/ba267639-9a8f-4fb7-866e-294d071754b2/1584696467387.jpg")</f>
        <v>https://www.commcarehq.org/a/demo-18/api/form/attachment/ba267639-9a8f-4fb7-866e-294d071754b2/1584696467387.jpg</v>
      </c>
      <c r="O94" t="str">
        <f>HYPERLINK("https://www.commcarehq.org/a/demo-18/api/form/attachment/ba267639-9a8f-4fb7-866e-294d071754b2/1584696475265.jpg")</f>
        <v>https://www.commcarehq.org/a/demo-18/api/form/attachment/ba267639-9a8f-4fb7-866e-294d071754b2/1584696475265.jpg</v>
      </c>
      <c r="P94" t="str">
        <f>HYPERLINK("https://www.commcarehq.org/a/demo-18/api/form/attachment/ba267639-9a8f-4fb7-866e-294d071754b2/1584696487802.jpg")</f>
        <v>https://www.commcarehq.org/a/demo-18/api/form/attachment/ba267639-9a8f-4fb7-866e-294d071754b2/1584696487802.jpg</v>
      </c>
      <c r="Q94" t="str">
        <f>HYPERLINK("https://www.commcarehq.org/a/demo-18/api/form/attachment/ba267639-9a8f-4fb7-866e-294d071754b2/1584696497921.jpg")</f>
        <v>https://www.commcarehq.org/a/demo-18/api/form/attachment/ba267639-9a8f-4fb7-866e-294d071754b2/1584696497921.jpg</v>
      </c>
      <c r="R94" s="2">
        <v>43910.39466435185</v>
      </c>
      <c r="S94" s="2">
        <v>43910.393171296295</v>
      </c>
      <c r="T94" t="s">
        <v>32</v>
      </c>
      <c r="U94" s="2">
        <v>43910.420671296299</v>
      </c>
      <c r="V94" t="s">
        <v>1701</v>
      </c>
      <c r="W94" t="s">
        <v>1702</v>
      </c>
    </row>
    <row r="95" spans="1:23" x14ac:dyDescent="0.45">
      <c r="A95" t="s">
        <v>143</v>
      </c>
      <c r="B95">
        <v>7.1</v>
      </c>
      <c r="C95" s="1">
        <v>43943</v>
      </c>
      <c r="D95" s="1">
        <v>43913</v>
      </c>
      <c r="E95" t="s">
        <v>428</v>
      </c>
      <c r="F95" t="s">
        <v>429</v>
      </c>
      <c r="G95" t="s">
        <v>429</v>
      </c>
      <c r="H95" t="s">
        <v>429</v>
      </c>
      <c r="I95" t="s">
        <v>447</v>
      </c>
      <c r="J95" t="s">
        <v>428</v>
      </c>
      <c r="K95" t="s">
        <v>429</v>
      </c>
      <c r="L95" t="str">
        <f>HYPERLINK("https://www.commcarehq.org/a/demo-18/api/form/attachment/cdb17104-b565-45c6-9b1b-662cadbeec39/1584951969118.jpg")</f>
        <v>https://www.commcarehq.org/a/demo-18/api/form/attachment/cdb17104-b565-45c6-9b1b-662cadbeec39/1584951969118.jpg</v>
      </c>
      <c r="M95" t="str">
        <f>HYPERLINK("https://www.commcarehq.org/a/demo-18/api/form/attachment/cdb17104-b565-45c6-9b1b-662cadbeec39/1584951988488.jpg")</f>
        <v>https://www.commcarehq.org/a/demo-18/api/form/attachment/cdb17104-b565-45c6-9b1b-662cadbeec39/1584951988488.jpg</v>
      </c>
      <c r="N95" t="str">
        <f>HYPERLINK("https://www.commcarehq.org/a/demo-18/api/form/attachment/cdb17104-b565-45c6-9b1b-662cadbeec39/1584952021214.jpg")</f>
        <v>https://www.commcarehq.org/a/demo-18/api/form/attachment/cdb17104-b565-45c6-9b1b-662cadbeec39/1584952021214.jpg</v>
      </c>
      <c r="O95" t="str">
        <f>HYPERLINK("https://www.commcarehq.org/a/demo-18/api/form/attachment/cdb17104-b565-45c6-9b1b-662cadbeec39/1584952029040.jpg")</f>
        <v>https://www.commcarehq.org/a/demo-18/api/form/attachment/cdb17104-b565-45c6-9b1b-662cadbeec39/1584952029040.jpg</v>
      </c>
      <c r="P95" t="str">
        <f>HYPERLINK("https://www.commcarehq.org/a/demo-18/api/form/attachment/cdb17104-b565-45c6-9b1b-662cadbeec39/1584952041159.jpg")</f>
        <v>https://www.commcarehq.org/a/demo-18/api/form/attachment/cdb17104-b565-45c6-9b1b-662cadbeec39/1584952041159.jpg</v>
      </c>
      <c r="Q95" t="str">
        <f>HYPERLINK("https://www.commcarehq.org/a/demo-18/api/form/attachment/cdb17104-b565-45c6-9b1b-662cadbeec39/1584952048799.jpg")</f>
        <v>https://www.commcarehq.org/a/demo-18/api/form/attachment/cdb17104-b565-45c6-9b1b-662cadbeec39/1584952048799.jpg</v>
      </c>
      <c r="R95" s="2">
        <v>43913.352430555555</v>
      </c>
      <c r="S95" s="2">
        <v>43913.351053240738</v>
      </c>
      <c r="T95" t="s">
        <v>32</v>
      </c>
      <c r="U95" s="2">
        <v>43913.352719907409</v>
      </c>
      <c r="V95" t="s">
        <v>1673</v>
      </c>
      <c r="W95" t="s">
        <v>1674</v>
      </c>
    </row>
    <row r="96" spans="1:23" x14ac:dyDescent="0.45">
      <c r="A96" t="s">
        <v>193</v>
      </c>
      <c r="B96">
        <v>7.4</v>
      </c>
      <c r="C96" s="1">
        <v>43943</v>
      </c>
      <c r="D96" s="1">
        <v>43913</v>
      </c>
      <c r="E96" t="s">
        <v>428</v>
      </c>
      <c r="F96" t="s">
        <v>429</v>
      </c>
      <c r="G96" t="s">
        <v>429</v>
      </c>
      <c r="H96" t="s">
        <v>429</v>
      </c>
      <c r="I96" t="s">
        <v>579</v>
      </c>
      <c r="J96" t="s">
        <v>428</v>
      </c>
      <c r="K96" t="s">
        <v>429</v>
      </c>
      <c r="L96" t="str">
        <f>HYPERLINK("https://www.commcarehq.org/a/demo-18/api/form/attachment/1aa3eeb4-1350-43c2-8027-8d411684996d/1584951673780.jpg")</f>
        <v>https://www.commcarehq.org/a/demo-18/api/form/attachment/1aa3eeb4-1350-43c2-8027-8d411684996d/1584951673780.jpg</v>
      </c>
      <c r="M96" t="str">
        <f>HYPERLINK("https://www.commcarehq.org/a/demo-18/api/form/attachment/1aa3eeb4-1350-43c2-8027-8d411684996d/1584951688175.jpg")</f>
        <v>https://www.commcarehq.org/a/demo-18/api/form/attachment/1aa3eeb4-1350-43c2-8027-8d411684996d/1584951688175.jpg</v>
      </c>
      <c r="N96" t="str">
        <f>HYPERLINK("https://www.commcarehq.org/a/demo-18/api/form/attachment/1aa3eeb4-1350-43c2-8027-8d411684996d/1584951743185.jpg")</f>
        <v>https://www.commcarehq.org/a/demo-18/api/form/attachment/1aa3eeb4-1350-43c2-8027-8d411684996d/1584951743185.jpg</v>
      </c>
      <c r="O96" t="str">
        <f>HYPERLINK("https://www.commcarehq.org/a/demo-18/api/form/attachment/1aa3eeb4-1350-43c2-8027-8d411684996d/1584951754478.jpg")</f>
        <v>https://www.commcarehq.org/a/demo-18/api/form/attachment/1aa3eeb4-1350-43c2-8027-8d411684996d/1584951754478.jpg</v>
      </c>
      <c r="P96" t="str">
        <f>HYPERLINK("https://www.commcarehq.org/a/demo-18/api/form/attachment/1aa3eeb4-1350-43c2-8027-8d411684996d/1584951768460.jpg")</f>
        <v>https://www.commcarehq.org/a/demo-18/api/form/attachment/1aa3eeb4-1350-43c2-8027-8d411684996d/1584951768460.jpg</v>
      </c>
      <c r="Q96" t="str">
        <f>HYPERLINK("https://www.commcarehq.org/a/demo-18/api/form/attachment/1aa3eeb4-1350-43c2-8027-8d411684996d/1584951777067.jpg")</f>
        <v>https://www.commcarehq.org/a/demo-18/api/form/attachment/1aa3eeb4-1350-43c2-8027-8d411684996d/1584951777067.jpg</v>
      </c>
      <c r="R96" s="2">
        <v>43913.349282407406</v>
      </c>
      <c r="S96" s="2">
        <v>43913.347662037035</v>
      </c>
      <c r="T96" t="s">
        <v>32</v>
      </c>
      <c r="U96" s="2">
        <v>43913.349791666667</v>
      </c>
      <c r="V96" t="s">
        <v>1671</v>
      </c>
      <c r="W96" t="s">
        <v>1672</v>
      </c>
    </row>
    <row r="97" spans="1:23" x14ac:dyDescent="0.45">
      <c r="A97" t="s">
        <v>137</v>
      </c>
      <c r="B97">
        <v>6.1</v>
      </c>
      <c r="C97" s="1">
        <v>43931</v>
      </c>
      <c r="D97" s="1">
        <v>43901</v>
      </c>
      <c r="E97" t="s">
        <v>428</v>
      </c>
      <c r="F97" t="s">
        <v>429</v>
      </c>
      <c r="G97" t="s">
        <v>429</v>
      </c>
      <c r="H97" t="s">
        <v>429</v>
      </c>
      <c r="I97" t="s">
        <v>498</v>
      </c>
      <c r="J97" t="s">
        <v>428</v>
      </c>
      <c r="K97" t="s">
        <v>429</v>
      </c>
      <c r="L97" t="str">
        <f>HYPERLINK("https://www.commcarehq.org/a/demo-18/api/form/attachment/57d3227c-4e30-436a-bb1c-4258a9131175/1583918661338.jpg")</f>
        <v>https://www.commcarehq.org/a/demo-18/api/form/attachment/57d3227c-4e30-436a-bb1c-4258a9131175/1583918661338.jpg</v>
      </c>
      <c r="M97" t="str">
        <f>HYPERLINK("https://www.commcarehq.org/a/demo-18/api/form/attachment/57d3227c-4e30-436a-bb1c-4258a9131175/1583918675590.jpg")</f>
        <v>https://www.commcarehq.org/a/demo-18/api/form/attachment/57d3227c-4e30-436a-bb1c-4258a9131175/1583918675590.jpg</v>
      </c>
      <c r="N97" t="str">
        <f>HYPERLINK("https://www.commcarehq.org/a/demo-18/api/form/attachment/57d3227c-4e30-436a-bb1c-4258a9131175/1583918700140.jpg")</f>
        <v>https://www.commcarehq.org/a/demo-18/api/form/attachment/57d3227c-4e30-436a-bb1c-4258a9131175/1583918700140.jpg</v>
      </c>
      <c r="O97" t="str">
        <f>HYPERLINK("https://www.commcarehq.org/a/demo-18/api/form/attachment/57d3227c-4e30-436a-bb1c-4258a9131175/1583918709150.jpg")</f>
        <v>https://www.commcarehq.org/a/demo-18/api/form/attachment/57d3227c-4e30-436a-bb1c-4258a9131175/1583918709150.jpg</v>
      </c>
      <c r="P97" t="str">
        <f>HYPERLINK("https://www.commcarehq.org/a/demo-18/api/form/attachment/57d3227c-4e30-436a-bb1c-4258a9131175/1583918724400.jpg")</f>
        <v>https://www.commcarehq.org/a/demo-18/api/form/attachment/57d3227c-4e30-436a-bb1c-4258a9131175/1583918724400.jpg</v>
      </c>
      <c r="Q97" t="str">
        <f>HYPERLINK("https://www.commcarehq.org/a/demo-18/api/form/attachment/57d3227c-4e30-436a-bb1c-4258a9131175/1583918734438.jpg")</f>
        <v>https://www.commcarehq.org/a/demo-18/api/form/attachment/57d3227c-4e30-436a-bb1c-4258a9131175/1583918734438.jpg</v>
      </c>
      <c r="R97" s="2">
        <v>43901.392777777779</v>
      </c>
      <c r="S97" s="2">
        <v>43901.391203703701</v>
      </c>
      <c r="T97" t="s">
        <v>32</v>
      </c>
      <c r="U97" s="2">
        <v>43901.624444444446</v>
      </c>
      <c r="V97" t="s">
        <v>1744</v>
      </c>
      <c r="W97" t="s">
        <v>1745</v>
      </c>
    </row>
    <row r="98" spans="1:23" x14ac:dyDescent="0.45">
      <c r="A98" t="s">
        <v>376</v>
      </c>
      <c r="B98">
        <v>6.2</v>
      </c>
      <c r="C98" s="1">
        <v>43940</v>
      </c>
      <c r="D98" s="1">
        <v>43910</v>
      </c>
      <c r="E98" t="s">
        <v>428</v>
      </c>
      <c r="F98" t="s">
        <v>429</v>
      </c>
      <c r="G98" t="s">
        <v>429</v>
      </c>
      <c r="H98" t="s">
        <v>429</v>
      </c>
      <c r="I98" t="s">
        <v>498</v>
      </c>
      <c r="J98" t="s">
        <v>428</v>
      </c>
      <c r="K98" t="s">
        <v>429</v>
      </c>
      <c r="L98" t="str">
        <f>HYPERLINK("https://www.commcarehq.org/a/demo-18/api/form/attachment/4c874fc2-7d81-4651-8ca0-8711e5a3d7fc/1584695447396.jpg")</f>
        <v>https://www.commcarehq.org/a/demo-18/api/form/attachment/4c874fc2-7d81-4651-8ca0-8711e5a3d7fc/1584695447396.jpg</v>
      </c>
      <c r="M98" t="str">
        <f>HYPERLINK("https://www.commcarehq.org/a/demo-18/api/form/attachment/4c874fc2-7d81-4651-8ca0-8711e5a3d7fc/1584695462420.jpg")</f>
        <v>https://www.commcarehq.org/a/demo-18/api/form/attachment/4c874fc2-7d81-4651-8ca0-8711e5a3d7fc/1584695462420.jpg</v>
      </c>
      <c r="N98" t="str">
        <f>HYPERLINK("https://www.commcarehq.org/a/demo-18/api/form/attachment/4c874fc2-7d81-4651-8ca0-8711e5a3d7fc/1584695500112.jpg")</f>
        <v>https://www.commcarehq.org/a/demo-18/api/form/attachment/4c874fc2-7d81-4651-8ca0-8711e5a3d7fc/1584695500112.jpg</v>
      </c>
      <c r="O98" t="str">
        <f>HYPERLINK("https://www.commcarehq.org/a/demo-18/api/form/attachment/4c874fc2-7d81-4651-8ca0-8711e5a3d7fc/1584695509795.jpg")</f>
        <v>https://www.commcarehq.org/a/demo-18/api/form/attachment/4c874fc2-7d81-4651-8ca0-8711e5a3d7fc/1584695509795.jpg</v>
      </c>
      <c r="P98" t="str">
        <f>HYPERLINK("https://www.commcarehq.org/a/demo-18/api/form/attachment/4c874fc2-7d81-4651-8ca0-8711e5a3d7fc/1584695523158.jpg")</f>
        <v>https://www.commcarehq.org/a/demo-18/api/form/attachment/4c874fc2-7d81-4651-8ca0-8711e5a3d7fc/1584695523158.jpg</v>
      </c>
      <c r="Q98" t="str">
        <f>HYPERLINK("https://www.commcarehq.org/a/demo-18/api/form/attachment/4c874fc2-7d81-4651-8ca0-8711e5a3d7fc/1584695530856.jpg")</f>
        <v>https://www.commcarehq.org/a/demo-18/api/form/attachment/4c874fc2-7d81-4651-8ca0-8711e5a3d7fc/1584695530856.jpg</v>
      </c>
      <c r="R98" s="2">
        <v>43910.383483796293</v>
      </c>
      <c r="S98" s="2">
        <v>43910.381527777776</v>
      </c>
      <c r="T98" t="s">
        <v>32</v>
      </c>
      <c r="U98" s="2">
        <v>43910.419421296298</v>
      </c>
      <c r="V98" t="s">
        <v>1631</v>
      </c>
      <c r="W98" t="s">
        <v>1632</v>
      </c>
    </row>
    <row r="99" spans="1:23" x14ac:dyDescent="0.45">
      <c r="A99" t="s">
        <v>140</v>
      </c>
      <c r="B99">
        <v>8.3000000000000007</v>
      </c>
      <c r="C99" s="1">
        <v>43947</v>
      </c>
      <c r="D99" s="1">
        <v>43917</v>
      </c>
      <c r="E99" t="s">
        <v>428</v>
      </c>
      <c r="F99" t="s">
        <v>429</v>
      </c>
      <c r="G99" t="s">
        <v>429</v>
      </c>
      <c r="H99" t="s">
        <v>429</v>
      </c>
      <c r="I99" t="s">
        <v>579</v>
      </c>
      <c r="J99" t="s">
        <v>428</v>
      </c>
      <c r="K99" t="s">
        <v>429</v>
      </c>
      <c r="L99" t="str">
        <f>HYPERLINK("https://www.commcarehq.org/a/demo-18/api/form/attachment/aa498f90-7777-4a47-ae20-e2b964471970/1585293635804.jpg")</f>
        <v>https://www.commcarehq.org/a/demo-18/api/form/attachment/aa498f90-7777-4a47-ae20-e2b964471970/1585293635804.jpg</v>
      </c>
      <c r="M99" t="str">
        <f>HYPERLINK("https://www.commcarehq.org/a/demo-18/api/form/attachment/aa498f90-7777-4a47-ae20-e2b964471970/1585293650424.jpg")</f>
        <v>https://www.commcarehq.org/a/demo-18/api/form/attachment/aa498f90-7777-4a47-ae20-e2b964471970/1585293650424.jpg</v>
      </c>
      <c r="N99" t="str">
        <f>HYPERLINK("https://www.commcarehq.org/a/demo-18/api/form/attachment/aa498f90-7777-4a47-ae20-e2b964471970/1585293682020.jpg")</f>
        <v>https://www.commcarehq.org/a/demo-18/api/form/attachment/aa498f90-7777-4a47-ae20-e2b964471970/1585293682020.jpg</v>
      </c>
      <c r="O99" t="str">
        <f>HYPERLINK("https://www.commcarehq.org/a/demo-18/api/form/attachment/aa498f90-7777-4a47-ae20-e2b964471970/1585293690275.jpg")</f>
        <v>https://www.commcarehq.org/a/demo-18/api/form/attachment/aa498f90-7777-4a47-ae20-e2b964471970/1585293690275.jpg</v>
      </c>
      <c r="P99" t="str">
        <f>HYPERLINK("https://www.commcarehq.org/a/demo-18/api/form/attachment/aa498f90-7777-4a47-ae20-e2b964471970/1585293734780.jpg")</f>
        <v>https://www.commcarehq.org/a/demo-18/api/form/attachment/aa498f90-7777-4a47-ae20-e2b964471970/1585293734780.jpg</v>
      </c>
      <c r="Q99" t="str">
        <f>HYPERLINK("https://www.commcarehq.org/a/demo-18/api/form/attachment/aa498f90-7777-4a47-ae20-e2b964471970/1585293743325.jpg")</f>
        <v>https://www.commcarehq.org/a/demo-18/api/form/attachment/aa498f90-7777-4a47-ae20-e2b964471970/1585293743325.jpg</v>
      </c>
      <c r="R99" s="2">
        <v>43917.307222222225</v>
      </c>
      <c r="S99" s="2">
        <v>43917.305428240739</v>
      </c>
      <c r="T99" t="s">
        <v>32</v>
      </c>
      <c r="U99" s="2">
        <v>43917.30746527778</v>
      </c>
      <c r="V99" t="s">
        <v>1718</v>
      </c>
      <c r="W99" t="s">
        <v>1719</v>
      </c>
    </row>
    <row r="100" spans="1:23" x14ac:dyDescent="0.45">
      <c r="A100" t="s">
        <v>379</v>
      </c>
      <c r="B100">
        <v>7.4</v>
      </c>
      <c r="C100" s="1">
        <v>43943</v>
      </c>
      <c r="D100" s="1">
        <v>43913</v>
      </c>
      <c r="E100" t="s">
        <v>428</v>
      </c>
      <c r="F100" t="s">
        <v>429</v>
      </c>
      <c r="G100" t="s">
        <v>429</v>
      </c>
      <c r="H100" t="s">
        <v>429</v>
      </c>
      <c r="I100" t="s">
        <v>447</v>
      </c>
      <c r="J100" t="s">
        <v>428</v>
      </c>
      <c r="K100" t="s">
        <v>429</v>
      </c>
      <c r="L100" t="str">
        <f>HYPERLINK("https://www.commcarehq.org/a/demo-18/api/form/attachment/ca53fcfc-3a76-4e2c-816e-9b79543e4f64/1584944881174.jpg")</f>
        <v>https://www.commcarehq.org/a/demo-18/api/form/attachment/ca53fcfc-3a76-4e2c-816e-9b79543e4f64/1584944881174.jpg</v>
      </c>
      <c r="M100" t="str">
        <f>HYPERLINK("https://www.commcarehq.org/a/demo-18/api/form/attachment/ca53fcfc-3a76-4e2c-816e-9b79543e4f64/1584944900278.jpg")</f>
        <v>https://www.commcarehq.org/a/demo-18/api/form/attachment/ca53fcfc-3a76-4e2c-816e-9b79543e4f64/1584944900278.jpg</v>
      </c>
      <c r="N100" t="str">
        <f>HYPERLINK("https://www.commcarehq.org/a/demo-18/api/form/attachment/ca53fcfc-3a76-4e2c-816e-9b79543e4f64/1584944956727.jpg")</f>
        <v>https://www.commcarehq.org/a/demo-18/api/form/attachment/ca53fcfc-3a76-4e2c-816e-9b79543e4f64/1584944956727.jpg</v>
      </c>
      <c r="O100" t="str">
        <f>HYPERLINK("https://www.commcarehq.org/a/demo-18/api/form/attachment/ca53fcfc-3a76-4e2c-816e-9b79543e4f64/1584944966947.jpg")</f>
        <v>https://www.commcarehq.org/a/demo-18/api/form/attachment/ca53fcfc-3a76-4e2c-816e-9b79543e4f64/1584944966947.jpg</v>
      </c>
      <c r="P100" t="str">
        <f>HYPERLINK("https://www.commcarehq.org/a/demo-18/api/form/attachment/ca53fcfc-3a76-4e2c-816e-9b79543e4f64/1584944980827.jpg")</f>
        <v>https://www.commcarehq.org/a/demo-18/api/form/attachment/ca53fcfc-3a76-4e2c-816e-9b79543e4f64/1584944980827.jpg</v>
      </c>
      <c r="Q100" t="str">
        <f>HYPERLINK("https://www.commcarehq.org/a/demo-18/api/form/attachment/ca53fcfc-3a76-4e2c-816e-9b79543e4f64/1584944989309.jpg")</f>
        <v>https://www.commcarehq.org/a/demo-18/api/form/attachment/ca53fcfc-3a76-4e2c-816e-9b79543e4f64/1584944989309.jpg</v>
      </c>
      <c r="R100" s="2">
        <v>43913.27071759259</v>
      </c>
      <c r="S100" s="2">
        <v>43913.269131944442</v>
      </c>
      <c r="T100" t="s">
        <v>32</v>
      </c>
      <c r="U100" s="2">
        <v>43913.270972222221</v>
      </c>
      <c r="V100" t="s">
        <v>1730</v>
      </c>
      <c r="W100" t="s">
        <v>1731</v>
      </c>
    </row>
    <row r="101" spans="1:23" x14ac:dyDescent="0.45">
      <c r="A101" t="s">
        <v>59</v>
      </c>
      <c r="B101">
        <v>6.2</v>
      </c>
      <c r="C101" s="1">
        <v>43939</v>
      </c>
      <c r="D101" s="1">
        <v>43909</v>
      </c>
      <c r="E101" t="s">
        <v>428</v>
      </c>
      <c r="F101" t="s">
        <v>429</v>
      </c>
      <c r="G101" t="s">
        <v>429</v>
      </c>
      <c r="H101" t="s">
        <v>429</v>
      </c>
      <c r="I101" t="s">
        <v>447</v>
      </c>
      <c r="J101" t="s">
        <v>428</v>
      </c>
      <c r="K101" t="s">
        <v>429</v>
      </c>
      <c r="L101" t="str">
        <f>HYPERLINK("https://www.commcarehq.org/a/demo-18/api/form/attachment/34a584be-a985-4189-aece-779aa5fe8755/1584599638155.jpg")</f>
        <v>https://www.commcarehq.org/a/demo-18/api/form/attachment/34a584be-a985-4189-aece-779aa5fe8755/1584599638155.jpg</v>
      </c>
      <c r="M101" t="str">
        <f>HYPERLINK("https://www.commcarehq.org/a/demo-18/api/form/attachment/34a584be-a985-4189-aece-779aa5fe8755/1584599656165.jpg")</f>
        <v>https://www.commcarehq.org/a/demo-18/api/form/attachment/34a584be-a985-4189-aece-779aa5fe8755/1584599656165.jpg</v>
      </c>
      <c r="N101" t="str">
        <f>HYPERLINK("https://www.commcarehq.org/a/demo-18/api/form/attachment/34a584be-a985-4189-aece-779aa5fe8755/1584599715766.jpg")</f>
        <v>https://www.commcarehq.org/a/demo-18/api/form/attachment/34a584be-a985-4189-aece-779aa5fe8755/1584599715766.jpg</v>
      </c>
      <c r="O101" t="str">
        <f>HYPERLINK("https://www.commcarehq.org/a/demo-18/api/form/attachment/34a584be-a985-4189-aece-779aa5fe8755/1584599725156.jpg")</f>
        <v>https://www.commcarehq.org/a/demo-18/api/form/attachment/34a584be-a985-4189-aece-779aa5fe8755/1584599725156.jpg</v>
      </c>
      <c r="P101" t="str">
        <f>HYPERLINK("https://www.commcarehq.org/a/demo-18/api/form/attachment/34a584be-a985-4189-aece-779aa5fe8755/1584599738583.jpg")</f>
        <v>https://www.commcarehq.org/a/demo-18/api/form/attachment/34a584be-a985-4189-aece-779aa5fe8755/1584599738583.jpg</v>
      </c>
      <c r="Q101" t="str">
        <f>HYPERLINK("https://www.commcarehq.org/a/demo-18/api/form/attachment/34a584be-a985-4189-aece-779aa5fe8755/1584599747095.jpg")</f>
        <v>https://www.commcarehq.org/a/demo-18/api/form/attachment/34a584be-a985-4189-aece-779aa5fe8755/1584599747095.jpg</v>
      </c>
      <c r="R101" s="2">
        <v>43909.274861111109</v>
      </c>
      <c r="S101" s="2">
        <v>43909.272696759261</v>
      </c>
      <c r="T101" t="s">
        <v>32</v>
      </c>
      <c r="U101" s="2">
        <v>43909.275127314817</v>
      </c>
      <c r="V101" t="s">
        <v>1654</v>
      </c>
      <c r="W101" t="s">
        <v>1655</v>
      </c>
    </row>
    <row r="102" spans="1:23" x14ac:dyDescent="0.45">
      <c r="A102" t="s">
        <v>367</v>
      </c>
      <c r="B102">
        <v>7.5</v>
      </c>
      <c r="C102" s="1">
        <v>43950</v>
      </c>
      <c r="D102" s="1">
        <v>43920</v>
      </c>
      <c r="E102" t="s">
        <v>428</v>
      </c>
      <c r="F102" t="s">
        <v>429</v>
      </c>
      <c r="G102" t="s">
        <v>429</v>
      </c>
      <c r="H102" t="s">
        <v>429</v>
      </c>
      <c r="I102" t="s">
        <v>579</v>
      </c>
      <c r="J102" t="s">
        <v>428</v>
      </c>
      <c r="K102" t="s">
        <v>429</v>
      </c>
      <c r="L102" t="str">
        <f>HYPERLINK("https://www.commcarehq.org/a/demo-18/api/form/attachment/32927eff-dcac-4522-b10a-2e339e56d2dd/1585554785281.jpg")</f>
        <v>https://www.commcarehq.org/a/demo-18/api/form/attachment/32927eff-dcac-4522-b10a-2e339e56d2dd/1585554785281.jpg</v>
      </c>
      <c r="M102" t="str">
        <f>HYPERLINK("https://www.commcarehq.org/a/demo-18/api/form/attachment/32927eff-dcac-4522-b10a-2e339e56d2dd/1585554798244.jpg")</f>
        <v>https://www.commcarehq.org/a/demo-18/api/form/attachment/32927eff-dcac-4522-b10a-2e339e56d2dd/1585554798244.jpg</v>
      </c>
      <c r="N102" t="str">
        <f>HYPERLINK("https://www.commcarehq.org/a/demo-18/api/form/attachment/32927eff-dcac-4522-b10a-2e339e56d2dd/1585554958746.jpg")</f>
        <v>https://www.commcarehq.org/a/demo-18/api/form/attachment/32927eff-dcac-4522-b10a-2e339e56d2dd/1585554958746.jpg</v>
      </c>
      <c r="O102" t="str">
        <f>HYPERLINK("https://www.commcarehq.org/a/demo-18/api/form/attachment/32927eff-dcac-4522-b10a-2e339e56d2dd/1585554968625.jpg")</f>
        <v>https://www.commcarehq.org/a/demo-18/api/form/attachment/32927eff-dcac-4522-b10a-2e339e56d2dd/1585554968625.jpg</v>
      </c>
      <c r="P102" t="str">
        <f>HYPERLINK("https://www.commcarehq.org/a/demo-18/api/form/attachment/32927eff-dcac-4522-b10a-2e339e56d2dd/1585554982313.jpg")</f>
        <v>https://www.commcarehq.org/a/demo-18/api/form/attachment/32927eff-dcac-4522-b10a-2e339e56d2dd/1585554982313.jpg</v>
      </c>
      <c r="Q102" t="str">
        <f>HYPERLINK("https://www.commcarehq.org/a/demo-18/api/form/attachment/32927eff-dcac-4522-b10a-2e339e56d2dd/1585555002555.jpg")</f>
        <v>https://www.commcarehq.org/a/demo-18/api/form/attachment/32927eff-dcac-4522-b10a-2e339e56d2dd/1585555002555.jpg</v>
      </c>
      <c r="R102" s="2">
        <v>43920.331064814818</v>
      </c>
      <c r="S102" s="2">
        <v>43920.327881944446</v>
      </c>
      <c r="T102" t="s">
        <v>32</v>
      </c>
      <c r="U102" s="2">
        <v>43920.331331018519</v>
      </c>
      <c r="V102" t="s">
        <v>1722</v>
      </c>
      <c r="W102" t="s">
        <v>1723</v>
      </c>
    </row>
    <row r="103" spans="1:23" x14ac:dyDescent="0.45">
      <c r="A103" t="s">
        <v>71</v>
      </c>
      <c r="B103">
        <v>7.7</v>
      </c>
      <c r="C103" s="1">
        <v>43945</v>
      </c>
      <c r="D103" s="1">
        <v>43915</v>
      </c>
      <c r="E103" t="s">
        <v>428</v>
      </c>
      <c r="F103" t="s">
        <v>429</v>
      </c>
      <c r="G103" t="s">
        <v>429</v>
      </c>
      <c r="H103" t="s">
        <v>429</v>
      </c>
      <c r="I103" t="s">
        <v>579</v>
      </c>
      <c r="J103" t="s">
        <v>428</v>
      </c>
      <c r="K103" t="s">
        <v>429</v>
      </c>
      <c r="L103" t="str">
        <f>HYPERLINK("https://www.commcarehq.org/a/demo-18/api/form/attachment/5977f98d-5e95-4c7b-943f-c80d0b7b5cf2/1585117655786.jpg")</f>
        <v>https://www.commcarehq.org/a/demo-18/api/form/attachment/5977f98d-5e95-4c7b-943f-c80d0b7b5cf2/1585117655786.jpg</v>
      </c>
      <c r="M103" t="str">
        <f>HYPERLINK("https://www.commcarehq.org/a/demo-18/api/form/attachment/5977f98d-5e95-4c7b-943f-c80d0b7b5cf2/1585117686128.jpg")</f>
        <v>https://www.commcarehq.org/a/demo-18/api/form/attachment/5977f98d-5e95-4c7b-943f-c80d0b7b5cf2/1585117686128.jpg</v>
      </c>
      <c r="N103" t="str">
        <f>HYPERLINK("https://www.commcarehq.org/a/demo-18/api/form/attachment/5977f98d-5e95-4c7b-943f-c80d0b7b5cf2/1585117879787.jpg")</f>
        <v>https://www.commcarehq.org/a/demo-18/api/form/attachment/5977f98d-5e95-4c7b-943f-c80d0b7b5cf2/1585117879787.jpg</v>
      </c>
      <c r="O103" t="str">
        <f>HYPERLINK("https://www.commcarehq.org/a/demo-18/api/form/attachment/5977f98d-5e95-4c7b-943f-c80d0b7b5cf2/1585117892462.jpg")</f>
        <v>https://www.commcarehq.org/a/demo-18/api/form/attachment/5977f98d-5e95-4c7b-943f-c80d0b7b5cf2/1585117892462.jpg</v>
      </c>
      <c r="P103" t="str">
        <f>HYPERLINK("https://www.commcarehq.org/a/demo-18/api/form/attachment/5977f98d-5e95-4c7b-943f-c80d0b7b5cf2/1585117907354.jpg")</f>
        <v>https://www.commcarehq.org/a/demo-18/api/form/attachment/5977f98d-5e95-4c7b-943f-c80d0b7b5cf2/1585117907354.jpg</v>
      </c>
      <c r="Q103" t="str">
        <f>HYPERLINK("https://www.commcarehq.org/a/demo-18/api/form/attachment/5977f98d-5e95-4c7b-943f-c80d0b7b5cf2/1585117914840.jpg")</f>
        <v>https://www.commcarehq.org/a/demo-18/api/form/attachment/5977f98d-5e95-4c7b-943f-c80d0b7b5cf2/1585117914840.jpg</v>
      </c>
      <c r="R103" s="2">
        <v>43915.272187499999</v>
      </c>
      <c r="S103" s="2">
        <v>43915.268564814818</v>
      </c>
      <c r="T103" t="s">
        <v>32</v>
      </c>
      <c r="U103" s="2">
        <v>43915.272430555553</v>
      </c>
      <c r="V103" t="s">
        <v>1742</v>
      </c>
      <c r="W103" t="s">
        <v>1743</v>
      </c>
    </row>
    <row r="104" spans="1:23" x14ac:dyDescent="0.45">
      <c r="A104" t="s">
        <v>364</v>
      </c>
      <c r="B104">
        <v>6.5</v>
      </c>
      <c r="C104" s="1">
        <v>43943</v>
      </c>
      <c r="D104" s="1">
        <v>43913</v>
      </c>
      <c r="E104" t="s">
        <v>428</v>
      </c>
      <c r="F104" t="s">
        <v>429</v>
      </c>
      <c r="G104" t="s">
        <v>429</v>
      </c>
      <c r="H104" t="s">
        <v>429</v>
      </c>
      <c r="I104" t="s">
        <v>447</v>
      </c>
      <c r="J104" t="s">
        <v>428</v>
      </c>
      <c r="K104" t="s">
        <v>429</v>
      </c>
      <c r="L104" t="str">
        <f>HYPERLINK("https://www.commcarehq.org/a/demo-18/api/form/attachment/ee5c22a4-93ed-453d-bcda-87ed07cdc389/1584944610423.jpg")</f>
        <v>https://www.commcarehq.org/a/demo-18/api/form/attachment/ee5c22a4-93ed-453d-bcda-87ed07cdc389/1584944610423.jpg</v>
      </c>
      <c r="M104" t="str">
        <f>HYPERLINK("https://www.commcarehq.org/a/demo-18/api/form/attachment/ee5c22a4-93ed-453d-bcda-87ed07cdc389/1584944625302.jpg")</f>
        <v>https://www.commcarehq.org/a/demo-18/api/form/attachment/ee5c22a4-93ed-453d-bcda-87ed07cdc389/1584944625302.jpg</v>
      </c>
      <c r="N104" t="str">
        <f>HYPERLINK("https://www.commcarehq.org/a/demo-18/api/form/attachment/ee5c22a4-93ed-453d-bcda-87ed07cdc389/1584944667473.jpg")</f>
        <v>https://www.commcarehq.org/a/demo-18/api/form/attachment/ee5c22a4-93ed-453d-bcda-87ed07cdc389/1584944667473.jpg</v>
      </c>
      <c r="O104" t="str">
        <f>HYPERLINK("https://www.commcarehq.org/a/demo-18/api/form/attachment/ee5c22a4-93ed-453d-bcda-87ed07cdc389/1584944677174.jpg")</f>
        <v>https://www.commcarehq.org/a/demo-18/api/form/attachment/ee5c22a4-93ed-453d-bcda-87ed07cdc389/1584944677174.jpg</v>
      </c>
      <c r="P104" t="str">
        <f>HYPERLINK("https://www.commcarehq.org/a/demo-18/api/form/attachment/ee5c22a4-93ed-453d-bcda-87ed07cdc389/1584944692405.jpg")</f>
        <v>https://www.commcarehq.org/a/demo-18/api/form/attachment/ee5c22a4-93ed-453d-bcda-87ed07cdc389/1584944692405.jpg</v>
      </c>
      <c r="Q104" t="str">
        <f>HYPERLINK("https://www.commcarehq.org/a/demo-18/api/form/attachment/ee5c22a4-93ed-453d-bcda-87ed07cdc389/1584944701443.jpg")</f>
        <v>https://www.commcarehq.org/a/demo-18/api/form/attachment/ee5c22a4-93ed-453d-bcda-87ed07cdc389/1584944701443.jpg</v>
      </c>
      <c r="R104" s="2">
        <v>43913.267395833333</v>
      </c>
      <c r="S104" s="2">
        <v>43913.265879629631</v>
      </c>
      <c r="T104" t="s">
        <v>32</v>
      </c>
      <c r="U104" s="2">
        <v>43913.26767361111</v>
      </c>
      <c r="V104" t="s">
        <v>1635</v>
      </c>
      <c r="W104" t="s">
        <v>1636</v>
      </c>
    </row>
    <row r="105" spans="1:23" x14ac:dyDescent="0.45">
      <c r="A105" t="s">
        <v>184</v>
      </c>
      <c r="B105">
        <v>6.6</v>
      </c>
      <c r="C105" s="1">
        <v>43946</v>
      </c>
      <c r="D105" s="1">
        <v>43916</v>
      </c>
      <c r="E105" t="s">
        <v>428</v>
      </c>
      <c r="F105" t="s">
        <v>429</v>
      </c>
      <c r="G105" t="s">
        <v>429</v>
      </c>
      <c r="H105" t="s">
        <v>429</v>
      </c>
      <c r="I105" t="s">
        <v>1321</v>
      </c>
      <c r="J105" t="s">
        <v>428</v>
      </c>
      <c r="K105" t="s">
        <v>429</v>
      </c>
      <c r="L105" t="str">
        <f>HYPERLINK("https://www.commcarehq.org/a/demo-18/api/form/attachment/c47e2566-4853-4a47-b51d-22d12e747410/1585205727039.jpg")</f>
        <v>https://www.commcarehq.org/a/demo-18/api/form/attachment/c47e2566-4853-4a47-b51d-22d12e747410/1585205727039.jpg</v>
      </c>
      <c r="M105" t="str">
        <f>HYPERLINK("https://www.commcarehq.org/a/demo-18/api/form/attachment/c47e2566-4853-4a47-b51d-22d12e747410/1585205741191.jpg")</f>
        <v>https://www.commcarehq.org/a/demo-18/api/form/attachment/c47e2566-4853-4a47-b51d-22d12e747410/1585205741191.jpg</v>
      </c>
      <c r="N105" t="str">
        <f>HYPERLINK("https://www.commcarehq.org/a/demo-18/api/form/attachment/c47e2566-4853-4a47-b51d-22d12e747410/1585205787278.jpg")</f>
        <v>https://www.commcarehq.org/a/demo-18/api/form/attachment/c47e2566-4853-4a47-b51d-22d12e747410/1585205787278.jpg</v>
      </c>
      <c r="O105" t="str">
        <f>HYPERLINK("https://www.commcarehq.org/a/demo-18/api/form/attachment/c47e2566-4853-4a47-b51d-22d12e747410/1585205796596.jpg")</f>
        <v>https://www.commcarehq.org/a/demo-18/api/form/attachment/c47e2566-4853-4a47-b51d-22d12e747410/1585205796596.jpg</v>
      </c>
      <c r="P105" t="str">
        <f>HYPERLINK("https://www.commcarehq.org/a/demo-18/api/form/attachment/c47e2566-4853-4a47-b51d-22d12e747410/1585205831653.jpg")</f>
        <v>https://www.commcarehq.org/a/demo-18/api/form/attachment/c47e2566-4853-4a47-b51d-22d12e747410/1585205831653.jpg</v>
      </c>
      <c r="Q105" t="str">
        <f>HYPERLINK("https://www.commcarehq.org/a/demo-18/api/form/attachment/c47e2566-4853-4a47-b51d-22d12e747410/1585205841507.jpg")</f>
        <v>https://www.commcarehq.org/a/demo-18/api/form/attachment/c47e2566-4853-4a47-b51d-22d12e747410/1585205841507.jpg</v>
      </c>
      <c r="R105" s="2">
        <v>43916.289849537039</v>
      </c>
      <c r="S105" s="2">
        <v>43916.288136574076</v>
      </c>
      <c r="T105" t="s">
        <v>32</v>
      </c>
      <c r="U105" s="2">
        <v>43916.29011574074</v>
      </c>
      <c r="V105" t="s">
        <v>1693</v>
      </c>
      <c r="W105" t="s">
        <v>1694</v>
      </c>
    </row>
    <row r="106" spans="1:23" x14ac:dyDescent="0.45">
      <c r="A106" t="s">
        <v>181</v>
      </c>
      <c r="B106">
        <v>5.0999999999999996</v>
      </c>
      <c r="C106" s="1">
        <v>43943</v>
      </c>
      <c r="D106" s="1">
        <v>43913</v>
      </c>
      <c r="E106" t="s">
        <v>428</v>
      </c>
      <c r="F106" t="s">
        <v>429</v>
      </c>
      <c r="G106" t="s">
        <v>429</v>
      </c>
      <c r="H106" t="s">
        <v>429</v>
      </c>
      <c r="I106" t="s">
        <v>579</v>
      </c>
      <c r="J106" t="s">
        <v>428</v>
      </c>
      <c r="K106" t="s">
        <v>429</v>
      </c>
      <c r="L106" t="str">
        <f>HYPERLINK("https://www.commcarehq.org/a/demo-18/api/form/attachment/48393226-4161-450d-a5a7-4808cc2a22f1/1584953210647.jpg")</f>
        <v>https://www.commcarehq.org/a/demo-18/api/form/attachment/48393226-4161-450d-a5a7-4808cc2a22f1/1584953210647.jpg</v>
      </c>
      <c r="M106" t="str">
        <f>HYPERLINK("https://www.commcarehq.org/a/demo-18/api/form/attachment/48393226-4161-450d-a5a7-4808cc2a22f1/1584953224671.jpg")</f>
        <v>https://www.commcarehq.org/a/demo-18/api/form/attachment/48393226-4161-450d-a5a7-4808cc2a22f1/1584953224671.jpg</v>
      </c>
      <c r="N106" t="str">
        <f>HYPERLINK("https://www.commcarehq.org/a/demo-18/api/form/attachment/48393226-4161-450d-a5a7-4808cc2a22f1/1584953254563.jpg")</f>
        <v>https://www.commcarehq.org/a/demo-18/api/form/attachment/48393226-4161-450d-a5a7-4808cc2a22f1/1584953254563.jpg</v>
      </c>
      <c r="O106" t="str">
        <f>HYPERLINK("https://www.commcarehq.org/a/demo-18/api/form/attachment/48393226-4161-450d-a5a7-4808cc2a22f1/1584953279620.jpg")</f>
        <v>https://www.commcarehq.org/a/demo-18/api/form/attachment/48393226-4161-450d-a5a7-4808cc2a22f1/1584953279620.jpg</v>
      </c>
      <c r="P106" t="str">
        <f>HYPERLINK("https://www.commcarehq.org/a/demo-18/api/form/attachment/48393226-4161-450d-a5a7-4808cc2a22f1/1584953294725.jpg")</f>
        <v>https://www.commcarehq.org/a/demo-18/api/form/attachment/48393226-4161-450d-a5a7-4808cc2a22f1/1584953294725.jpg</v>
      </c>
      <c r="Q106" t="str">
        <f>HYPERLINK("https://www.commcarehq.org/a/demo-18/api/form/attachment/48393226-4161-450d-a5a7-4808cc2a22f1/1584953310576.jpg")</f>
        <v>https://www.commcarehq.org/a/demo-18/api/form/attachment/48393226-4161-450d-a5a7-4808cc2a22f1/1584953310576.jpg</v>
      </c>
      <c r="R106" s="2">
        <v>43913.367037037038</v>
      </c>
      <c r="S106" s="2">
        <v>43913.365300925929</v>
      </c>
      <c r="T106" t="s">
        <v>32</v>
      </c>
      <c r="U106" s="2">
        <v>43913.367268518516</v>
      </c>
      <c r="V106" t="s">
        <v>1691</v>
      </c>
      <c r="W106" t="s">
        <v>1692</v>
      </c>
    </row>
    <row r="107" spans="1:23" x14ac:dyDescent="0.45">
      <c r="A107" t="s">
        <v>19</v>
      </c>
      <c r="B107">
        <v>7.9</v>
      </c>
      <c r="C107" s="1">
        <v>43931</v>
      </c>
      <c r="D107" s="1">
        <v>43901</v>
      </c>
      <c r="E107" t="s">
        <v>428</v>
      </c>
      <c r="F107" t="s">
        <v>429</v>
      </c>
      <c r="G107" t="s">
        <v>429</v>
      </c>
      <c r="H107" t="s">
        <v>429</v>
      </c>
      <c r="I107" t="s">
        <v>498</v>
      </c>
      <c r="J107" t="s">
        <v>428</v>
      </c>
      <c r="K107" t="s">
        <v>429</v>
      </c>
      <c r="L107" t="str">
        <f>HYPERLINK("https://www.commcarehq.org/a/demo-18/api/form/attachment/b1ab9db6-0799-4135-94ee-959f26275fe5/1583910221662.jpg")</f>
        <v>https://www.commcarehq.org/a/demo-18/api/form/attachment/b1ab9db6-0799-4135-94ee-959f26275fe5/1583910221662.jpg</v>
      </c>
      <c r="M107" t="str">
        <f>HYPERLINK("https://www.commcarehq.org/a/demo-18/api/form/attachment/b1ab9db6-0799-4135-94ee-959f26275fe5/1583910234543.jpg")</f>
        <v>https://www.commcarehq.org/a/demo-18/api/form/attachment/b1ab9db6-0799-4135-94ee-959f26275fe5/1583910234543.jpg</v>
      </c>
      <c r="N107" t="str">
        <f>HYPERLINK("https://www.commcarehq.org/a/demo-18/api/form/attachment/b1ab9db6-0799-4135-94ee-959f26275fe5/1583910331234.jpg")</f>
        <v>https://www.commcarehq.org/a/demo-18/api/form/attachment/b1ab9db6-0799-4135-94ee-959f26275fe5/1583910331234.jpg</v>
      </c>
      <c r="O107" t="str">
        <f>HYPERLINK("https://www.commcarehq.org/a/demo-18/api/form/attachment/b1ab9db6-0799-4135-94ee-959f26275fe5/1583910339022.jpg")</f>
        <v>https://www.commcarehq.org/a/demo-18/api/form/attachment/b1ab9db6-0799-4135-94ee-959f26275fe5/1583910339022.jpg</v>
      </c>
      <c r="P107" t="str">
        <f>HYPERLINK("https://www.commcarehq.org/a/demo-18/api/form/attachment/b1ab9db6-0799-4135-94ee-959f26275fe5/1583910361885.jpg")</f>
        <v>https://www.commcarehq.org/a/demo-18/api/form/attachment/b1ab9db6-0799-4135-94ee-959f26275fe5/1583910361885.jpg</v>
      </c>
      <c r="Q107" t="str">
        <f>HYPERLINK("https://www.commcarehq.org/a/demo-18/api/form/attachment/b1ab9db6-0799-4135-94ee-959f26275fe5/1583910375226.jpg")</f>
        <v>https://www.commcarehq.org/a/demo-18/api/form/attachment/b1ab9db6-0799-4135-94ee-959f26275fe5/1583910375226.jpg</v>
      </c>
      <c r="R107" s="2">
        <v>43901.296041666668</v>
      </c>
      <c r="S107" s="2">
        <v>43901.293819444443</v>
      </c>
      <c r="T107" t="s">
        <v>32</v>
      </c>
      <c r="U107" s="2">
        <v>43901.296261574076</v>
      </c>
      <c r="V107" t="s">
        <v>1648</v>
      </c>
      <c r="W107" t="s">
        <v>1649</v>
      </c>
    </row>
    <row r="108" spans="1:23" x14ac:dyDescent="0.45">
      <c r="A108" t="s">
        <v>223</v>
      </c>
      <c r="B108">
        <v>8.4</v>
      </c>
      <c r="C108" s="1">
        <v>43947</v>
      </c>
      <c r="D108" s="1">
        <v>43917</v>
      </c>
      <c r="E108" t="s">
        <v>428</v>
      </c>
      <c r="F108" t="s">
        <v>429</v>
      </c>
      <c r="G108" t="s">
        <v>429</v>
      </c>
      <c r="H108" t="s">
        <v>429</v>
      </c>
      <c r="I108" t="s">
        <v>1321</v>
      </c>
      <c r="J108" t="s">
        <v>428</v>
      </c>
      <c r="K108" t="s">
        <v>429</v>
      </c>
      <c r="L108" t="str">
        <f>HYPERLINK("https://www.commcarehq.org/a/demo-18/api/form/attachment/873fa31d-b740-427a-b759-bba678b0c826/1585296266090.jpg")</f>
        <v>https://www.commcarehq.org/a/demo-18/api/form/attachment/873fa31d-b740-427a-b759-bba678b0c826/1585296266090.jpg</v>
      </c>
      <c r="M108" t="str">
        <f>HYPERLINK("https://www.commcarehq.org/a/demo-18/api/form/attachment/873fa31d-b740-427a-b759-bba678b0c826/1585296282715.jpg")</f>
        <v>https://www.commcarehq.org/a/demo-18/api/form/attachment/873fa31d-b740-427a-b759-bba678b0c826/1585296282715.jpg</v>
      </c>
      <c r="N108" t="str">
        <f>HYPERLINK("https://www.commcarehq.org/a/demo-18/api/form/attachment/873fa31d-b740-427a-b759-bba678b0c826/1585296471836.jpg")</f>
        <v>https://www.commcarehq.org/a/demo-18/api/form/attachment/873fa31d-b740-427a-b759-bba678b0c826/1585296471836.jpg</v>
      </c>
      <c r="O108" t="str">
        <f>HYPERLINK("https://www.commcarehq.org/a/demo-18/api/form/attachment/873fa31d-b740-427a-b759-bba678b0c826/1585296480085.jpg")</f>
        <v>https://www.commcarehq.org/a/demo-18/api/form/attachment/873fa31d-b740-427a-b759-bba678b0c826/1585296480085.jpg</v>
      </c>
      <c r="P108" t="str">
        <f>HYPERLINK("https://www.commcarehq.org/a/demo-18/api/form/attachment/873fa31d-b740-427a-b759-bba678b0c826/1585296502561.jpg")</f>
        <v>https://www.commcarehq.org/a/demo-18/api/form/attachment/873fa31d-b740-427a-b759-bba678b0c826/1585296502561.jpg</v>
      </c>
      <c r="Q108" t="str">
        <f>HYPERLINK("https://www.commcarehq.org/a/demo-18/api/form/attachment/873fa31d-b740-427a-b759-bba678b0c826/1585296512390.jpg")</f>
        <v>https://www.commcarehq.org/a/demo-18/api/form/attachment/873fa31d-b740-427a-b759-bba678b0c826/1585296512390.jpg</v>
      </c>
      <c r="R108" s="2">
        <v>43917.339282407411</v>
      </c>
      <c r="S108" s="2">
        <v>43917.335949074077</v>
      </c>
      <c r="T108" t="s">
        <v>32</v>
      </c>
      <c r="U108" s="2">
        <v>43917.339513888888</v>
      </c>
      <c r="V108" t="s">
        <v>1748</v>
      </c>
      <c r="W108" t="s">
        <v>1749</v>
      </c>
    </row>
    <row r="109" spans="1:23" x14ac:dyDescent="0.45">
      <c r="A109" t="s">
        <v>226</v>
      </c>
      <c r="B109">
        <v>7.5</v>
      </c>
      <c r="C109" s="1">
        <v>43947</v>
      </c>
      <c r="D109" s="1">
        <v>43917</v>
      </c>
      <c r="E109" t="s">
        <v>428</v>
      </c>
      <c r="F109" t="s">
        <v>429</v>
      </c>
      <c r="G109" t="s">
        <v>429</v>
      </c>
      <c r="H109" t="s">
        <v>429</v>
      </c>
      <c r="I109" t="s">
        <v>579</v>
      </c>
      <c r="J109" t="s">
        <v>428</v>
      </c>
      <c r="K109" t="s">
        <v>429</v>
      </c>
      <c r="L109" t="str">
        <f>HYPERLINK("https://www.commcarehq.org/a/demo-18/api/form/attachment/efe20106-7253-4c1b-9bbd-c3b05994f699/1585293311517.jpg")</f>
        <v>https://www.commcarehq.org/a/demo-18/api/form/attachment/efe20106-7253-4c1b-9bbd-c3b05994f699/1585293311517.jpg</v>
      </c>
      <c r="M109" t="str">
        <f>HYPERLINK("https://www.commcarehq.org/a/demo-18/api/form/attachment/efe20106-7253-4c1b-9bbd-c3b05994f699/1585293329149.jpg")</f>
        <v>https://www.commcarehq.org/a/demo-18/api/form/attachment/efe20106-7253-4c1b-9bbd-c3b05994f699/1585293329149.jpg</v>
      </c>
      <c r="N109" t="str">
        <f>HYPERLINK("https://www.commcarehq.org/a/demo-18/api/form/attachment/efe20106-7253-4c1b-9bbd-c3b05994f699/1585293373359.jpg")</f>
        <v>https://www.commcarehq.org/a/demo-18/api/form/attachment/efe20106-7253-4c1b-9bbd-c3b05994f699/1585293373359.jpg</v>
      </c>
      <c r="O109" t="str">
        <f>HYPERLINK("https://www.commcarehq.org/a/demo-18/api/form/attachment/efe20106-7253-4c1b-9bbd-c3b05994f699/1585293381604.jpg")</f>
        <v>https://www.commcarehq.org/a/demo-18/api/form/attachment/efe20106-7253-4c1b-9bbd-c3b05994f699/1585293381604.jpg</v>
      </c>
      <c r="P109" t="str">
        <f>HYPERLINK("https://www.commcarehq.org/a/demo-18/api/form/attachment/efe20106-7253-4c1b-9bbd-c3b05994f699/1585293404670.jpg")</f>
        <v>https://www.commcarehq.org/a/demo-18/api/form/attachment/efe20106-7253-4c1b-9bbd-c3b05994f699/1585293404670.jpg</v>
      </c>
      <c r="Q109" t="str">
        <f>HYPERLINK("https://www.commcarehq.org/a/demo-18/api/form/attachment/efe20106-7253-4c1b-9bbd-c3b05994f699/1585293413126.jpg")</f>
        <v>https://www.commcarehq.org/a/demo-18/api/form/attachment/efe20106-7253-4c1b-9bbd-c3b05994f699/1585293413126.jpg</v>
      </c>
      <c r="R109" s="2">
        <v>43917.303402777776</v>
      </c>
      <c r="S109" s="2">
        <v>43917.301851851851</v>
      </c>
      <c r="T109" t="s">
        <v>32</v>
      </c>
      <c r="U109" s="2">
        <v>43917.303761574076</v>
      </c>
      <c r="V109" t="s">
        <v>1750</v>
      </c>
      <c r="W109" t="s">
        <v>1751</v>
      </c>
    </row>
    <row r="110" spans="1:23" x14ac:dyDescent="0.45">
      <c r="A110" t="s">
        <v>301</v>
      </c>
      <c r="B110">
        <v>7.9</v>
      </c>
      <c r="C110" s="1">
        <v>43946</v>
      </c>
      <c r="D110" s="1">
        <v>43916</v>
      </c>
      <c r="E110" t="s">
        <v>428</v>
      </c>
      <c r="F110" t="s">
        <v>429</v>
      </c>
      <c r="G110" t="s">
        <v>429</v>
      </c>
      <c r="H110" t="s">
        <v>429</v>
      </c>
      <c r="I110" t="s">
        <v>579</v>
      </c>
      <c r="J110" t="s">
        <v>428</v>
      </c>
      <c r="K110" t="s">
        <v>429</v>
      </c>
      <c r="L110" t="str">
        <f>HYPERLINK("https://www.commcarehq.org/a/demo-18/api/form/attachment/5cedaf3e-efd5-4a86-8e61-29eaae168708/1585206724579.jpg")</f>
        <v>https://www.commcarehq.org/a/demo-18/api/form/attachment/5cedaf3e-efd5-4a86-8e61-29eaae168708/1585206724579.jpg</v>
      </c>
      <c r="M110" t="str">
        <f>HYPERLINK("https://www.commcarehq.org/a/demo-18/api/form/attachment/5cedaf3e-efd5-4a86-8e61-29eaae168708/1585206738139.jpg")</f>
        <v>https://www.commcarehq.org/a/demo-18/api/form/attachment/5cedaf3e-efd5-4a86-8e61-29eaae168708/1585206738139.jpg</v>
      </c>
      <c r="N110" t="str">
        <f>HYPERLINK("https://www.commcarehq.org/a/demo-18/api/form/attachment/5cedaf3e-efd5-4a86-8e61-29eaae168708/1585206786346.jpg")</f>
        <v>https://www.commcarehq.org/a/demo-18/api/form/attachment/5cedaf3e-efd5-4a86-8e61-29eaae168708/1585206786346.jpg</v>
      </c>
      <c r="O110" t="str">
        <f>HYPERLINK("https://www.commcarehq.org/a/demo-18/api/form/attachment/5cedaf3e-efd5-4a86-8e61-29eaae168708/1585206795352.jpg")</f>
        <v>https://www.commcarehq.org/a/demo-18/api/form/attachment/5cedaf3e-efd5-4a86-8e61-29eaae168708/1585206795352.jpg</v>
      </c>
      <c r="P110" t="str">
        <f>HYPERLINK("https://www.commcarehq.org/a/demo-18/api/form/attachment/5cedaf3e-efd5-4a86-8e61-29eaae168708/1585206812576.jpg")</f>
        <v>https://www.commcarehq.org/a/demo-18/api/form/attachment/5cedaf3e-efd5-4a86-8e61-29eaae168708/1585206812576.jpg</v>
      </c>
      <c r="Q110" t="str">
        <f>HYPERLINK("https://www.commcarehq.org/a/demo-18/api/form/attachment/5cedaf3e-efd5-4a86-8e61-29eaae168708/1585206821272.jpg")</f>
        <v>https://www.commcarehq.org/a/demo-18/api/form/attachment/5cedaf3e-efd5-4a86-8e61-29eaae168708/1585206821272.jpg</v>
      </c>
      <c r="R110" s="2">
        <v>43916.301180555558</v>
      </c>
      <c r="S110" s="2">
        <v>43916.299479166664</v>
      </c>
      <c r="T110" t="s">
        <v>32</v>
      </c>
      <c r="U110" s="2">
        <v>43916.301412037035</v>
      </c>
      <c r="V110" t="s">
        <v>1738</v>
      </c>
      <c r="W110" t="s">
        <v>1739</v>
      </c>
    </row>
    <row r="111" spans="1:23" x14ac:dyDescent="0.45">
      <c r="A111" t="s">
        <v>149</v>
      </c>
      <c r="B111">
        <v>7.8</v>
      </c>
      <c r="C111" s="1">
        <v>43939</v>
      </c>
      <c r="D111" s="1">
        <v>43909</v>
      </c>
      <c r="E111" t="s">
        <v>428</v>
      </c>
      <c r="F111" t="s">
        <v>429</v>
      </c>
      <c r="G111" t="s">
        <v>429</v>
      </c>
      <c r="H111" t="s">
        <v>429</v>
      </c>
      <c r="I111" t="s">
        <v>626</v>
      </c>
      <c r="J111" t="s">
        <v>428</v>
      </c>
      <c r="K111" t="s">
        <v>429</v>
      </c>
      <c r="L111" t="str">
        <f>HYPERLINK("https://www.commcarehq.org/a/demo-18/api/form/attachment/6e0fc8fa-5976-4791-9214-7f68f6ae9d73/1584602249458.jpg")</f>
        <v>https://www.commcarehq.org/a/demo-18/api/form/attachment/6e0fc8fa-5976-4791-9214-7f68f6ae9d73/1584602249458.jpg</v>
      </c>
      <c r="M111" t="str">
        <f>HYPERLINK("https://www.commcarehq.org/a/demo-18/api/form/attachment/6e0fc8fa-5976-4791-9214-7f68f6ae9d73/1584602260719.jpg")</f>
        <v>https://www.commcarehq.org/a/demo-18/api/form/attachment/6e0fc8fa-5976-4791-9214-7f68f6ae9d73/1584602260719.jpg</v>
      </c>
      <c r="N111" t="str">
        <f>HYPERLINK("https://www.commcarehq.org/a/demo-18/api/form/attachment/6e0fc8fa-5976-4791-9214-7f68f6ae9d73/1584602355599.jpg")</f>
        <v>https://www.commcarehq.org/a/demo-18/api/form/attachment/6e0fc8fa-5976-4791-9214-7f68f6ae9d73/1584602355599.jpg</v>
      </c>
      <c r="O111" t="str">
        <f>HYPERLINK("https://www.commcarehq.org/a/demo-18/api/form/attachment/6e0fc8fa-5976-4791-9214-7f68f6ae9d73/1584602364872.jpg")</f>
        <v>https://www.commcarehq.org/a/demo-18/api/form/attachment/6e0fc8fa-5976-4791-9214-7f68f6ae9d73/1584602364872.jpg</v>
      </c>
      <c r="P111" t="str">
        <f>HYPERLINK("https://www.commcarehq.org/a/demo-18/api/form/attachment/6e0fc8fa-5976-4791-9214-7f68f6ae9d73/1584602382174.jpg")</f>
        <v>https://www.commcarehq.org/a/demo-18/api/form/attachment/6e0fc8fa-5976-4791-9214-7f68f6ae9d73/1584602382174.jpg</v>
      </c>
      <c r="Q111" t="str">
        <f>HYPERLINK("https://www.commcarehq.org/a/demo-18/api/form/attachment/6e0fc8fa-5976-4791-9214-7f68f6ae9d73/1584602391643.jpg")</f>
        <v>https://www.commcarehq.org/a/demo-18/api/form/attachment/6e0fc8fa-5976-4791-9214-7f68f6ae9d73/1584602391643.jpg</v>
      </c>
      <c r="R111" s="2">
        <v>43909.305474537039</v>
      </c>
      <c r="S111" s="2">
        <v>43909.303391203706</v>
      </c>
      <c r="T111" t="s">
        <v>32</v>
      </c>
      <c r="U111" s="2">
        <v>43909.30572916667</v>
      </c>
      <c r="V111" t="s">
        <v>1714</v>
      </c>
      <c r="W111" t="s">
        <v>1715</v>
      </c>
    </row>
    <row r="112" spans="1:23" x14ac:dyDescent="0.45">
      <c r="A112" t="s">
        <v>397</v>
      </c>
      <c r="B112">
        <v>6.3</v>
      </c>
      <c r="C112" s="1">
        <v>43931</v>
      </c>
      <c r="D112" s="1">
        <v>43901</v>
      </c>
      <c r="E112" t="s">
        <v>428</v>
      </c>
      <c r="F112" t="s">
        <v>429</v>
      </c>
      <c r="G112" t="s">
        <v>429</v>
      </c>
      <c r="H112" t="s">
        <v>429</v>
      </c>
      <c r="I112" t="s">
        <v>1321</v>
      </c>
      <c r="J112" t="s">
        <v>428</v>
      </c>
      <c r="K112" t="s">
        <v>429</v>
      </c>
      <c r="L112" t="str">
        <f>HYPERLINK("https://www.commcarehq.org/a/demo-18/api/form/attachment/4994a9c8-3f2b-47ce-8a07-7ff8425ba476/1583917356478.jpg")</f>
        <v>https://www.commcarehq.org/a/demo-18/api/form/attachment/4994a9c8-3f2b-47ce-8a07-7ff8425ba476/1583917356478.jpg</v>
      </c>
      <c r="M112" t="str">
        <f>HYPERLINK("https://www.commcarehq.org/a/demo-18/api/form/attachment/4994a9c8-3f2b-47ce-8a07-7ff8425ba476/1583917374809.jpg")</f>
        <v>https://www.commcarehq.org/a/demo-18/api/form/attachment/4994a9c8-3f2b-47ce-8a07-7ff8425ba476/1583917374809.jpg</v>
      </c>
      <c r="N112" t="str">
        <f>HYPERLINK("https://www.commcarehq.org/a/demo-18/api/form/attachment/4994a9c8-3f2b-47ce-8a07-7ff8425ba476/1583917426317.jpg")</f>
        <v>https://www.commcarehq.org/a/demo-18/api/form/attachment/4994a9c8-3f2b-47ce-8a07-7ff8425ba476/1583917426317.jpg</v>
      </c>
      <c r="O112" t="str">
        <f>HYPERLINK("https://www.commcarehq.org/a/demo-18/api/form/attachment/4994a9c8-3f2b-47ce-8a07-7ff8425ba476/1583917436205.jpg")</f>
        <v>https://www.commcarehq.org/a/demo-18/api/form/attachment/4994a9c8-3f2b-47ce-8a07-7ff8425ba476/1583917436205.jpg</v>
      </c>
      <c r="P112" t="str">
        <f>HYPERLINK("https://www.commcarehq.org/a/demo-18/api/form/attachment/4994a9c8-3f2b-47ce-8a07-7ff8425ba476/1583917453644.jpg")</f>
        <v>https://www.commcarehq.org/a/demo-18/api/form/attachment/4994a9c8-3f2b-47ce-8a07-7ff8425ba476/1583917453644.jpg</v>
      </c>
      <c r="Q112" t="str">
        <f>HYPERLINK("https://www.commcarehq.org/a/demo-18/api/form/attachment/4994a9c8-3f2b-47ce-8a07-7ff8425ba476/1583917462310.jpg")</f>
        <v>https://www.commcarehq.org/a/demo-18/api/form/attachment/4994a9c8-3f2b-47ce-8a07-7ff8425ba476/1583917462310.jpg</v>
      </c>
      <c r="R112" s="2">
        <v>43901.378067129626</v>
      </c>
      <c r="S112" s="2">
        <v>43901.376250000001</v>
      </c>
      <c r="T112" t="s">
        <v>32</v>
      </c>
      <c r="U112" s="2">
        <v>43901.378333333334</v>
      </c>
      <c r="V112" t="s">
        <v>1716</v>
      </c>
      <c r="W112" t="s">
        <v>1717</v>
      </c>
    </row>
  </sheetData>
  <autoFilter ref="A1:W112" xr:uid="{00000000-0009-0000-0000-000005000000}">
    <sortState xmlns:xlrd2="http://schemas.microsoft.com/office/spreadsheetml/2017/richdata2" ref="A2:W112">
      <sortCondition ref="A1:A112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55"/>
  <sheetViews>
    <sheetView topLeftCell="A48" workbookViewId="0">
      <selection activeCell="B2" sqref="B2:B55"/>
    </sheetView>
  </sheetViews>
  <sheetFormatPr defaultColWidth="8.796875" defaultRowHeight="14.25" x14ac:dyDescent="0.45"/>
  <cols>
    <col min="1" max="1" width="10" bestFit="1" customWidth="1"/>
    <col min="2" max="2" width="12.1328125" bestFit="1" customWidth="1"/>
    <col min="3" max="3" width="8.46484375" bestFit="1" customWidth="1"/>
    <col min="4" max="4" width="15.46484375" bestFit="1" customWidth="1"/>
    <col min="5" max="5" width="16.1328125" bestFit="1" customWidth="1"/>
    <col min="6" max="6" width="8" bestFit="1" customWidth="1"/>
    <col min="7" max="7" width="13.1328125" bestFit="1" customWidth="1"/>
    <col min="8" max="8" width="9" bestFit="1" customWidth="1"/>
    <col min="9" max="9" width="45.46484375" bestFit="1" customWidth="1"/>
    <col min="10" max="10" width="14.33203125" bestFit="1" customWidth="1"/>
    <col min="11" max="11" width="9" bestFit="1" customWidth="1"/>
    <col min="12" max="12" width="11.1328125" bestFit="1" customWidth="1"/>
    <col min="13" max="13" width="10.46484375" bestFit="1" customWidth="1"/>
    <col min="14" max="14" width="6.46484375" bestFit="1" customWidth="1"/>
    <col min="15" max="15" width="9.33203125" bestFit="1" customWidth="1"/>
    <col min="16" max="16" width="7.6640625" bestFit="1" customWidth="1"/>
    <col min="17" max="17" width="10.46484375" bestFit="1" customWidth="1"/>
    <col min="18" max="18" width="16" bestFit="1" customWidth="1"/>
    <col min="19" max="19" width="13.33203125" bestFit="1" customWidth="1"/>
    <col min="20" max="20" width="14.46484375" bestFit="1" customWidth="1"/>
    <col min="21" max="21" width="14.1328125" bestFit="1" customWidth="1"/>
    <col min="22" max="22" width="35.1328125" bestFit="1" customWidth="1"/>
    <col min="23" max="23" width="80.6640625" bestFit="1" customWidth="1"/>
  </cols>
  <sheetData>
    <row r="1" spans="1:23" x14ac:dyDescent="0.45">
      <c r="A1" t="s">
        <v>1</v>
      </c>
      <c r="B1" t="s">
        <v>6</v>
      </c>
      <c r="C1" t="s">
        <v>4</v>
      </c>
      <c r="D1" t="s">
        <v>3</v>
      </c>
      <c r="E1" t="s">
        <v>681</v>
      </c>
      <c r="F1" t="s">
        <v>423</v>
      </c>
      <c r="G1" t="s">
        <v>424</v>
      </c>
      <c r="H1" t="s">
        <v>427</v>
      </c>
      <c r="I1" t="s">
        <v>425</v>
      </c>
      <c r="J1" t="s">
        <v>426</v>
      </c>
      <c r="K1" t="s">
        <v>510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18</v>
      </c>
      <c r="W1" t="s">
        <v>17</v>
      </c>
    </row>
    <row r="2" spans="1:23" x14ac:dyDescent="0.45">
      <c r="A2" t="s">
        <v>698</v>
      </c>
      <c r="B2">
        <v>7.4</v>
      </c>
      <c r="C2" s="1">
        <v>43838</v>
      </c>
      <c r="D2" s="1">
        <v>43808</v>
      </c>
      <c r="E2" t="s">
        <v>428</v>
      </c>
      <c r="F2" t="s">
        <v>429</v>
      </c>
      <c r="G2" t="s">
        <v>429</v>
      </c>
      <c r="H2" t="s">
        <v>429</v>
      </c>
      <c r="I2" t="s">
        <v>430</v>
      </c>
      <c r="J2" t="s">
        <v>428</v>
      </c>
      <c r="K2" t="s">
        <v>429</v>
      </c>
      <c r="L2" t="str">
        <f>HYPERLINK("https://www.commcarehq.org/a/demo-18/api/form/attachment/d7afb51b-d95a-48b8-910f-16c9fc28babd/1575880919840.jpg")</f>
        <v>https://www.commcarehq.org/a/demo-18/api/form/attachment/d7afb51b-d95a-48b8-910f-16c9fc28babd/1575880919840.jpg</v>
      </c>
      <c r="M2" t="str">
        <f>HYPERLINK("https://www.commcarehq.org/a/demo-18/api/form/attachment/d7afb51b-d95a-48b8-910f-16c9fc28babd/1575880936113.jpg")</f>
        <v>https://www.commcarehq.org/a/demo-18/api/form/attachment/d7afb51b-d95a-48b8-910f-16c9fc28babd/1575880936113.jpg</v>
      </c>
      <c r="N2" t="str">
        <f>HYPERLINK("https://www.commcarehq.org/a/demo-18/api/form/attachment/d7afb51b-d95a-48b8-910f-16c9fc28babd/1575881017402.jpg")</f>
        <v>https://www.commcarehq.org/a/demo-18/api/form/attachment/d7afb51b-d95a-48b8-910f-16c9fc28babd/1575881017402.jpg</v>
      </c>
      <c r="O2" t="str">
        <f>HYPERLINK("https://www.commcarehq.org/a/demo-18/api/form/attachment/d7afb51b-d95a-48b8-910f-16c9fc28babd/1575881030792.jpg")</f>
        <v>https://www.commcarehq.org/a/demo-18/api/form/attachment/d7afb51b-d95a-48b8-910f-16c9fc28babd/1575881030792.jpg</v>
      </c>
      <c r="P2" t="str">
        <f>HYPERLINK("https://www.commcarehq.org/a/demo-18/api/form/attachment/d7afb51b-d95a-48b8-910f-16c9fc28babd/1575881047775.jpg")</f>
        <v>https://www.commcarehq.org/a/demo-18/api/form/attachment/d7afb51b-d95a-48b8-910f-16c9fc28babd/1575881047775.jpg</v>
      </c>
      <c r="Q2" t="str">
        <f>HYPERLINK("https://www.commcarehq.org/a/demo-18/api/form/attachment/d7afb51b-d95a-48b8-910f-16c9fc28babd/1575881057378.jpg")</f>
        <v>https://www.commcarehq.org/a/demo-18/api/form/attachment/d7afb51b-d95a-48b8-910f-16c9fc28babd/1575881057378.jpg</v>
      </c>
      <c r="R2" s="2">
        <v>43808.364120370374</v>
      </c>
      <c r="S2" s="2">
        <v>43808.361967592595</v>
      </c>
      <c r="T2" t="s">
        <v>32</v>
      </c>
      <c r="U2" s="2">
        <v>43808.421840277777</v>
      </c>
      <c r="V2" t="s">
        <v>816</v>
      </c>
      <c r="W2" t="s">
        <v>817</v>
      </c>
    </row>
    <row r="3" spans="1:23" x14ac:dyDescent="0.45">
      <c r="A3" t="s">
        <v>519</v>
      </c>
      <c r="B3">
        <v>8</v>
      </c>
      <c r="C3" s="1">
        <v>43840</v>
      </c>
      <c r="D3" s="1">
        <v>43810</v>
      </c>
      <c r="E3" t="s">
        <v>428</v>
      </c>
      <c r="F3" t="s">
        <v>429</v>
      </c>
      <c r="G3" t="s">
        <v>429</v>
      </c>
      <c r="H3" t="s">
        <v>429</v>
      </c>
      <c r="I3" t="s">
        <v>447</v>
      </c>
      <c r="J3" t="s">
        <v>428</v>
      </c>
      <c r="K3" t="s">
        <v>429</v>
      </c>
      <c r="L3" t="str">
        <f>HYPERLINK("https://www.commcarehq.org/a/demo-18/api/form/attachment/02e480e1-ab82-4dce-8fd0-923455d8bd66/1576059243784.jpg")</f>
        <v>https://www.commcarehq.org/a/demo-18/api/form/attachment/02e480e1-ab82-4dce-8fd0-923455d8bd66/1576059243784.jpg</v>
      </c>
      <c r="M3" t="str">
        <f>HYPERLINK("https://www.commcarehq.org/a/demo-18/api/form/attachment/02e480e1-ab82-4dce-8fd0-923455d8bd66/1576059260053.jpg")</f>
        <v>https://www.commcarehq.org/a/demo-18/api/form/attachment/02e480e1-ab82-4dce-8fd0-923455d8bd66/1576059260053.jpg</v>
      </c>
      <c r="N3" t="str">
        <f>HYPERLINK("https://www.commcarehq.org/a/demo-18/api/form/attachment/02e480e1-ab82-4dce-8fd0-923455d8bd66/1576059330162.jpg")</f>
        <v>https://www.commcarehq.org/a/demo-18/api/form/attachment/02e480e1-ab82-4dce-8fd0-923455d8bd66/1576059330162.jpg</v>
      </c>
      <c r="O3" t="str">
        <f>HYPERLINK("https://www.commcarehq.org/a/demo-18/api/form/attachment/02e480e1-ab82-4dce-8fd0-923455d8bd66/1576059338453.jpg")</f>
        <v>https://www.commcarehq.org/a/demo-18/api/form/attachment/02e480e1-ab82-4dce-8fd0-923455d8bd66/1576059338453.jpg</v>
      </c>
      <c r="P3" t="str">
        <f>HYPERLINK("https://www.commcarehq.org/a/demo-18/api/form/attachment/02e480e1-ab82-4dce-8fd0-923455d8bd66/1576059366469.jpg")</f>
        <v>https://www.commcarehq.org/a/demo-18/api/form/attachment/02e480e1-ab82-4dce-8fd0-923455d8bd66/1576059366469.jpg</v>
      </c>
      <c r="Q3" t="str">
        <f>HYPERLINK("https://www.commcarehq.org/a/demo-18/api/form/attachment/02e480e1-ab82-4dce-8fd0-923455d8bd66/1576059377586.jpg")</f>
        <v>https://www.commcarehq.org/a/demo-18/api/form/attachment/02e480e1-ab82-4dce-8fd0-923455d8bd66/1576059377586.jpg</v>
      </c>
      <c r="R3" s="2">
        <v>43810.427997685183</v>
      </c>
      <c r="S3" s="2">
        <v>43810.425844907404</v>
      </c>
      <c r="T3" t="s">
        <v>32</v>
      </c>
      <c r="U3" s="2">
        <v>43810.444328703707</v>
      </c>
      <c r="V3" s="3" t="s">
        <v>786</v>
      </c>
      <c r="W3" t="s">
        <v>787</v>
      </c>
    </row>
    <row r="4" spans="1:23" x14ac:dyDescent="0.45">
      <c r="A4" t="s">
        <v>604</v>
      </c>
      <c r="B4">
        <v>7.2</v>
      </c>
      <c r="C4" s="1">
        <v>43838</v>
      </c>
      <c r="D4" s="1">
        <v>43808</v>
      </c>
      <c r="E4" t="s">
        <v>428</v>
      </c>
      <c r="F4" t="s">
        <v>429</v>
      </c>
      <c r="G4" t="s">
        <v>429</v>
      </c>
      <c r="H4" t="s">
        <v>429</v>
      </c>
      <c r="I4" t="s">
        <v>796</v>
      </c>
      <c r="J4" t="s">
        <v>428</v>
      </c>
      <c r="K4" t="s">
        <v>429</v>
      </c>
      <c r="L4" t="str">
        <f>HYPERLINK("https://www.commcarehq.org/a/demo-18/api/form/attachment/b0d001a4-3d3a-4d6d-8e45-0d9c66f3eb84/1575881345459.jpg")</f>
        <v>https://www.commcarehq.org/a/demo-18/api/form/attachment/b0d001a4-3d3a-4d6d-8e45-0d9c66f3eb84/1575881345459.jpg</v>
      </c>
      <c r="M4" t="str">
        <f>HYPERLINK("https://www.commcarehq.org/a/demo-18/api/form/attachment/b0d001a4-3d3a-4d6d-8e45-0d9c66f3eb84/1575881372828.jpg")</f>
        <v>https://www.commcarehq.org/a/demo-18/api/form/attachment/b0d001a4-3d3a-4d6d-8e45-0d9c66f3eb84/1575881372828.jpg</v>
      </c>
      <c r="N4" t="str">
        <f>HYPERLINK("https://www.commcarehq.org/a/demo-18/api/form/attachment/b0d001a4-3d3a-4d6d-8e45-0d9c66f3eb84/1575881445545.jpg")</f>
        <v>https://www.commcarehq.org/a/demo-18/api/form/attachment/b0d001a4-3d3a-4d6d-8e45-0d9c66f3eb84/1575881445545.jpg</v>
      </c>
      <c r="O4" t="str">
        <f>HYPERLINK("https://www.commcarehq.org/a/demo-18/api/form/attachment/b0d001a4-3d3a-4d6d-8e45-0d9c66f3eb84/1575881454999.jpg")</f>
        <v>https://www.commcarehq.org/a/demo-18/api/form/attachment/b0d001a4-3d3a-4d6d-8e45-0d9c66f3eb84/1575881454999.jpg</v>
      </c>
      <c r="P4" t="str">
        <f>HYPERLINK("https://www.commcarehq.org/a/demo-18/api/form/attachment/b0d001a4-3d3a-4d6d-8e45-0d9c66f3eb84/1575881471632.jpg")</f>
        <v>https://www.commcarehq.org/a/demo-18/api/form/attachment/b0d001a4-3d3a-4d6d-8e45-0d9c66f3eb84/1575881471632.jpg</v>
      </c>
      <c r="Q4" t="str">
        <f>HYPERLINK("https://www.commcarehq.org/a/demo-18/api/form/attachment/b0d001a4-3d3a-4d6d-8e45-0d9c66f3eb84/1575881480635.jpg")</f>
        <v>https://www.commcarehq.org/a/demo-18/api/form/attachment/b0d001a4-3d3a-4d6d-8e45-0d9c66f3eb84/1575881480635.jpg</v>
      </c>
      <c r="R4" s="2">
        <v>43808.369004629632</v>
      </c>
      <c r="S4" s="2">
        <v>43808.366793981484</v>
      </c>
      <c r="T4" t="s">
        <v>32</v>
      </c>
      <c r="U4" s="2">
        <v>43808.422094907408</v>
      </c>
      <c r="V4" s="3" t="s">
        <v>797</v>
      </c>
      <c r="W4" t="s">
        <v>798</v>
      </c>
    </row>
    <row r="5" spans="1:23" x14ac:dyDescent="0.45">
      <c r="A5" t="s">
        <v>799</v>
      </c>
      <c r="B5">
        <v>5.9</v>
      </c>
      <c r="C5" s="1">
        <v>43827</v>
      </c>
      <c r="D5" s="1">
        <v>43797</v>
      </c>
      <c r="E5" t="s">
        <v>428</v>
      </c>
      <c r="F5" t="s">
        <v>429</v>
      </c>
      <c r="G5" t="s">
        <v>429</v>
      </c>
      <c r="H5" t="s">
        <v>429</v>
      </c>
      <c r="I5" t="s">
        <v>447</v>
      </c>
      <c r="J5" t="s">
        <v>428</v>
      </c>
      <c r="K5" t="s">
        <v>429</v>
      </c>
      <c r="L5" t="str">
        <f>HYPERLINK("https://www.commcarehq.org/a/demo-18/api/form/attachment/dd17bcda-55ad-4c27-ad99-5fabdf9a2589/1574926812433.jpg")</f>
        <v>https://www.commcarehq.org/a/demo-18/api/form/attachment/dd17bcda-55ad-4c27-ad99-5fabdf9a2589/1574926812433.jpg</v>
      </c>
      <c r="M5" t="str">
        <f>HYPERLINK("https://www.commcarehq.org/a/demo-18/api/form/attachment/dd17bcda-55ad-4c27-ad99-5fabdf9a2589/1574926835400.jpg")</f>
        <v>https://www.commcarehq.org/a/demo-18/api/form/attachment/dd17bcda-55ad-4c27-ad99-5fabdf9a2589/1574926835400.jpg</v>
      </c>
      <c r="N5" t="str">
        <f>HYPERLINK("https://www.commcarehq.org/a/demo-18/api/form/attachment/dd17bcda-55ad-4c27-ad99-5fabdf9a2589/1574926882334.jpg")</f>
        <v>https://www.commcarehq.org/a/demo-18/api/form/attachment/dd17bcda-55ad-4c27-ad99-5fabdf9a2589/1574926882334.jpg</v>
      </c>
      <c r="O5" t="str">
        <f>HYPERLINK("https://www.commcarehq.org/a/demo-18/api/form/attachment/dd17bcda-55ad-4c27-ad99-5fabdf9a2589/1574926893861.jpg")</f>
        <v>https://www.commcarehq.org/a/demo-18/api/form/attachment/dd17bcda-55ad-4c27-ad99-5fabdf9a2589/1574926893861.jpg</v>
      </c>
      <c r="P5" t="str">
        <f>HYPERLINK("https://www.commcarehq.org/a/demo-18/api/form/attachment/dd17bcda-55ad-4c27-ad99-5fabdf9a2589/1574926938152.jpg")</f>
        <v>https://www.commcarehq.org/a/demo-18/api/form/attachment/dd17bcda-55ad-4c27-ad99-5fabdf9a2589/1574926938152.jpg</v>
      </c>
      <c r="Q5" t="str">
        <f>HYPERLINK("https://www.commcarehq.org/a/demo-18/api/form/attachment/dd17bcda-55ad-4c27-ad99-5fabdf9a2589/1574926949745.jpg")</f>
        <v>https://www.commcarehq.org/a/demo-18/api/form/attachment/dd17bcda-55ad-4c27-ad99-5fabdf9a2589/1574926949745.jpg</v>
      </c>
      <c r="R5" s="2">
        <v>43797.321261574078</v>
      </c>
      <c r="S5" s="2">
        <v>43797.318124999998</v>
      </c>
      <c r="T5" t="s">
        <v>32</v>
      </c>
      <c r="U5" s="2">
        <v>43797.321458333332</v>
      </c>
      <c r="V5" s="3" t="s">
        <v>800</v>
      </c>
      <c r="W5" t="s">
        <v>801</v>
      </c>
    </row>
    <row r="6" spans="1:23" x14ac:dyDescent="0.45">
      <c r="A6" t="s">
        <v>741</v>
      </c>
      <c r="B6">
        <v>6.6</v>
      </c>
      <c r="C6" s="1">
        <v>43840</v>
      </c>
      <c r="D6" s="1">
        <v>43810</v>
      </c>
      <c r="E6" t="s">
        <v>428</v>
      </c>
      <c r="F6" t="s">
        <v>429</v>
      </c>
      <c r="G6" t="s">
        <v>429</v>
      </c>
      <c r="H6" t="s">
        <v>429</v>
      </c>
      <c r="I6" t="s">
        <v>430</v>
      </c>
      <c r="J6" t="s">
        <v>428</v>
      </c>
      <c r="K6" t="s">
        <v>429</v>
      </c>
      <c r="L6" t="str">
        <f>HYPERLINK("https://www.commcarehq.org/a/demo-18/api/form/attachment/b9169274-f4d5-461f-956d-f005cd9ff406/1576052833792.jpg")</f>
        <v>https://www.commcarehq.org/a/demo-18/api/form/attachment/b9169274-f4d5-461f-956d-f005cd9ff406/1576052833792.jpg</v>
      </c>
      <c r="M6" t="str">
        <f>HYPERLINK("https://www.commcarehq.org/a/demo-18/api/form/attachment/b9169274-f4d5-461f-956d-f005cd9ff406/1576052865388.jpg")</f>
        <v>https://www.commcarehq.org/a/demo-18/api/form/attachment/b9169274-f4d5-461f-956d-f005cd9ff406/1576052865388.jpg</v>
      </c>
      <c r="N6" t="str">
        <f>HYPERLINK("https://www.commcarehq.org/a/demo-18/api/form/attachment/b9169274-f4d5-461f-956d-f005cd9ff406/1576052920653.jpg")</f>
        <v>https://www.commcarehq.org/a/demo-18/api/form/attachment/b9169274-f4d5-461f-956d-f005cd9ff406/1576052920653.jpg</v>
      </c>
      <c r="O6" t="str">
        <f>HYPERLINK("https://www.commcarehq.org/a/demo-18/api/form/attachment/b9169274-f4d5-461f-956d-f005cd9ff406/1576052929963.jpg")</f>
        <v>https://www.commcarehq.org/a/demo-18/api/form/attachment/b9169274-f4d5-461f-956d-f005cd9ff406/1576052929963.jpg</v>
      </c>
      <c r="P6" t="str">
        <f>HYPERLINK("https://www.commcarehq.org/a/demo-18/api/form/attachment/b9169274-f4d5-461f-956d-f005cd9ff406/1576052952546.jpg")</f>
        <v>https://www.commcarehq.org/a/demo-18/api/form/attachment/b9169274-f4d5-461f-956d-f005cd9ff406/1576052952546.jpg</v>
      </c>
      <c r="Q6" t="str">
        <f>HYPERLINK("https://www.commcarehq.org/a/demo-18/api/form/attachment/b9169274-f4d5-461f-956d-f005cd9ff406/1576052962695.jpg")</f>
        <v>https://www.commcarehq.org/a/demo-18/api/form/attachment/b9169274-f4d5-461f-956d-f005cd9ff406/1576052962695.jpg</v>
      </c>
      <c r="R6" s="2">
        <v>43810.353750000002</v>
      </c>
      <c r="S6" s="2">
        <v>43810.351377314815</v>
      </c>
      <c r="T6" t="s">
        <v>32</v>
      </c>
      <c r="U6" s="2">
        <v>43810.440486111111</v>
      </c>
      <c r="V6" t="s">
        <v>808</v>
      </c>
      <c r="W6" t="s">
        <v>809</v>
      </c>
    </row>
    <row r="7" spans="1:23" x14ac:dyDescent="0.45">
      <c r="A7" t="s">
        <v>790</v>
      </c>
      <c r="B7">
        <v>6.5</v>
      </c>
      <c r="C7" s="1">
        <v>43810</v>
      </c>
      <c r="D7" s="1">
        <v>43780</v>
      </c>
      <c r="E7" t="s">
        <v>428</v>
      </c>
      <c r="F7" t="s">
        <v>429</v>
      </c>
      <c r="G7" t="s">
        <v>429</v>
      </c>
      <c r="H7" t="s">
        <v>429</v>
      </c>
      <c r="I7" t="s">
        <v>447</v>
      </c>
      <c r="J7" t="s">
        <v>428</v>
      </c>
      <c r="K7" t="s">
        <v>429</v>
      </c>
      <c r="L7" t="str">
        <f>HYPERLINK("https://www.commcarehq.org/a/demo-18/api/form/attachment/331d0b54-f043-4d73-a7c6-8be4f435ab53/1573465711111.jpg")</f>
        <v>https://www.commcarehq.org/a/demo-18/api/form/attachment/331d0b54-f043-4d73-a7c6-8be4f435ab53/1573465711111.jpg</v>
      </c>
      <c r="M7" t="str">
        <f>HYPERLINK("https://www.commcarehq.org/a/demo-18/api/form/attachment/331d0b54-f043-4d73-a7c6-8be4f435ab53/1573465728522.jpg")</f>
        <v>https://www.commcarehq.org/a/demo-18/api/form/attachment/331d0b54-f043-4d73-a7c6-8be4f435ab53/1573465728522.jpg</v>
      </c>
      <c r="N7" t="str">
        <f>HYPERLINK("https://www.commcarehq.org/a/demo-18/api/form/attachment/331d0b54-f043-4d73-a7c6-8be4f435ab53/1573465773014.jpg")</f>
        <v>https://www.commcarehq.org/a/demo-18/api/form/attachment/331d0b54-f043-4d73-a7c6-8be4f435ab53/1573465773014.jpg</v>
      </c>
      <c r="O7" t="str">
        <f>HYPERLINK("https://www.commcarehq.org/a/demo-18/api/form/attachment/331d0b54-f043-4d73-a7c6-8be4f435ab53/1573465787193.jpg")</f>
        <v>https://www.commcarehq.org/a/demo-18/api/form/attachment/331d0b54-f043-4d73-a7c6-8be4f435ab53/1573465787193.jpg</v>
      </c>
      <c r="P7" t="str">
        <f>HYPERLINK("https://www.commcarehq.org/a/demo-18/api/form/attachment/331d0b54-f043-4d73-a7c6-8be4f435ab53/1573465822933.jpg")</f>
        <v>https://www.commcarehq.org/a/demo-18/api/form/attachment/331d0b54-f043-4d73-a7c6-8be4f435ab53/1573465822933.jpg</v>
      </c>
      <c r="Q7" t="str">
        <f>HYPERLINK("https://www.commcarehq.org/a/demo-18/api/form/attachment/331d0b54-f043-4d73-a7c6-8be4f435ab53/1573465837367.jpg")</f>
        <v>https://www.commcarehq.org/a/demo-18/api/form/attachment/331d0b54-f043-4d73-a7c6-8be4f435ab53/1573465837367.jpg</v>
      </c>
      <c r="R7" s="2">
        <v>43780.410173611112</v>
      </c>
      <c r="S7" s="2">
        <v>43780.407986111109</v>
      </c>
      <c r="T7" t="s">
        <v>32</v>
      </c>
      <c r="U7" s="2">
        <v>43780.423298611109</v>
      </c>
      <c r="V7" t="s">
        <v>791</v>
      </c>
      <c r="W7" t="s">
        <v>792</v>
      </c>
    </row>
    <row r="8" spans="1:23" x14ac:dyDescent="0.45">
      <c r="A8" t="s">
        <v>547</v>
      </c>
      <c r="B8">
        <v>8.4</v>
      </c>
      <c r="C8" s="1">
        <v>43877</v>
      </c>
      <c r="D8" s="1">
        <v>43847</v>
      </c>
      <c r="E8" t="s">
        <v>428</v>
      </c>
      <c r="F8" t="s">
        <v>429</v>
      </c>
      <c r="G8" t="s">
        <v>429</v>
      </c>
      <c r="H8" t="s">
        <v>429</v>
      </c>
      <c r="I8" t="s">
        <v>796</v>
      </c>
      <c r="J8" t="s">
        <v>428</v>
      </c>
      <c r="K8" t="s">
        <v>429</v>
      </c>
      <c r="L8" t="str">
        <f>HYPERLINK("https://www.commcarehq.org/a/demo-18/api/form/attachment/7e0cf31f-619d-475b-b2dd-e76faa79c678/1579245298937.jpg")</f>
        <v>https://www.commcarehq.org/a/demo-18/api/form/attachment/7e0cf31f-619d-475b-b2dd-e76faa79c678/1579245298937.jpg</v>
      </c>
      <c r="M8" t="str">
        <f>HYPERLINK("https://www.commcarehq.org/a/demo-18/api/form/attachment/7e0cf31f-619d-475b-b2dd-e76faa79c678/1579245312485.jpg")</f>
        <v>https://www.commcarehq.org/a/demo-18/api/form/attachment/7e0cf31f-619d-475b-b2dd-e76faa79c678/1579245312485.jpg</v>
      </c>
      <c r="N8" t="str">
        <f>HYPERLINK("https://www.commcarehq.org/a/demo-18/api/form/attachment/7e0cf31f-619d-475b-b2dd-e76faa79c678/1579245380484.jpg")</f>
        <v>https://www.commcarehq.org/a/demo-18/api/form/attachment/7e0cf31f-619d-475b-b2dd-e76faa79c678/1579245380484.jpg</v>
      </c>
      <c r="O8" t="str">
        <f>HYPERLINK("https://www.commcarehq.org/a/demo-18/api/form/attachment/7e0cf31f-619d-475b-b2dd-e76faa79c678/1579245389229.jpg")</f>
        <v>https://www.commcarehq.org/a/demo-18/api/form/attachment/7e0cf31f-619d-475b-b2dd-e76faa79c678/1579245389229.jpg</v>
      </c>
      <c r="P8" t="str">
        <f>HYPERLINK("https://www.commcarehq.org/a/demo-18/api/form/attachment/7e0cf31f-619d-475b-b2dd-e76faa79c678/1579245406381.jpg")</f>
        <v>https://www.commcarehq.org/a/demo-18/api/form/attachment/7e0cf31f-619d-475b-b2dd-e76faa79c678/1579245406381.jpg</v>
      </c>
      <c r="Q8" t="str">
        <f>HYPERLINK("https://www.commcarehq.org/a/demo-18/api/form/attachment/7e0cf31f-619d-475b-b2dd-e76faa79c678/1579245415916.jpg")</f>
        <v>https://www.commcarehq.org/a/demo-18/api/form/attachment/7e0cf31f-619d-475b-b2dd-e76faa79c678/1579245415916.jpg</v>
      </c>
      <c r="R8" s="2">
        <v>43847.303449074076</v>
      </c>
      <c r="S8" s="2">
        <v>43847.301365740743</v>
      </c>
      <c r="T8" t="s">
        <v>32</v>
      </c>
      <c r="U8" s="2">
        <v>43847.30369212963</v>
      </c>
      <c r="V8" s="3" t="s">
        <v>1136</v>
      </c>
      <c r="W8" t="s">
        <v>1137</v>
      </c>
    </row>
    <row r="9" spans="1:23" x14ac:dyDescent="0.45">
      <c r="A9" t="s">
        <v>622</v>
      </c>
      <c r="B9">
        <v>6.8</v>
      </c>
      <c r="C9" s="1">
        <v>43852</v>
      </c>
      <c r="D9" s="1">
        <v>43822</v>
      </c>
      <c r="E9" t="s">
        <v>428</v>
      </c>
      <c r="F9" t="s">
        <v>429</v>
      </c>
      <c r="G9" t="s">
        <v>429</v>
      </c>
      <c r="H9" t="s">
        <v>429</v>
      </c>
      <c r="I9" t="s">
        <v>447</v>
      </c>
      <c r="J9" t="s">
        <v>428</v>
      </c>
      <c r="K9" t="s">
        <v>429</v>
      </c>
      <c r="L9" t="str">
        <f>HYPERLINK("https://www.commcarehq.org/a/demo-18/api/form/attachment/6cf0c887-6554-4c80-b896-03eab415e700/1577085050277.jpg")</f>
        <v>https://www.commcarehq.org/a/demo-18/api/form/attachment/6cf0c887-6554-4c80-b896-03eab415e700/1577085050277.jpg</v>
      </c>
      <c r="M9" t="str">
        <f>HYPERLINK("https://www.commcarehq.org/a/demo-18/api/form/attachment/6cf0c887-6554-4c80-b896-03eab415e700/1577085063923.jpg")</f>
        <v>https://www.commcarehq.org/a/demo-18/api/form/attachment/6cf0c887-6554-4c80-b896-03eab415e700/1577085063923.jpg</v>
      </c>
      <c r="N9" t="str">
        <f>HYPERLINK("https://www.commcarehq.org/a/demo-18/api/form/attachment/6cf0c887-6554-4c80-b896-03eab415e700/1577085113448.jpg")</f>
        <v>https://www.commcarehq.org/a/demo-18/api/form/attachment/6cf0c887-6554-4c80-b896-03eab415e700/1577085113448.jpg</v>
      </c>
      <c r="O9" t="str">
        <f>HYPERLINK("https://www.commcarehq.org/a/demo-18/api/form/attachment/6cf0c887-6554-4c80-b896-03eab415e700/1577085122762.jpg")</f>
        <v>https://www.commcarehq.org/a/demo-18/api/form/attachment/6cf0c887-6554-4c80-b896-03eab415e700/1577085122762.jpg</v>
      </c>
      <c r="P9" t="str">
        <f>HYPERLINK("https://www.commcarehq.org/a/demo-18/api/form/attachment/6cf0c887-6554-4c80-b896-03eab415e700/1577085145912.jpg")</f>
        <v>https://www.commcarehq.org/a/demo-18/api/form/attachment/6cf0c887-6554-4c80-b896-03eab415e700/1577085145912.jpg</v>
      </c>
      <c r="Q9" t="str">
        <f>HYPERLINK("https://www.commcarehq.org/a/demo-18/api/form/attachment/6cf0c887-6554-4c80-b896-03eab415e700/1577085156215.jpg")</f>
        <v>https://www.commcarehq.org/a/demo-18/api/form/attachment/6cf0c887-6554-4c80-b896-03eab415e700/1577085156215.jpg</v>
      </c>
      <c r="R9" s="2">
        <v>43822.300439814811</v>
      </c>
      <c r="S9" s="2">
        <v>43822.298622685186</v>
      </c>
      <c r="T9" t="s">
        <v>32</v>
      </c>
      <c r="U9" s="2">
        <v>43822.300671296296</v>
      </c>
      <c r="V9" s="3" t="s">
        <v>931</v>
      </c>
      <c r="W9" t="s">
        <v>932</v>
      </c>
    </row>
    <row r="10" spans="1:23" x14ac:dyDescent="0.45">
      <c r="A10" t="s">
        <v>553</v>
      </c>
      <c r="B10">
        <v>6.5</v>
      </c>
      <c r="C10" s="1">
        <v>43852</v>
      </c>
      <c r="D10" s="1">
        <v>43822</v>
      </c>
      <c r="E10" t="s">
        <v>428</v>
      </c>
      <c r="F10" t="s">
        <v>429</v>
      </c>
      <c r="G10" t="s">
        <v>429</v>
      </c>
      <c r="H10" t="s">
        <v>429</v>
      </c>
      <c r="I10" t="s">
        <v>430</v>
      </c>
      <c r="J10" t="s">
        <v>428</v>
      </c>
      <c r="K10" t="s">
        <v>429</v>
      </c>
      <c r="L10" t="str">
        <f>HYPERLINK("https://www.commcarehq.org/a/demo-18/api/form/attachment/db6ef625-8f20-43ec-90ba-7f2a04ee3dad/1577081632103.jpg")</f>
        <v>https://www.commcarehq.org/a/demo-18/api/form/attachment/db6ef625-8f20-43ec-90ba-7f2a04ee3dad/1577081632103.jpg</v>
      </c>
      <c r="M10" t="str">
        <f>HYPERLINK("https://www.commcarehq.org/a/demo-18/api/form/attachment/db6ef625-8f20-43ec-90ba-7f2a04ee3dad/1577081652956.jpg")</f>
        <v>https://www.commcarehq.org/a/demo-18/api/form/attachment/db6ef625-8f20-43ec-90ba-7f2a04ee3dad/1577081652956.jpg</v>
      </c>
      <c r="N10" t="str">
        <f>HYPERLINK("https://www.commcarehq.org/a/demo-18/api/form/attachment/db6ef625-8f20-43ec-90ba-7f2a04ee3dad/1577081716380.jpg")</f>
        <v>https://www.commcarehq.org/a/demo-18/api/form/attachment/db6ef625-8f20-43ec-90ba-7f2a04ee3dad/1577081716380.jpg</v>
      </c>
      <c r="O10" t="str">
        <f>HYPERLINK("https://www.commcarehq.org/a/demo-18/api/form/attachment/db6ef625-8f20-43ec-90ba-7f2a04ee3dad/1577081727006.jpg")</f>
        <v>https://www.commcarehq.org/a/demo-18/api/form/attachment/db6ef625-8f20-43ec-90ba-7f2a04ee3dad/1577081727006.jpg</v>
      </c>
      <c r="P10" t="str">
        <f>HYPERLINK("https://www.commcarehq.org/a/demo-18/api/form/attachment/db6ef625-8f20-43ec-90ba-7f2a04ee3dad/1577081741786.jpg")</f>
        <v>https://www.commcarehq.org/a/demo-18/api/form/attachment/db6ef625-8f20-43ec-90ba-7f2a04ee3dad/1577081741786.jpg</v>
      </c>
      <c r="Q10" t="str">
        <f>HYPERLINK("https://www.commcarehq.org/a/demo-18/api/form/attachment/db6ef625-8f20-43ec-90ba-7f2a04ee3dad/1577081751509.jpg")</f>
        <v>https://www.commcarehq.org/a/demo-18/api/form/attachment/db6ef625-8f20-43ec-90ba-7f2a04ee3dad/1577081751509.jpg</v>
      </c>
      <c r="R10" s="2">
        <v>43822.261053240742</v>
      </c>
      <c r="S10" s="2">
        <v>43822.259085648147</v>
      </c>
      <c r="T10" t="s">
        <v>32</v>
      </c>
      <c r="U10" s="2">
        <v>43822.26122685185</v>
      </c>
      <c r="V10" t="s">
        <v>933</v>
      </c>
      <c r="W10" t="s">
        <v>934</v>
      </c>
    </row>
    <row r="11" spans="1:23" x14ac:dyDescent="0.45">
      <c r="A11" t="s">
        <v>665</v>
      </c>
      <c r="B11">
        <v>8.4</v>
      </c>
      <c r="C11" s="1">
        <v>43855</v>
      </c>
      <c r="D11" s="1">
        <v>43825</v>
      </c>
      <c r="E11" t="s">
        <v>428</v>
      </c>
      <c r="F11" t="s">
        <v>429</v>
      </c>
      <c r="G11" t="s">
        <v>429</v>
      </c>
      <c r="H11" t="s">
        <v>429</v>
      </c>
      <c r="I11" t="s">
        <v>447</v>
      </c>
      <c r="J11" t="s">
        <v>428</v>
      </c>
      <c r="K11" t="s">
        <v>429</v>
      </c>
      <c r="L11" t="str">
        <f>HYPERLINK("https://www.commcarehq.org/a/demo-18/api/form/attachment/d3e7972d-5477-478f-a989-35936a0576f2/1577341266849.jpg")</f>
        <v>https://www.commcarehq.org/a/demo-18/api/form/attachment/d3e7972d-5477-478f-a989-35936a0576f2/1577341266849.jpg</v>
      </c>
      <c r="M11" t="str">
        <f>HYPERLINK("https://www.commcarehq.org/a/demo-18/api/form/attachment/d3e7972d-5477-478f-a989-35936a0576f2/1577341296170.jpg")</f>
        <v>https://www.commcarehq.org/a/demo-18/api/form/attachment/d3e7972d-5477-478f-a989-35936a0576f2/1577341296170.jpg</v>
      </c>
      <c r="N11" t="str">
        <f>HYPERLINK("https://www.commcarehq.org/a/demo-18/api/form/attachment/d3e7972d-5477-478f-a989-35936a0576f2/1577341353689.jpg")</f>
        <v>https://www.commcarehq.org/a/demo-18/api/form/attachment/d3e7972d-5477-478f-a989-35936a0576f2/1577341353689.jpg</v>
      </c>
      <c r="O11" t="str">
        <f>HYPERLINK("https://www.commcarehq.org/a/demo-18/api/form/attachment/d3e7972d-5477-478f-a989-35936a0576f2/1577341365910.jpg")</f>
        <v>https://www.commcarehq.org/a/demo-18/api/form/attachment/d3e7972d-5477-478f-a989-35936a0576f2/1577341365910.jpg</v>
      </c>
      <c r="P11" t="str">
        <f>HYPERLINK("https://www.commcarehq.org/a/demo-18/api/form/attachment/d3e7972d-5477-478f-a989-35936a0576f2/1577341391984.jpg")</f>
        <v>https://www.commcarehq.org/a/demo-18/api/form/attachment/d3e7972d-5477-478f-a989-35936a0576f2/1577341391984.jpg</v>
      </c>
      <c r="Q11" t="str">
        <f>HYPERLINK("https://www.commcarehq.org/a/demo-18/api/form/attachment/d3e7972d-5477-478f-a989-35936a0576f2/1577341403429.jpg")</f>
        <v>https://www.commcarehq.org/a/demo-18/api/form/attachment/d3e7972d-5477-478f-a989-35936a0576f2/1577341403429.jpg</v>
      </c>
      <c r="R11" s="2">
        <v>43825.266261574077</v>
      </c>
      <c r="S11" s="2">
        <v>43825.26421296296</v>
      </c>
      <c r="T11" t="s">
        <v>32</v>
      </c>
      <c r="U11" s="2">
        <v>43825.285196759258</v>
      </c>
      <c r="V11" s="3" t="s">
        <v>941</v>
      </c>
      <c r="W11" t="s">
        <v>942</v>
      </c>
    </row>
    <row r="12" spans="1:23" x14ac:dyDescent="0.45">
      <c r="A12" t="s">
        <v>793</v>
      </c>
      <c r="B12">
        <v>7</v>
      </c>
      <c r="C12" s="1">
        <v>43824</v>
      </c>
      <c r="D12" s="1">
        <v>43794</v>
      </c>
      <c r="E12" t="s">
        <v>428</v>
      </c>
      <c r="F12" t="s">
        <v>429</v>
      </c>
      <c r="G12" t="s">
        <v>429</v>
      </c>
      <c r="H12" t="s">
        <v>429</v>
      </c>
      <c r="I12" t="s">
        <v>447</v>
      </c>
      <c r="J12" t="s">
        <v>428</v>
      </c>
      <c r="K12" t="s">
        <v>429</v>
      </c>
      <c r="L12" t="str">
        <f>HYPERLINK("https://www.commcarehq.org/a/demo-18/api/form/attachment/2a91d306-10ba-4f16-b391-9dfe1616f2ff/1574668789281.jpg")</f>
        <v>https://www.commcarehq.org/a/demo-18/api/form/attachment/2a91d306-10ba-4f16-b391-9dfe1616f2ff/1574668789281.jpg</v>
      </c>
      <c r="M12" t="str">
        <f>HYPERLINK("https://www.commcarehq.org/a/demo-18/api/form/attachment/2a91d306-10ba-4f16-b391-9dfe1616f2ff/1574668802407.jpg")</f>
        <v>https://www.commcarehq.org/a/demo-18/api/form/attachment/2a91d306-10ba-4f16-b391-9dfe1616f2ff/1574668802407.jpg</v>
      </c>
      <c r="N12" t="str">
        <f>HYPERLINK("https://www.commcarehq.org/a/demo-18/api/form/attachment/2a91d306-10ba-4f16-b391-9dfe1616f2ff/1574668850600.jpg")</f>
        <v>https://www.commcarehq.org/a/demo-18/api/form/attachment/2a91d306-10ba-4f16-b391-9dfe1616f2ff/1574668850600.jpg</v>
      </c>
      <c r="O12" t="str">
        <f>HYPERLINK("https://www.commcarehq.org/a/demo-18/api/form/attachment/2a91d306-10ba-4f16-b391-9dfe1616f2ff/1574668860048.jpg")</f>
        <v>https://www.commcarehq.org/a/demo-18/api/form/attachment/2a91d306-10ba-4f16-b391-9dfe1616f2ff/1574668860048.jpg</v>
      </c>
      <c r="P12" t="str">
        <f>HYPERLINK("https://www.commcarehq.org/a/demo-18/api/form/attachment/2a91d306-10ba-4f16-b391-9dfe1616f2ff/1574668897505.jpg")</f>
        <v>https://www.commcarehq.org/a/demo-18/api/form/attachment/2a91d306-10ba-4f16-b391-9dfe1616f2ff/1574668897505.jpg</v>
      </c>
      <c r="Q12" t="str">
        <f>HYPERLINK("https://www.commcarehq.org/a/demo-18/api/form/attachment/2a91d306-10ba-4f16-b391-9dfe1616f2ff/1574668907076.jpg")</f>
        <v>https://www.commcarehq.org/a/demo-18/api/form/attachment/2a91d306-10ba-4f16-b391-9dfe1616f2ff/1574668907076.jpg</v>
      </c>
      <c r="R12" s="2">
        <v>43794.334594907406</v>
      </c>
      <c r="S12" s="2">
        <v>43794.332349537035</v>
      </c>
      <c r="T12" t="s">
        <v>32</v>
      </c>
      <c r="U12" s="2">
        <v>43794.334768518522</v>
      </c>
      <c r="V12" s="3" t="s">
        <v>794</v>
      </c>
      <c r="W12" t="s">
        <v>795</v>
      </c>
    </row>
    <row r="13" spans="1:23" x14ac:dyDescent="0.45">
      <c r="A13" t="s">
        <v>766</v>
      </c>
      <c r="B13">
        <v>6.3</v>
      </c>
      <c r="C13" s="1">
        <v>43855</v>
      </c>
      <c r="D13" s="1">
        <v>43825</v>
      </c>
      <c r="E13" t="s">
        <v>428</v>
      </c>
      <c r="F13" t="s">
        <v>429</v>
      </c>
      <c r="G13" t="s">
        <v>429</v>
      </c>
      <c r="H13" t="s">
        <v>429</v>
      </c>
      <c r="I13" t="s">
        <v>569</v>
      </c>
      <c r="J13" t="s">
        <v>428</v>
      </c>
      <c r="K13" t="s">
        <v>429</v>
      </c>
      <c r="L13" t="str">
        <f>HYPERLINK("https://www.commcarehq.org/a/demo-18/api/form/attachment/7e572076-1313-49c6-9f38-8dab35c0ad22/1577348387237.jpg")</f>
        <v>https://www.commcarehq.org/a/demo-18/api/form/attachment/7e572076-1313-49c6-9f38-8dab35c0ad22/1577348387237.jpg</v>
      </c>
      <c r="M13" t="str">
        <f>HYPERLINK("https://www.commcarehq.org/a/demo-18/api/form/attachment/7e572076-1313-49c6-9f38-8dab35c0ad22/1577348402011.jpg")</f>
        <v>https://www.commcarehq.org/a/demo-18/api/form/attachment/7e572076-1313-49c6-9f38-8dab35c0ad22/1577348402011.jpg</v>
      </c>
      <c r="N13" t="str">
        <f>HYPERLINK("https://www.commcarehq.org/a/demo-18/api/form/attachment/7e572076-1313-49c6-9f38-8dab35c0ad22/1577348553472.jpg")</f>
        <v>https://www.commcarehq.org/a/demo-18/api/form/attachment/7e572076-1313-49c6-9f38-8dab35c0ad22/1577348553472.jpg</v>
      </c>
      <c r="O13" t="str">
        <f>HYPERLINK("https://www.commcarehq.org/a/demo-18/api/form/attachment/7e572076-1313-49c6-9f38-8dab35c0ad22/1577348566123.jpg")</f>
        <v>https://www.commcarehq.org/a/demo-18/api/form/attachment/7e572076-1313-49c6-9f38-8dab35c0ad22/1577348566123.jpg</v>
      </c>
      <c r="P13" t="str">
        <f>HYPERLINK("https://www.commcarehq.org/a/demo-18/api/form/attachment/7e572076-1313-49c6-9f38-8dab35c0ad22/1577348579764.jpg")</f>
        <v>https://www.commcarehq.org/a/demo-18/api/form/attachment/7e572076-1313-49c6-9f38-8dab35c0ad22/1577348579764.jpg</v>
      </c>
      <c r="Q13" t="str">
        <f>HYPERLINK("https://www.commcarehq.org/a/demo-18/api/form/attachment/7e572076-1313-49c6-9f38-8dab35c0ad22/1577348601897.jpg")</f>
        <v>https://www.commcarehq.org/a/demo-18/api/form/attachment/7e572076-1313-49c6-9f38-8dab35c0ad22/1577348601897.jpg</v>
      </c>
      <c r="R13" s="2">
        <v>43825.349594907406</v>
      </c>
      <c r="S13" s="2">
        <v>43825.346203703702</v>
      </c>
      <c r="T13" t="s">
        <v>32</v>
      </c>
      <c r="U13" s="2">
        <v>43825.759074074071</v>
      </c>
      <c r="V13" s="3" t="s">
        <v>935</v>
      </c>
      <c r="W13" t="s">
        <v>936</v>
      </c>
    </row>
    <row r="14" spans="1:23" x14ac:dyDescent="0.45">
      <c r="A14" t="s">
        <v>709</v>
      </c>
      <c r="B14">
        <v>7.9</v>
      </c>
      <c r="C14" s="1">
        <v>43859</v>
      </c>
      <c r="D14" s="1">
        <v>43829</v>
      </c>
      <c r="E14" t="s">
        <v>428</v>
      </c>
      <c r="F14" t="s">
        <v>429</v>
      </c>
      <c r="G14" t="s">
        <v>429</v>
      </c>
      <c r="H14" t="s">
        <v>429</v>
      </c>
      <c r="I14" t="s">
        <v>447</v>
      </c>
      <c r="J14" t="s">
        <v>428</v>
      </c>
      <c r="K14" t="s">
        <v>429</v>
      </c>
      <c r="L14" t="str">
        <f>HYPERLINK("https://www.commcarehq.org/a/demo-18/api/form/attachment/38f1a391-8db2-492a-b2b4-e0e281f91170/1577695641198.jpg")</f>
        <v>https://www.commcarehq.org/a/demo-18/api/form/attachment/38f1a391-8db2-492a-b2b4-e0e281f91170/1577695641198.jpg</v>
      </c>
      <c r="M14" t="str">
        <f>HYPERLINK("https://www.commcarehq.org/a/demo-18/api/form/attachment/38f1a391-8db2-492a-b2b4-e0e281f91170/1577695666308.jpg")</f>
        <v>https://www.commcarehq.org/a/demo-18/api/form/attachment/38f1a391-8db2-492a-b2b4-e0e281f91170/1577695666308.jpg</v>
      </c>
      <c r="N14" t="str">
        <f>HYPERLINK("https://www.commcarehq.org/a/demo-18/api/form/attachment/38f1a391-8db2-492a-b2b4-e0e281f91170/1577695729660.jpg")</f>
        <v>https://www.commcarehq.org/a/demo-18/api/form/attachment/38f1a391-8db2-492a-b2b4-e0e281f91170/1577695729660.jpg</v>
      </c>
      <c r="O14" t="str">
        <f>HYPERLINK("https://www.commcarehq.org/a/demo-18/api/form/attachment/38f1a391-8db2-492a-b2b4-e0e281f91170/1577695740152.jpg")</f>
        <v>https://www.commcarehq.org/a/demo-18/api/form/attachment/38f1a391-8db2-492a-b2b4-e0e281f91170/1577695740152.jpg</v>
      </c>
      <c r="P14" t="str">
        <f>HYPERLINK("https://www.commcarehq.org/a/demo-18/api/form/attachment/38f1a391-8db2-492a-b2b4-e0e281f91170/1577695762945.jpg")</f>
        <v>https://www.commcarehq.org/a/demo-18/api/form/attachment/38f1a391-8db2-492a-b2b4-e0e281f91170/1577695762945.jpg</v>
      </c>
      <c r="Q14" t="str">
        <f>HYPERLINK("https://www.commcarehq.org/a/demo-18/api/form/attachment/38f1a391-8db2-492a-b2b4-e0e281f91170/1577695778287.jpg")</f>
        <v>https://www.commcarehq.org/a/demo-18/api/form/attachment/38f1a391-8db2-492a-b2b4-e0e281f91170/1577695778287.jpg</v>
      </c>
      <c r="R14" s="2">
        <v>43829.367824074077</v>
      </c>
      <c r="S14" s="2">
        <v>43829.364201388889</v>
      </c>
      <c r="T14" t="s">
        <v>32</v>
      </c>
      <c r="U14" s="2">
        <v>43830.188391203701</v>
      </c>
      <c r="V14" t="s">
        <v>937</v>
      </c>
      <c r="W14" t="s">
        <v>938</v>
      </c>
    </row>
    <row r="15" spans="1:23" x14ac:dyDescent="0.45">
      <c r="A15" t="s">
        <v>550</v>
      </c>
      <c r="B15">
        <v>6.4</v>
      </c>
      <c r="C15" s="1">
        <v>43859</v>
      </c>
      <c r="D15" s="1">
        <v>43829</v>
      </c>
      <c r="E15" t="s">
        <v>428</v>
      </c>
      <c r="F15" t="s">
        <v>429</v>
      </c>
      <c r="G15" t="s">
        <v>429</v>
      </c>
      <c r="H15" t="s">
        <v>429</v>
      </c>
      <c r="I15" t="s">
        <v>447</v>
      </c>
      <c r="J15" t="s">
        <v>428</v>
      </c>
      <c r="K15" t="s">
        <v>429</v>
      </c>
      <c r="L15" t="str">
        <f>HYPERLINK("https://www.commcarehq.org/a/demo-18/api/form/attachment/447c3bbe-2b32-4dd7-acf6-c14e093390bc/1577699457303.jpg")</f>
        <v>https://www.commcarehq.org/a/demo-18/api/form/attachment/447c3bbe-2b32-4dd7-acf6-c14e093390bc/1577699457303.jpg</v>
      </c>
      <c r="M15" t="str">
        <f>HYPERLINK("https://www.commcarehq.org/a/demo-18/api/form/attachment/447c3bbe-2b32-4dd7-acf6-c14e093390bc/1577699482329.jpg")</f>
        <v>https://www.commcarehq.org/a/demo-18/api/form/attachment/447c3bbe-2b32-4dd7-acf6-c14e093390bc/1577699482329.jpg</v>
      </c>
      <c r="N15" t="str">
        <f>HYPERLINK("https://www.commcarehq.org/a/demo-18/api/form/attachment/447c3bbe-2b32-4dd7-acf6-c14e093390bc/1577699631708.jpg")</f>
        <v>https://www.commcarehq.org/a/demo-18/api/form/attachment/447c3bbe-2b32-4dd7-acf6-c14e093390bc/1577699631708.jpg</v>
      </c>
      <c r="O15" t="str">
        <f>HYPERLINK("https://www.commcarehq.org/a/demo-18/api/form/attachment/447c3bbe-2b32-4dd7-acf6-c14e093390bc/1577699643067.jpg")</f>
        <v>https://www.commcarehq.org/a/demo-18/api/form/attachment/447c3bbe-2b32-4dd7-acf6-c14e093390bc/1577699643067.jpg</v>
      </c>
      <c r="P15" t="str">
        <f>HYPERLINK("https://www.commcarehq.org/a/demo-18/api/form/attachment/447c3bbe-2b32-4dd7-acf6-c14e093390bc/1577699664151.jpg")</f>
        <v>https://www.commcarehq.org/a/demo-18/api/form/attachment/447c3bbe-2b32-4dd7-acf6-c14e093390bc/1577699664151.jpg</v>
      </c>
      <c r="Q15" t="str">
        <f>HYPERLINK("https://www.commcarehq.org/a/demo-18/api/form/attachment/447c3bbe-2b32-4dd7-acf6-c14e093390bc/1577699681720.jpg")</f>
        <v>https://www.commcarehq.org/a/demo-18/api/form/attachment/447c3bbe-2b32-4dd7-acf6-c14e093390bc/1577699681720.jpg</v>
      </c>
      <c r="R15" s="2">
        <v>43829.41300925926</v>
      </c>
      <c r="S15" s="2">
        <v>43829.408726851849</v>
      </c>
      <c r="T15" t="s">
        <v>32</v>
      </c>
      <c r="U15" s="2">
        <v>43830.188831018517</v>
      </c>
      <c r="V15" t="s">
        <v>939</v>
      </c>
      <c r="W15" t="s">
        <v>940</v>
      </c>
    </row>
    <row r="16" spans="1:23" x14ac:dyDescent="0.45">
      <c r="A16" t="s">
        <v>805</v>
      </c>
      <c r="B16">
        <v>8</v>
      </c>
      <c r="C16" s="1">
        <v>43826</v>
      </c>
      <c r="D16" s="1">
        <v>43796</v>
      </c>
      <c r="E16" t="s">
        <v>428</v>
      </c>
      <c r="F16" t="s">
        <v>429</v>
      </c>
      <c r="G16" t="s">
        <v>429</v>
      </c>
      <c r="H16" t="s">
        <v>429</v>
      </c>
      <c r="I16" t="s">
        <v>484</v>
      </c>
      <c r="J16" t="s">
        <v>428</v>
      </c>
      <c r="K16" t="s">
        <v>429</v>
      </c>
      <c r="L16" t="str">
        <f>HYPERLINK("https://www.commcarehq.org/a/demo-18/api/form/attachment/8972387b-2bdc-4108-91a6-e096568688cc/1574842203305.jpg")</f>
        <v>https://www.commcarehq.org/a/demo-18/api/form/attachment/8972387b-2bdc-4108-91a6-e096568688cc/1574842203305.jpg</v>
      </c>
      <c r="M16" t="str">
        <f>HYPERLINK("https://www.commcarehq.org/a/demo-18/api/form/attachment/8972387b-2bdc-4108-91a6-e096568688cc/1574842215749.jpg")</f>
        <v>https://www.commcarehq.org/a/demo-18/api/form/attachment/8972387b-2bdc-4108-91a6-e096568688cc/1574842215749.jpg</v>
      </c>
      <c r="N16" t="str">
        <f>HYPERLINK("https://www.commcarehq.org/a/demo-18/api/form/attachment/8972387b-2bdc-4108-91a6-e096568688cc/1574842271641.jpg")</f>
        <v>https://www.commcarehq.org/a/demo-18/api/form/attachment/8972387b-2bdc-4108-91a6-e096568688cc/1574842271641.jpg</v>
      </c>
      <c r="O16" t="str">
        <f>HYPERLINK("https://www.commcarehq.org/a/demo-18/api/form/attachment/8972387b-2bdc-4108-91a6-e096568688cc/1574842280917.jpg")</f>
        <v>https://www.commcarehq.org/a/demo-18/api/form/attachment/8972387b-2bdc-4108-91a6-e096568688cc/1574842280917.jpg</v>
      </c>
      <c r="P16" t="str">
        <f>HYPERLINK("https://www.commcarehq.org/a/demo-18/api/form/attachment/8972387b-2bdc-4108-91a6-e096568688cc/1574842295971.jpg")</f>
        <v>https://www.commcarehq.org/a/demo-18/api/form/attachment/8972387b-2bdc-4108-91a6-e096568688cc/1574842295971.jpg</v>
      </c>
      <c r="Q16" t="str">
        <f>HYPERLINK("https://www.commcarehq.org/a/demo-18/api/form/attachment/8972387b-2bdc-4108-91a6-e096568688cc/1574842307880.jpg")</f>
        <v>https://www.commcarehq.org/a/demo-18/api/form/attachment/8972387b-2bdc-4108-91a6-e096568688cc/1574842307880.jpg</v>
      </c>
      <c r="R16" s="2">
        <v>43796.341539351852</v>
      </c>
      <c r="S16" s="2">
        <v>43796.339629629627</v>
      </c>
      <c r="T16" t="s">
        <v>32</v>
      </c>
      <c r="U16" s="2">
        <v>43796.3827662037</v>
      </c>
      <c r="V16" s="3" t="s">
        <v>806</v>
      </c>
      <c r="W16" t="s">
        <v>807</v>
      </c>
    </row>
    <row r="17" spans="1:23" x14ac:dyDescent="0.45">
      <c r="A17" t="s">
        <v>818</v>
      </c>
      <c r="B17">
        <v>7</v>
      </c>
      <c r="C17" s="1">
        <v>43835</v>
      </c>
      <c r="D17" s="1">
        <v>43805</v>
      </c>
      <c r="E17" t="s">
        <v>428</v>
      </c>
      <c r="F17" t="s">
        <v>429</v>
      </c>
      <c r="G17" t="s">
        <v>429</v>
      </c>
      <c r="H17" t="s">
        <v>429</v>
      </c>
      <c r="I17" t="s">
        <v>430</v>
      </c>
      <c r="J17" t="s">
        <v>428</v>
      </c>
      <c r="K17" t="s">
        <v>429</v>
      </c>
      <c r="L17" t="str">
        <f>HYPERLINK("https://www.commcarehq.org/a/demo-18/api/form/attachment/1ae403fa-846c-46aa-a965-8581982f11cb/1575618830674.jpg")</f>
        <v>https://www.commcarehq.org/a/demo-18/api/form/attachment/1ae403fa-846c-46aa-a965-8581982f11cb/1575618830674.jpg</v>
      </c>
      <c r="M17" t="str">
        <f>HYPERLINK("https://www.commcarehq.org/a/demo-18/api/form/attachment/1ae403fa-846c-46aa-a965-8581982f11cb/1575618840615.jpg")</f>
        <v>https://www.commcarehq.org/a/demo-18/api/form/attachment/1ae403fa-846c-46aa-a965-8581982f11cb/1575618840615.jpg</v>
      </c>
      <c r="N17" t="str">
        <f>HYPERLINK("https://www.commcarehq.org/a/demo-18/api/form/attachment/1ae403fa-846c-46aa-a965-8581982f11cb/1575618884824.jpg")</f>
        <v>https://www.commcarehq.org/a/demo-18/api/form/attachment/1ae403fa-846c-46aa-a965-8581982f11cb/1575618884824.jpg</v>
      </c>
      <c r="O17" t="str">
        <f>HYPERLINK("https://www.commcarehq.org/a/demo-18/api/form/attachment/1ae403fa-846c-46aa-a965-8581982f11cb/1575618910592.jpg")</f>
        <v>https://www.commcarehq.org/a/demo-18/api/form/attachment/1ae403fa-846c-46aa-a965-8581982f11cb/1575618910592.jpg</v>
      </c>
      <c r="P17" t="str">
        <f>HYPERLINK("https://www.commcarehq.org/a/demo-18/api/form/attachment/1ae403fa-846c-46aa-a965-8581982f11cb/1575618928777.jpg")</f>
        <v>https://www.commcarehq.org/a/demo-18/api/form/attachment/1ae403fa-846c-46aa-a965-8581982f11cb/1575618928777.jpg</v>
      </c>
      <c r="Q17" t="str">
        <f>HYPERLINK("https://www.commcarehq.org/a/demo-18/api/form/attachment/1ae403fa-846c-46aa-a965-8581982f11cb/1575618938174.jpg")</f>
        <v>https://www.commcarehq.org/a/demo-18/api/form/attachment/1ae403fa-846c-46aa-a965-8581982f11cb/1575618938174.jpg</v>
      </c>
      <c r="R17" s="2">
        <v>43805.330312500002</v>
      </c>
      <c r="S17" s="2">
        <v>43805.328310185185</v>
      </c>
      <c r="T17" t="s">
        <v>32</v>
      </c>
      <c r="U17" s="2">
        <v>43805.330497685187</v>
      </c>
      <c r="V17" s="3" t="s">
        <v>828</v>
      </c>
      <c r="W17" t="s">
        <v>829</v>
      </c>
    </row>
    <row r="18" spans="1:23" x14ac:dyDescent="0.45">
      <c r="A18" t="s">
        <v>718</v>
      </c>
      <c r="B18">
        <v>5.2</v>
      </c>
      <c r="C18" s="1">
        <v>43866</v>
      </c>
      <c r="D18" s="1">
        <v>43836</v>
      </c>
      <c r="E18" t="s">
        <v>428</v>
      </c>
      <c r="F18" t="s">
        <v>429</v>
      </c>
      <c r="G18" t="s">
        <v>429</v>
      </c>
      <c r="H18" t="s">
        <v>429</v>
      </c>
      <c r="I18" t="s">
        <v>447</v>
      </c>
      <c r="J18" t="s">
        <v>428</v>
      </c>
      <c r="K18" t="s">
        <v>429</v>
      </c>
      <c r="L18" t="str">
        <f>HYPERLINK("https://www.commcarehq.org/a/demo-18/api/form/attachment/cab626b5-2b50-4c97-adaf-4695bb19b486/1578295752362.jpg")</f>
        <v>https://www.commcarehq.org/a/demo-18/api/form/attachment/cab626b5-2b50-4c97-adaf-4695bb19b486/1578295752362.jpg</v>
      </c>
      <c r="M18" t="str">
        <f>HYPERLINK("https://www.commcarehq.org/a/demo-18/api/form/attachment/cab626b5-2b50-4c97-adaf-4695bb19b486/1578295767816.jpg")</f>
        <v>https://www.commcarehq.org/a/demo-18/api/form/attachment/cab626b5-2b50-4c97-adaf-4695bb19b486/1578295767816.jpg</v>
      </c>
      <c r="N18" t="str">
        <f>HYPERLINK("https://www.commcarehq.org/a/demo-18/api/form/attachment/cab626b5-2b50-4c97-adaf-4695bb19b486/1578295796893.jpg")</f>
        <v>https://www.commcarehq.org/a/demo-18/api/form/attachment/cab626b5-2b50-4c97-adaf-4695bb19b486/1578295796893.jpg</v>
      </c>
      <c r="O18" t="str">
        <f>HYPERLINK("https://www.commcarehq.org/a/demo-18/api/form/attachment/cab626b5-2b50-4c97-adaf-4695bb19b486/1578295806474.jpg")</f>
        <v>https://www.commcarehq.org/a/demo-18/api/form/attachment/cab626b5-2b50-4c97-adaf-4695bb19b486/1578295806474.jpg</v>
      </c>
      <c r="P18" t="str">
        <f>HYPERLINK("https://www.commcarehq.org/a/demo-18/api/form/attachment/cab626b5-2b50-4c97-adaf-4695bb19b486/1578295826389.jpg")</f>
        <v>https://www.commcarehq.org/a/demo-18/api/form/attachment/cab626b5-2b50-4c97-adaf-4695bb19b486/1578295826389.jpg</v>
      </c>
      <c r="Q18" t="str">
        <f>HYPERLINK("https://www.commcarehq.org/a/demo-18/api/form/attachment/cab626b5-2b50-4c97-adaf-4695bb19b486/1578295836961.jpg")</f>
        <v>https://www.commcarehq.org/a/demo-18/api/form/attachment/cab626b5-2b50-4c97-adaf-4695bb19b486/1578295836961.jpg</v>
      </c>
      <c r="R18" s="2">
        <v>43836.312939814816</v>
      </c>
      <c r="S18" s="2">
        <v>43836.310069444444</v>
      </c>
      <c r="T18" t="s">
        <v>32</v>
      </c>
      <c r="U18" s="2">
        <v>43836.314039351855</v>
      </c>
      <c r="V18" s="3" t="s">
        <v>991</v>
      </c>
      <c r="W18" t="s">
        <v>992</v>
      </c>
    </row>
    <row r="19" spans="1:23" x14ac:dyDescent="0.45">
      <c r="A19" t="s">
        <v>685</v>
      </c>
      <c r="B19">
        <v>7.6</v>
      </c>
      <c r="C19" s="1">
        <v>43875</v>
      </c>
      <c r="D19" s="1">
        <v>43845</v>
      </c>
      <c r="E19" t="s">
        <v>428</v>
      </c>
      <c r="F19" t="s">
        <v>429</v>
      </c>
      <c r="G19" t="s">
        <v>429</v>
      </c>
      <c r="H19" t="s">
        <v>429</v>
      </c>
      <c r="I19" t="s">
        <v>569</v>
      </c>
      <c r="J19" t="s">
        <v>428</v>
      </c>
      <c r="K19" t="s">
        <v>429</v>
      </c>
      <c r="L19" t="str">
        <f>HYPERLINK("https://www.commcarehq.org/a/demo-18/api/form/attachment/15b37045-107d-4f61-b589-58092c2298ad/1579076806907.jpg")</f>
        <v>https://www.commcarehq.org/a/demo-18/api/form/attachment/15b37045-107d-4f61-b589-58092c2298ad/1579076806907.jpg</v>
      </c>
      <c r="M19" t="str">
        <f>HYPERLINK("https://www.commcarehq.org/a/demo-18/api/form/attachment/15b37045-107d-4f61-b589-58092c2298ad/1579076819326.jpg")</f>
        <v>https://www.commcarehq.org/a/demo-18/api/form/attachment/15b37045-107d-4f61-b589-58092c2298ad/1579076819326.jpg</v>
      </c>
      <c r="N19" t="str">
        <f>HYPERLINK("https://www.commcarehq.org/a/demo-18/api/form/attachment/15b37045-107d-4f61-b589-58092c2298ad/1579076864899.jpg")</f>
        <v>https://www.commcarehq.org/a/demo-18/api/form/attachment/15b37045-107d-4f61-b589-58092c2298ad/1579076864899.jpg</v>
      </c>
      <c r="O19" t="str">
        <f>HYPERLINK("https://www.commcarehq.org/a/demo-18/api/form/attachment/15b37045-107d-4f61-b589-58092c2298ad/1579076874818.jpg")</f>
        <v>https://www.commcarehq.org/a/demo-18/api/form/attachment/15b37045-107d-4f61-b589-58092c2298ad/1579076874818.jpg</v>
      </c>
      <c r="P19" t="str">
        <f>HYPERLINK("https://www.commcarehq.org/a/demo-18/api/form/attachment/15b37045-107d-4f61-b589-58092c2298ad/1579076909303.jpg")</f>
        <v>https://www.commcarehq.org/a/demo-18/api/form/attachment/15b37045-107d-4f61-b589-58092c2298ad/1579076909303.jpg</v>
      </c>
      <c r="Q19" t="str">
        <f>HYPERLINK("https://www.commcarehq.org/a/demo-18/api/form/attachment/15b37045-107d-4f61-b589-58092c2298ad/1579076920445.jpg")</f>
        <v>https://www.commcarehq.org/a/demo-18/api/form/attachment/15b37045-107d-4f61-b589-58092c2298ad/1579076920445.jpg</v>
      </c>
      <c r="R19" s="2">
        <v>43845.353263888886</v>
      </c>
      <c r="S19" s="2">
        <v>43845.351550925923</v>
      </c>
      <c r="T19" t="s">
        <v>32</v>
      </c>
      <c r="U19" s="2">
        <v>43845.353495370371</v>
      </c>
      <c r="V19" t="s">
        <v>1072</v>
      </c>
      <c r="W19" t="s">
        <v>1073</v>
      </c>
    </row>
    <row r="20" spans="1:23" x14ac:dyDescent="0.45">
      <c r="A20" t="s">
        <v>778</v>
      </c>
      <c r="B20">
        <v>8</v>
      </c>
      <c r="C20" s="1">
        <v>43875</v>
      </c>
      <c r="D20" s="1">
        <v>43845</v>
      </c>
      <c r="E20" t="s">
        <v>428</v>
      </c>
      <c r="F20" t="s">
        <v>429</v>
      </c>
      <c r="G20" t="s">
        <v>429</v>
      </c>
      <c r="H20" t="s">
        <v>429</v>
      </c>
      <c r="I20" t="s">
        <v>569</v>
      </c>
      <c r="J20" t="s">
        <v>428</v>
      </c>
      <c r="K20" t="s">
        <v>429</v>
      </c>
      <c r="L20" t="str">
        <f>HYPERLINK("https://www.commcarehq.org/a/demo-18/api/form/attachment/e5053cd1-97e5-4559-8764-50d9adb3de85/1579076421221.jpg")</f>
        <v>https://www.commcarehq.org/a/demo-18/api/form/attachment/e5053cd1-97e5-4559-8764-50d9adb3de85/1579076421221.jpg</v>
      </c>
      <c r="M20" t="str">
        <f>HYPERLINK("https://www.commcarehq.org/a/demo-18/api/form/attachment/e5053cd1-97e5-4559-8764-50d9adb3de85/1579076446376.jpg")</f>
        <v>https://www.commcarehq.org/a/demo-18/api/form/attachment/e5053cd1-97e5-4559-8764-50d9adb3de85/1579076446376.jpg</v>
      </c>
      <c r="N20" t="str">
        <f>HYPERLINK("https://www.commcarehq.org/a/demo-18/api/form/attachment/e5053cd1-97e5-4559-8764-50d9adb3de85/1579076533206.jpg")</f>
        <v>https://www.commcarehq.org/a/demo-18/api/form/attachment/e5053cd1-97e5-4559-8764-50d9adb3de85/1579076533206.jpg</v>
      </c>
      <c r="O20" t="str">
        <f>HYPERLINK("https://www.commcarehq.org/a/demo-18/api/form/attachment/e5053cd1-97e5-4559-8764-50d9adb3de85/1579076551372.jpg")</f>
        <v>https://www.commcarehq.org/a/demo-18/api/form/attachment/e5053cd1-97e5-4559-8764-50d9adb3de85/1579076551372.jpg</v>
      </c>
      <c r="P20" t="str">
        <f>HYPERLINK("https://www.commcarehq.org/a/demo-18/api/form/attachment/e5053cd1-97e5-4559-8764-50d9adb3de85/1579076571702.jpg")</f>
        <v>https://www.commcarehq.org/a/demo-18/api/form/attachment/e5053cd1-97e5-4559-8764-50d9adb3de85/1579076571702.jpg</v>
      </c>
      <c r="Q20" t="str">
        <f>HYPERLINK("https://www.commcarehq.org/a/demo-18/api/form/attachment/e5053cd1-97e5-4559-8764-50d9adb3de85/1579076581989.jpg")</f>
        <v>https://www.commcarehq.org/a/demo-18/api/form/attachment/e5053cd1-97e5-4559-8764-50d9adb3de85/1579076581989.jpg</v>
      </c>
      <c r="R20" s="2">
        <v>43845.349340277775</v>
      </c>
      <c r="S20" s="2">
        <v>43845.347013888888</v>
      </c>
      <c r="T20" t="s">
        <v>32</v>
      </c>
      <c r="U20" s="2">
        <v>43845.349560185183</v>
      </c>
      <c r="V20" t="s">
        <v>1070</v>
      </c>
      <c r="W20" t="s">
        <v>1071</v>
      </c>
    </row>
    <row r="21" spans="1:23" x14ac:dyDescent="0.45">
      <c r="A21" t="s">
        <v>775</v>
      </c>
      <c r="B21">
        <v>7.2</v>
      </c>
      <c r="C21" s="1">
        <v>43866</v>
      </c>
      <c r="D21" s="1">
        <v>43836</v>
      </c>
      <c r="E21" t="s">
        <v>428</v>
      </c>
      <c r="F21" t="s">
        <v>429</v>
      </c>
      <c r="G21" t="s">
        <v>429</v>
      </c>
      <c r="H21" t="s">
        <v>429</v>
      </c>
      <c r="I21" t="s">
        <v>430</v>
      </c>
      <c r="J21" t="s">
        <v>428</v>
      </c>
      <c r="K21" t="s">
        <v>429</v>
      </c>
      <c r="L21" t="str">
        <f>HYPERLINK("https://www.commcarehq.org/a/demo-18/api/form/attachment/a83f126f-ec5b-4cbc-9ee4-bfdc153be207/1578295308955.jpg")</f>
        <v>https://www.commcarehq.org/a/demo-18/api/form/attachment/a83f126f-ec5b-4cbc-9ee4-bfdc153be207/1578295308955.jpg</v>
      </c>
      <c r="M21" t="str">
        <f>HYPERLINK("https://www.commcarehq.org/a/demo-18/api/form/attachment/a83f126f-ec5b-4cbc-9ee4-bfdc153be207/1578295323180.jpg")</f>
        <v>https://www.commcarehq.org/a/demo-18/api/form/attachment/a83f126f-ec5b-4cbc-9ee4-bfdc153be207/1578295323180.jpg</v>
      </c>
      <c r="N21" t="str">
        <f>HYPERLINK("https://www.commcarehq.org/a/demo-18/api/form/attachment/a83f126f-ec5b-4cbc-9ee4-bfdc153be207/1578295386754.jpg")</f>
        <v>https://www.commcarehq.org/a/demo-18/api/form/attachment/a83f126f-ec5b-4cbc-9ee4-bfdc153be207/1578295386754.jpg</v>
      </c>
      <c r="O21" t="str">
        <f>HYPERLINK("https://www.commcarehq.org/a/demo-18/api/form/attachment/a83f126f-ec5b-4cbc-9ee4-bfdc153be207/1578295439093.jpg")</f>
        <v>https://www.commcarehq.org/a/demo-18/api/form/attachment/a83f126f-ec5b-4cbc-9ee4-bfdc153be207/1578295439093.jpg</v>
      </c>
      <c r="P21" t="str">
        <f>HYPERLINK("https://www.commcarehq.org/a/demo-18/api/form/attachment/a83f126f-ec5b-4cbc-9ee4-bfdc153be207/1578295457385.jpg")</f>
        <v>https://www.commcarehq.org/a/demo-18/api/form/attachment/a83f126f-ec5b-4cbc-9ee4-bfdc153be207/1578295457385.jpg</v>
      </c>
      <c r="Q21" t="str">
        <f>HYPERLINK("https://www.commcarehq.org/a/demo-18/api/form/attachment/a83f126f-ec5b-4cbc-9ee4-bfdc153be207/1578295467253.jpg")</f>
        <v>https://www.commcarehq.org/a/demo-18/api/form/attachment/a83f126f-ec5b-4cbc-9ee4-bfdc153be207/1578295467253.jpg</v>
      </c>
      <c r="R21" s="2">
        <v>43836.308668981481</v>
      </c>
      <c r="S21" s="2">
        <v>43836.306319444448</v>
      </c>
      <c r="T21" t="s">
        <v>32</v>
      </c>
      <c r="U21" s="2">
        <v>43836.313888888886</v>
      </c>
      <c r="V21" t="s">
        <v>989</v>
      </c>
      <c r="W21" t="s">
        <v>990</v>
      </c>
    </row>
    <row r="22" spans="1:23" x14ac:dyDescent="0.45">
      <c r="A22" t="s">
        <v>635</v>
      </c>
      <c r="B22">
        <v>7.6</v>
      </c>
      <c r="C22" s="1">
        <v>43866</v>
      </c>
      <c r="D22" s="1">
        <v>43836</v>
      </c>
      <c r="E22" t="s">
        <v>428</v>
      </c>
      <c r="F22" t="s">
        <v>429</v>
      </c>
      <c r="G22" t="s">
        <v>429</v>
      </c>
      <c r="H22" t="s">
        <v>429</v>
      </c>
      <c r="I22" t="s">
        <v>430</v>
      </c>
      <c r="J22" t="s">
        <v>428</v>
      </c>
      <c r="K22" t="s">
        <v>429</v>
      </c>
      <c r="L22" t="str">
        <f>HYPERLINK("https://www.commcarehq.org/a/demo-18/api/form/attachment/b7ce5792-42bc-4a9b-bdff-3598f922b5e1/1578293422163.jpg")</f>
        <v>https://www.commcarehq.org/a/demo-18/api/form/attachment/b7ce5792-42bc-4a9b-bdff-3598f922b5e1/1578293422163.jpg</v>
      </c>
      <c r="M22" t="str">
        <f>HYPERLINK("https://www.commcarehq.org/a/demo-18/api/form/attachment/b7ce5792-42bc-4a9b-bdff-3598f922b5e1/1578293446303.jpg")</f>
        <v>https://www.commcarehq.org/a/demo-18/api/form/attachment/b7ce5792-42bc-4a9b-bdff-3598f922b5e1/1578293446303.jpg</v>
      </c>
      <c r="N22" t="str">
        <f>HYPERLINK("https://www.commcarehq.org/a/demo-18/api/form/attachment/b7ce5792-42bc-4a9b-bdff-3598f922b5e1/1578293503235.jpg")</f>
        <v>https://www.commcarehq.org/a/demo-18/api/form/attachment/b7ce5792-42bc-4a9b-bdff-3598f922b5e1/1578293503235.jpg</v>
      </c>
      <c r="O22" t="str">
        <f>HYPERLINK("https://www.commcarehq.org/a/demo-18/api/form/attachment/b7ce5792-42bc-4a9b-bdff-3598f922b5e1/1578293513397.jpg")</f>
        <v>https://www.commcarehq.org/a/demo-18/api/form/attachment/b7ce5792-42bc-4a9b-bdff-3598f922b5e1/1578293513397.jpg</v>
      </c>
      <c r="P22" t="str">
        <f>HYPERLINK("https://www.commcarehq.org/a/demo-18/api/form/attachment/b7ce5792-42bc-4a9b-bdff-3598f922b5e1/1578293530751.jpg")</f>
        <v>https://www.commcarehq.org/a/demo-18/api/form/attachment/b7ce5792-42bc-4a9b-bdff-3598f922b5e1/1578293530751.jpg</v>
      </c>
      <c r="Q22" t="str">
        <f>HYPERLINK("https://www.commcarehq.org/a/demo-18/api/form/attachment/b7ce5792-42bc-4a9b-bdff-3598f922b5e1/1578293540077.jpg")</f>
        <v>https://www.commcarehq.org/a/demo-18/api/form/attachment/b7ce5792-42bc-4a9b-bdff-3598f922b5e1/1578293540077.jpg</v>
      </c>
      <c r="R22" s="2">
        <v>43836.286365740743</v>
      </c>
      <c r="S22" s="2">
        <v>43836.283032407409</v>
      </c>
      <c r="T22" t="s">
        <v>32</v>
      </c>
      <c r="U22" s="2">
        <v>43836.300532407404</v>
      </c>
      <c r="V22" s="3" t="s">
        <v>993</v>
      </c>
      <c r="W22" t="s">
        <v>994</v>
      </c>
    </row>
    <row r="23" spans="1:23" x14ac:dyDescent="0.45">
      <c r="A23" t="s">
        <v>565</v>
      </c>
      <c r="B23">
        <v>6</v>
      </c>
      <c r="C23" s="1">
        <v>43873</v>
      </c>
      <c r="D23" s="1">
        <v>43843</v>
      </c>
      <c r="E23" t="s">
        <v>428</v>
      </c>
      <c r="F23" t="s">
        <v>429</v>
      </c>
      <c r="G23" t="s">
        <v>429</v>
      </c>
      <c r="H23" t="s">
        <v>429</v>
      </c>
      <c r="I23" t="s">
        <v>430</v>
      </c>
      <c r="J23" t="s">
        <v>428</v>
      </c>
      <c r="K23" t="s">
        <v>429</v>
      </c>
      <c r="L23" t="str">
        <f>HYPERLINK("https://www.commcarehq.org/a/demo-18/api/form/attachment/f7a86183-a832-4e4c-814d-48336d796eeb/1578898447113.jpg")</f>
        <v>https://www.commcarehq.org/a/demo-18/api/form/attachment/f7a86183-a832-4e4c-814d-48336d796eeb/1578898447113.jpg</v>
      </c>
      <c r="M23" t="str">
        <f>HYPERLINK("https://www.commcarehq.org/a/demo-18/api/form/attachment/f7a86183-a832-4e4c-814d-48336d796eeb/1578898464296.jpg")</f>
        <v>https://www.commcarehq.org/a/demo-18/api/form/attachment/f7a86183-a832-4e4c-814d-48336d796eeb/1578898464296.jpg</v>
      </c>
      <c r="N23" t="str">
        <f>HYPERLINK("https://www.commcarehq.org/a/demo-18/api/form/attachment/f7a86183-a832-4e4c-814d-48336d796eeb/1578898529990.jpg")</f>
        <v>https://www.commcarehq.org/a/demo-18/api/form/attachment/f7a86183-a832-4e4c-814d-48336d796eeb/1578898529990.jpg</v>
      </c>
      <c r="O23" t="str">
        <f>HYPERLINK("https://www.commcarehq.org/a/demo-18/api/form/attachment/f7a86183-a832-4e4c-814d-48336d796eeb/1578898546706.jpg")</f>
        <v>https://www.commcarehq.org/a/demo-18/api/form/attachment/f7a86183-a832-4e4c-814d-48336d796eeb/1578898546706.jpg</v>
      </c>
      <c r="P23" t="str">
        <f>HYPERLINK("https://www.commcarehq.org/a/demo-18/api/form/attachment/f7a86183-a832-4e4c-814d-48336d796eeb/1578898571262.jpg")</f>
        <v>https://www.commcarehq.org/a/demo-18/api/form/attachment/f7a86183-a832-4e4c-814d-48336d796eeb/1578898571262.jpg</v>
      </c>
      <c r="Q23" t="str">
        <f>HYPERLINK("https://www.commcarehq.org/a/demo-18/api/form/attachment/f7a86183-a832-4e4c-814d-48336d796eeb/1578898589672.jpg")</f>
        <v>https://www.commcarehq.org/a/demo-18/api/form/attachment/f7a86183-a832-4e4c-814d-48336d796eeb/1578898589672.jpg</v>
      </c>
      <c r="R23" s="2">
        <v>43843.289247685185</v>
      </c>
      <c r="S23" s="2">
        <v>43843.287245370368</v>
      </c>
      <c r="T23" t="s">
        <v>32</v>
      </c>
      <c r="U23" s="2">
        <v>43843.289421296293</v>
      </c>
      <c r="V23" s="3" t="s">
        <v>1033</v>
      </c>
      <c r="W23" t="s">
        <v>1034</v>
      </c>
    </row>
    <row r="24" spans="1:23" x14ac:dyDescent="0.45">
      <c r="A24" t="s">
        <v>705</v>
      </c>
      <c r="B24">
        <v>7.2</v>
      </c>
      <c r="C24" s="1">
        <v>43835</v>
      </c>
      <c r="D24" s="1">
        <v>43805</v>
      </c>
      <c r="E24" t="s">
        <v>428</v>
      </c>
      <c r="F24" t="s">
        <v>429</v>
      </c>
      <c r="G24" t="s">
        <v>429</v>
      </c>
      <c r="H24" t="s">
        <v>429</v>
      </c>
      <c r="I24" t="s">
        <v>430</v>
      </c>
      <c r="J24" t="s">
        <v>428</v>
      </c>
      <c r="K24" t="s">
        <v>429</v>
      </c>
      <c r="L24" t="str">
        <f>HYPERLINK("https://www.commcarehq.org/a/demo-18/api/form/attachment/6e87a202-b7ed-4f86-ae48-1005db77900b/1575618638891.jpg")</f>
        <v>https://www.commcarehq.org/a/demo-18/api/form/attachment/6e87a202-b7ed-4f86-ae48-1005db77900b/1575618638891.jpg</v>
      </c>
      <c r="M24" t="str">
        <f>HYPERLINK("https://www.commcarehq.org/a/demo-18/api/form/attachment/6e87a202-b7ed-4f86-ae48-1005db77900b/1575618656625.jpg")</f>
        <v>https://www.commcarehq.org/a/demo-18/api/form/attachment/6e87a202-b7ed-4f86-ae48-1005db77900b/1575618656625.jpg</v>
      </c>
      <c r="N24" t="str">
        <f>HYPERLINK("https://www.commcarehq.org/a/demo-18/api/form/attachment/6e87a202-b7ed-4f86-ae48-1005db77900b/1575618691746.jpg")</f>
        <v>https://www.commcarehq.org/a/demo-18/api/form/attachment/6e87a202-b7ed-4f86-ae48-1005db77900b/1575618691746.jpg</v>
      </c>
      <c r="O24" t="str">
        <f>HYPERLINK("https://www.commcarehq.org/a/demo-18/api/form/attachment/6e87a202-b7ed-4f86-ae48-1005db77900b/1575618700766.jpg")</f>
        <v>https://www.commcarehq.org/a/demo-18/api/form/attachment/6e87a202-b7ed-4f86-ae48-1005db77900b/1575618700766.jpg</v>
      </c>
      <c r="P24" t="str">
        <f>HYPERLINK("https://www.commcarehq.org/a/demo-18/api/form/attachment/6e87a202-b7ed-4f86-ae48-1005db77900b/1575618722729.jpg")</f>
        <v>https://www.commcarehq.org/a/demo-18/api/form/attachment/6e87a202-b7ed-4f86-ae48-1005db77900b/1575618722729.jpg</v>
      </c>
      <c r="Q24" t="str">
        <f>HYPERLINK("https://www.commcarehq.org/a/demo-18/api/form/attachment/6e87a202-b7ed-4f86-ae48-1005db77900b/1575618733176.jpg")</f>
        <v>https://www.commcarehq.org/a/demo-18/api/form/attachment/6e87a202-b7ed-4f86-ae48-1005db77900b/1575618733176.jpg</v>
      </c>
      <c r="R24" s="2">
        <v>43805.327951388892</v>
      </c>
      <c r="S24" s="2">
        <v>43805.326331018521</v>
      </c>
      <c r="T24" t="s">
        <v>32</v>
      </c>
      <c r="U24" s="2">
        <v>43805.328182870369</v>
      </c>
      <c r="V24" s="3" t="s">
        <v>788</v>
      </c>
      <c r="W24" t="s">
        <v>789</v>
      </c>
    </row>
    <row r="25" spans="1:23" x14ac:dyDescent="0.45">
      <c r="A25" t="s">
        <v>802</v>
      </c>
      <c r="B25">
        <v>8</v>
      </c>
      <c r="C25" s="1">
        <v>43827</v>
      </c>
      <c r="D25" s="1">
        <v>43797</v>
      </c>
      <c r="E25" t="s">
        <v>428</v>
      </c>
      <c r="F25" t="s">
        <v>429</v>
      </c>
      <c r="G25" t="s">
        <v>429</v>
      </c>
      <c r="H25" t="s">
        <v>429</v>
      </c>
      <c r="I25" t="s">
        <v>430</v>
      </c>
      <c r="J25" t="s">
        <v>428</v>
      </c>
      <c r="K25" t="s">
        <v>429</v>
      </c>
      <c r="L25" t="str">
        <f>HYPERLINK("https://www.commcarehq.org/a/demo-18/api/form/attachment/2dd6b2f0-cd74-4c32-9e54-5a618135fa0e/1574934642807.jpg")</f>
        <v>https://www.commcarehq.org/a/demo-18/api/form/attachment/2dd6b2f0-cd74-4c32-9e54-5a618135fa0e/1574934642807.jpg</v>
      </c>
      <c r="M25" t="str">
        <f>HYPERLINK("https://www.commcarehq.org/a/demo-18/api/form/attachment/2dd6b2f0-cd74-4c32-9e54-5a618135fa0e/1574934667746.jpg")</f>
        <v>https://www.commcarehq.org/a/demo-18/api/form/attachment/2dd6b2f0-cd74-4c32-9e54-5a618135fa0e/1574934667746.jpg</v>
      </c>
      <c r="N25" t="str">
        <f>HYPERLINK("https://www.commcarehq.org/a/demo-18/api/form/attachment/2dd6b2f0-cd74-4c32-9e54-5a618135fa0e/1574934730962.jpg")</f>
        <v>https://www.commcarehq.org/a/demo-18/api/form/attachment/2dd6b2f0-cd74-4c32-9e54-5a618135fa0e/1574934730962.jpg</v>
      </c>
      <c r="O25" t="str">
        <f>HYPERLINK("https://www.commcarehq.org/a/demo-18/api/form/attachment/2dd6b2f0-cd74-4c32-9e54-5a618135fa0e/1574934739678.jpg")</f>
        <v>https://www.commcarehq.org/a/demo-18/api/form/attachment/2dd6b2f0-cd74-4c32-9e54-5a618135fa0e/1574934739678.jpg</v>
      </c>
      <c r="P25" t="str">
        <f>HYPERLINK("https://www.commcarehq.org/a/demo-18/api/form/attachment/2dd6b2f0-cd74-4c32-9e54-5a618135fa0e/1574934768316.jpg")</f>
        <v>https://www.commcarehq.org/a/demo-18/api/form/attachment/2dd6b2f0-cd74-4c32-9e54-5a618135fa0e/1574934768316.jpg</v>
      </c>
      <c r="Q25" t="str">
        <f>HYPERLINK("https://www.commcarehq.org/a/demo-18/api/form/attachment/2dd6b2f0-cd74-4c32-9e54-5a618135fa0e/1574934776691.jpg")</f>
        <v>https://www.commcarehq.org/a/demo-18/api/form/attachment/2dd6b2f0-cd74-4c32-9e54-5a618135fa0e/1574934776691.jpg</v>
      </c>
      <c r="R25" s="2">
        <v>43797.411805555559</v>
      </c>
      <c r="S25" s="2">
        <v>43797.409814814811</v>
      </c>
      <c r="T25" t="s">
        <v>32</v>
      </c>
      <c r="U25" s="2">
        <v>43797.41202546296</v>
      </c>
      <c r="V25" s="3" t="s">
        <v>803</v>
      </c>
      <c r="W25" t="s">
        <v>804</v>
      </c>
    </row>
    <row r="26" spans="1:23" x14ac:dyDescent="0.45">
      <c r="A26" t="s">
        <v>493</v>
      </c>
      <c r="B26">
        <v>6.1</v>
      </c>
      <c r="C26" s="1">
        <v>43931</v>
      </c>
      <c r="D26" s="1">
        <v>43901</v>
      </c>
      <c r="E26" t="s">
        <v>428</v>
      </c>
      <c r="F26" t="s">
        <v>429</v>
      </c>
      <c r="G26" t="s">
        <v>429</v>
      </c>
      <c r="H26" t="s">
        <v>429</v>
      </c>
      <c r="I26" t="s">
        <v>1760</v>
      </c>
      <c r="J26" t="s">
        <v>428</v>
      </c>
      <c r="K26" t="s">
        <v>429</v>
      </c>
      <c r="L26" t="str">
        <f>HYPERLINK("https://www.commcarehq.org/a/demo-18/api/form/attachment/e50c51ab-7b79-4f3d-b21a-cf909e0d7b6a/1583915006000.jpg")</f>
        <v>https://www.commcarehq.org/a/demo-18/api/form/attachment/e50c51ab-7b79-4f3d-b21a-cf909e0d7b6a/1583915006000.jpg</v>
      </c>
      <c r="M26" t="str">
        <f>HYPERLINK("https://www.commcarehq.org/a/demo-18/api/form/attachment/e50c51ab-7b79-4f3d-b21a-cf909e0d7b6a/1583915018096.jpg")</f>
        <v>https://www.commcarehq.org/a/demo-18/api/form/attachment/e50c51ab-7b79-4f3d-b21a-cf909e0d7b6a/1583915018096.jpg</v>
      </c>
      <c r="N26" t="str">
        <f>HYPERLINK("https://www.commcarehq.org/a/demo-18/api/form/attachment/e50c51ab-7b79-4f3d-b21a-cf909e0d7b6a/1583915102366.jpg")</f>
        <v>https://www.commcarehq.org/a/demo-18/api/form/attachment/e50c51ab-7b79-4f3d-b21a-cf909e0d7b6a/1583915102366.jpg</v>
      </c>
      <c r="O26" t="str">
        <f>HYPERLINK("https://www.commcarehq.org/a/demo-18/api/form/attachment/e50c51ab-7b79-4f3d-b21a-cf909e0d7b6a/1583915110291.jpg")</f>
        <v>https://www.commcarehq.org/a/demo-18/api/form/attachment/e50c51ab-7b79-4f3d-b21a-cf909e0d7b6a/1583915110291.jpg</v>
      </c>
      <c r="P26" t="str">
        <f>HYPERLINK("https://www.commcarehq.org/a/demo-18/api/form/attachment/e50c51ab-7b79-4f3d-b21a-cf909e0d7b6a/1583915129286.jpg")</f>
        <v>https://www.commcarehq.org/a/demo-18/api/form/attachment/e50c51ab-7b79-4f3d-b21a-cf909e0d7b6a/1583915129286.jpg</v>
      </c>
      <c r="Q26" t="str">
        <f>HYPERLINK("https://www.commcarehq.org/a/demo-18/api/form/attachment/e50c51ab-7b79-4f3d-b21a-cf909e0d7b6a/1583915139186.jpg")</f>
        <v>https://www.commcarehq.org/a/demo-18/api/form/attachment/e50c51ab-7b79-4f3d-b21a-cf909e0d7b6a/1583915139186.jpg</v>
      </c>
      <c r="R26" s="2">
        <v>43901.351388888892</v>
      </c>
      <c r="S26" s="2">
        <v>43901.349062499998</v>
      </c>
      <c r="T26" t="s">
        <v>32</v>
      </c>
      <c r="U26" s="2">
        <v>43901.351620370369</v>
      </c>
      <c r="V26" s="3" t="s">
        <v>1761</v>
      </c>
      <c r="W26" t="s">
        <v>1762</v>
      </c>
    </row>
    <row r="27" spans="1:23" x14ac:dyDescent="0.45">
      <c r="A27" t="s">
        <v>659</v>
      </c>
      <c r="B27">
        <v>7</v>
      </c>
      <c r="C27" s="1">
        <v>43868</v>
      </c>
      <c r="D27" s="1">
        <v>43838</v>
      </c>
      <c r="E27" t="s">
        <v>428</v>
      </c>
      <c r="F27" t="s">
        <v>429</v>
      </c>
      <c r="G27" t="s">
        <v>429</v>
      </c>
      <c r="H27" t="s">
        <v>429</v>
      </c>
      <c r="I27" t="s">
        <v>601</v>
      </c>
      <c r="J27" t="s">
        <v>428</v>
      </c>
      <c r="K27" t="s">
        <v>429</v>
      </c>
      <c r="L27" t="str">
        <f>HYPERLINK("https://www.commcarehq.org/a/demo-18/api/form/attachment/6e829665-adb9-4a55-b18e-c694f469e9f1/1578469455950.jpg")</f>
        <v>https://www.commcarehq.org/a/demo-18/api/form/attachment/6e829665-adb9-4a55-b18e-c694f469e9f1/1578469455950.jpg</v>
      </c>
      <c r="M27" t="str">
        <f>HYPERLINK("https://www.commcarehq.org/a/demo-18/api/form/attachment/6e829665-adb9-4a55-b18e-c694f469e9f1/1578469477845.jpg")</f>
        <v>https://www.commcarehq.org/a/demo-18/api/form/attachment/6e829665-adb9-4a55-b18e-c694f469e9f1/1578469477845.jpg</v>
      </c>
      <c r="N27" t="str">
        <f>HYPERLINK("https://www.commcarehq.org/a/demo-18/api/form/attachment/6e829665-adb9-4a55-b18e-c694f469e9f1/1578469542052.jpg")</f>
        <v>https://www.commcarehq.org/a/demo-18/api/form/attachment/6e829665-adb9-4a55-b18e-c694f469e9f1/1578469542052.jpg</v>
      </c>
      <c r="O27" t="str">
        <f>HYPERLINK("https://www.commcarehq.org/a/demo-18/api/form/attachment/6e829665-adb9-4a55-b18e-c694f469e9f1/1578469556268.jpg")</f>
        <v>https://www.commcarehq.org/a/demo-18/api/form/attachment/6e829665-adb9-4a55-b18e-c694f469e9f1/1578469556268.jpg</v>
      </c>
      <c r="P27" t="str">
        <f>HYPERLINK("https://www.commcarehq.org/a/demo-18/api/form/attachment/6e829665-adb9-4a55-b18e-c694f469e9f1/1578469581609.jpg")</f>
        <v>https://www.commcarehq.org/a/demo-18/api/form/attachment/6e829665-adb9-4a55-b18e-c694f469e9f1/1578469581609.jpg</v>
      </c>
      <c r="Q27" t="str">
        <f>HYPERLINK("https://www.commcarehq.org/a/demo-18/api/form/attachment/6e829665-adb9-4a55-b18e-c694f469e9f1/1578469593457.jpg")</f>
        <v>https://www.commcarehq.org/a/demo-18/api/form/attachment/6e829665-adb9-4a55-b18e-c694f469e9f1/1578469593457.jpg</v>
      </c>
      <c r="R27" s="2">
        <v>43838.324016203704</v>
      </c>
      <c r="S27" s="2">
        <v>43838.321319444447</v>
      </c>
      <c r="T27" t="s">
        <v>32</v>
      </c>
      <c r="U27" s="2">
        <v>43838.324293981481</v>
      </c>
      <c r="V27" s="3" t="s">
        <v>995</v>
      </c>
      <c r="W27" t="s">
        <v>996</v>
      </c>
    </row>
    <row r="28" spans="1:23" x14ac:dyDescent="0.45">
      <c r="A28" t="s">
        <v>662</v>
      </c>
      <c r="B28">
        <v>6.6</v>
      </c>
      <c r="C28" s="1">
        <v>43868</v>
      </c>
      <c r="D28" s="1">
        <v>43838</v>
      </c>
      <c r="E28" t="s">
        <v>428</v>
      </c>
      <c r="F28" t="s">
        <v>429</v>
      </c>
      <c r="G28" t="s">
        <v>429</v>
      </c>
      <c r="H28" t="s">
        <v>429</v>
      </c>
      <c r="I28" t="s">
        <v>447</v>
      </c>
      <c r="J28" t="s">
        <v>428</v>
      </c>
      <c r="K28" t="s">
        <v>429</v>
      </c>
      <c r="L28" t="str">
        <f>HYPERLINK("https://www.commcarehq.org/a/demo-18/api/form/attachment/a201a235-d30a-475c-9f9b-a3d8c109bcc7/1578466964094.jpg")</f>
        <v>https://www.commcarehq.org/a/demo-18/api/form/attachment/a201a235-d30a-475c-9f9b-a3d8c109bcc7/1578466964094.jpg</v>
      </c>
      <c r="M28" t="str">
        <f>HYPERLINK("https://www.commcarehq.org/a/demo-18/api/form/attachment/a201a235-d30a-475c-9f9b-a3d8c109bcc7/1578466977129.jpg")</f>
        <v>https://www.commcarehq.org/a/demo-18/api/form/attachment/a201a235-d30a-475c-9f9b-a3d8c109bcc7/1578466977129.jpg</v>
      </c>
      <c r="N28" t="str">
        <f>HYPERLINK("https://www.commcarehq.org/a/demo-18/api/form/attachment/a201a235-d30a-475c-9f9b-a3d8c109bcc7/1578467031943.jpg")</f>
        <v>https://www.commcarehq.org/a/demo-18/api/form/attachment/a201a235-d30a-475c-9f9b-a3d8c109bcc7/1578467031943.jpg</v>
      </c>
      <c r="O28" t="str">
        <f>HYPERLINK("https://www.commcarehq.org/a/demo-18/api/form/attachment/a201a235-d30a-475c-9f9b-a3d8c109bcc7/1578467041759.jpg")</f>
        <v>https://www.commcarehq.org/a/demo-18/api/form/attachment/a201a235-d30a-475c-9f9b-a3d8c109bcc7/1578467041759.jpg</v>
      </c>
      <c r="P28" t="str">
        <f>HYPERLINK("https://www.commcarehq.org/a/demo-18/api/form/attachment/a201a235-d30a-475c-9f9b-a3d8c109bcc7/1578467061122.jpg")</f>
        <v>https://www.commcarehq.org/a/demo-18/api/form/attachment/a201a235-d30a-475c-9f9b-a3d8c109bcc7/1578467061122.jpg</v>
      </c>
      <c r="Q28" t="str">
        <f>HYPERLINK("https://www.commcarehq.org/a/demo-18/api/form/attachment/a201a235-d30a-475c-9f9b-a3d8c109bcc7/1578467072469.jpg")</f>
        <v>https://www.commcarehq.org/a/demo-18/api/form/attachment/a201a235-d30a-475c-9f9b-a3d8c109bcc7/1578467072469.jpg</v>
      </c>
      <c r="R28" s="2">
        <v>43838.294872685183</v>
      </c>
      <c r="S28" s="2">
        <v>43838.293124999997</v>
      </c>
      <c r="T28" t="s">
        <v>32</v>
      </c>
      <c r="U28" s="2">
        <v>43838.295081018521</v>
      </c>
      <c r="V28" s="3" t="s">
        <v>997</v>
      </c>
      <c r="W28" t="s">
        <v>998</v>
      </c>
    </row>
    <row r="29" spans="1:23" x14ac:dyDescent="0.45">
      <c r="A29" t="s">
        <v>813</v>
      </c>
      <c r="B29">
        <v>6.7</v>
      </c>
      <c r="C29" s="1">
        <v>43828</v>
      </c>
      <c r="D29" s="1">
        <v>43798</v>
      </c>
      <c r="E29" t="s">
        <v>428</v>
      </c>
      <c r="F29" t="s">
        <v>429</v>
      </c>
      <c r="G29" t="s">
        <v>429</v>
      </c>
      <c r="H29" t="s">
        <v>429</v>
      </c>
      <c r="I29" t="s">
        <v>430</v>
      </c>
      <c r="J29" t="s">
        <v>428</v>
      </c>
      <c r="K29" t="s">
        <v>429</v>
      </c>
      <c r="L29" t="str">
        <f>HYPERLINK("https://www.commcarehq.org/a/demo-18/api/form/attachment/4c49276e-fdc6-4643-a24b-466ce4c6b026/1575012584586.jpg")</f>
        <v>https://www.commcarehq.org/a/demo-18/api/form/attachment/4c49276e-fdc6-4643-a24b-466ce4c6b026/1575012584586.jpg</v>
      </c>
      <c r="M29" t="str">
        <f>HYPERLINK("https://www.commcarehq.org/a/demo-18/api/form/attachment/4c49276e-fdc6-4643-a24b-466ce4c6b026/1575012599256.jpg")</f>
        <v>https://www.commcarehq.org/a/demo-18/api/form/attachment/4c49276e-fdc6-4643-a24b-466ce4c6b026/1575012599256.jpg</v>
      </c>
      <c r="N29" t="str">
        <f>HYPERLINK("https://www.commcarehq.org/a/demo-18/api/form/attachment/4c49276e-fdc6-4643-a24b-466ce4c6b026/1575012648065.jpg")</f>
        <v>https://www.commcarehq.org/a/demo-18/api/form/attachment/4c49276e-fdc6-4643-a24b-466ce4c6b026/1575012648065.jpg</v>
      </c>
      <c r="O29" t="str">
        <f>HYPERLINK("https://www.commcarehq.org/a/demo-18/api/form/attachment/4c49276e-fdc6-4643-a24b-466ce4c6b026/1575012656028.jpg")</f>
        <v>https://www.commcarehq.org/a/demo-18/api/form/attachment/4c49276e-fdc6-4643-a24b-466ce4c6b026/1575012656028.jpg</v>
      </c>
      <c r="P29" t="str">
        <f>HYPERLINK("https://www.commcarehq.org/a/demo-18/api/form/attachment/4c49276e-fdc6-4643-a24b-466ce4c6b026/1575012692368.jpg")</f>
        <v>https://www.commcarehq.org/a/demo-18/api/form/attachment/4c49276e-fdc6-4643-a24b-466ce4c6b026/1575012692368.jpg</v>
      </c>
      <c r="Q29" t="str">
        <f>HYPERLINK("https://www.commcarehq.org/a/demo-18/api/form/attachment/4c49276e-fdc6-4643-a24b-466ce4c6b026/1575012701063.jpg")</f>
        <v>https://www.commcarehq.org/a/demo-18/api/form/attachment/4c49276e-fdc6-4643-a24b-466ce4c6b026/1575012701063.jpg</v>
      </c>
      <c r="R29" s="2">
        <v>43798.313680555555</v>
      </c>
      <c r="S29" s="2">
        <v>43798.31181712963</v>
      </c>
      <c r="T29" t="s">
        <v>32</v>
      </c>
      <c r="U29" s="2">
        <v>43798.366284722222</v>
      </c>
      <c r="V29" t="s">
        <v>814</v>
      </c>
      <c r="W29" t="s">
        <v>815</v>
      </c>
    </row>
    <row r="30" spans="1:23" x14ac:dyDescent="0.45">
      <c r="A30" t="s">
        <v>822</v>
      </c>
      <c r="B30">
        <v>6.5</v>
      </c>
      <c r="C30" s="1">
        <v>43828</v>
      </c>
      <c r="D30" s="1">
        <v>43798</v>
      </c>
      <c r="E30" t="s">
        <v>428</v>
      </c>
      <c r="F30" t="s">
        <v>429</v>
      </c>
      <c r="G30" t="s">
        <v>429</v>
      </c>
      <c r="H30" t="s">
        <v>429</v>
      </c>
      <c r="I30" t="s">
        <v>447</v>
      </c>
      <c r="J30" t="s">
        <v>428</v>
      </c>
      <c r="K30" t="s">
        <v>429</v>
      </c>
      <c r="L30" t="str">
        <f>HYPERLINK("https://www.commcarehq.org/a/demo-18/api/form/attachment/0c8869ba-6629-4f26-81b1-60175b717d18/1575013562810.jpg")</f>
        <v>https://www.commcarehq.org/a/demo-18/api/form/attachment/0c8869ba-6629-4f26-81b1-60175b717d18/1575013562810.jpg</v>
      </c>
      <c r="M30" t="str">
        <f>HYPERLINK("https://www.commcarehq.org/a/demo-18/api/form/attachment/0c8869ba-6629-4f26-81b1-60175b717d18/1575013578440.jpg")</f>
        <v>https://www.commcarehq.org/a/demo-18/api/form/attachment/0c8869ba-6629-4f26-81b1-60175b717d18/1575013578440.jpg</v>
      </c>
      <c r="N30" t="str">
        <f>HYPERLINK("https://www.commcarehq.org/a/demo-18/api/form/attachment/0c8869ba-6629-4f26-81b1-60175b717d18/1575013616762.jpg")</f>
        <v>https://www.commcarehq.org/a/demo-18/api/form/attachment/0c8869ba-6629-4f26-81b1-60175b717d18/1575013616762.jpg</v>
      </c>
      <c r="O30" t="str">
        <f>HYPERLINK("https://www.commcarehq.org/a/demo-18/api/form/attachment/0c8869ba-6629-4f26-81b1-60175b717d18/1575013628412.jpg")</f>
        <v>https://www.commcarehq.org/a/demo-18/api/form/attachment/0c8869ba-6629-4f26-81b1-60175b717d18/1575013628412.jpg</v>
      </c>
      <c r="P30" t="str">
        <f>HYPERLINK("https://www.commcarehq.org/a/demo-18/api/form/attachment/0c8869ba-6629-4f26-81b1-60175b717d18/1575013643672.jpg")</f>
        <v>https://www.commcarehq.org/a/demo-18/api/form/attachment/0c8869ba-6629-4f26-81b1-60175b717d18/1575013643672.jpg</v>
      </c>
      <c r="Q30" t="str">
        <f>HYPERLINK("https://www.commcarehq.org/a/demo-18/api/form/attachment/0c8869ba-6629-4f26-81b1-60175b717d18/1575013657502.jpg")</f>
        <v>https://www.commcarehq.org/a/demo-18/api/form/attachment/0c8869ba-6629-4f26-81b1-60175b717d18/1575013657502.jpg</v>
      </c>
      <c r="R30" s="2">
        <v>43798.324756944443</v>
      </c>
      <c r="S30" s="2">
        <v>43798.322916666664</v>
      </c>
      <c r="T30" t="s">
        <v>32</v>
      </c>
      <c r="U30" s="2">
        <v>43798.366759259261</v>
      </c>
      <c r="V30" s="3" t="s">
        <v>823</v>
      </c>
      <c r="W30" t="s">
        <v>824</v>
      </c>
    </row>
    <row r="31" spans="1:23" x14ac:dyDescent="0.45">
      <c r="A31" t="s">
        <v>819</v>
      </c>
      <c r="B31">
        <v>6.8</v>
      </c>
      <c r="C31" s="1">
        <v>43805</v>
      </c>
      <c r="D31" s="1">
        <v>43775</v>
      </c>
      <c r="E31" t="s">
        <v>428</v>
      </c>
      <c r="F31" t="s">
        <v>429</v>
      </c>
      <c r="G31" t="s">
        <v>429</v>
      </c>
      <c r="H31" t="s">
        <v>429</v>
      </c>
      <c r="I31" t="s">
        <v>430</v>
      </c>
      <c r="J31" t="s">
        <v>428</v>
      </c>
      <c r="K31" t="s">
        <v>429</v>
      </c>
      <c r="L31" t="str">
        <f>HYPERLINK("https://www.commcarehq.org/a/demo-18/api/form/attachment/dfd23962-2616-4834-9547-c147ed5505b6/1573031672628.jpg")</f>
        <v>https://www.commcarehq.org/a/demo-18/api/form/attachment/dfd23962-2616-4834-9547-c147ed5505b6/1573031672628.jpg</v>
      </c>
      <c r="M31" t="str">
        <f>HYPERLINK("https://www.commcarehq.org/a/demo-18/api/form/attachment/dfd23962-2616-4834-9547-c147ed5505b6/1573031688124.jpg")</f>
        <v>https://www.commcarehq.org/a/demo-18/api/form/attachment/dfd23962-2616-4834-9547-c147ed5505b6/1573031688124.jpg</v>
      </c>
      <c r="N31" t="str">
        <f>HYPERLINK("https://www.commcarehq.org/a/demo-18/api/form/attachment/dfd23962-2616-4834-9547-c147ed5505b6/1573031787707.jpg")</f>
        <v>https://www.commcarehq.org/a/demo-18/api/form/attachment/dfd23962-2616-4834-9547-c147ed5505b6/1573031787707.jpg</v>
      </c>
      <c r="O31" t="str">
        <f>HYPERLINK("https://www.commcarehq.org/a/demo-18/api/form/attachment/dfd23962-2616-4834-9547-c147ed5505b6/1573031801749.jpg")</f>
        <v>https://www.commcarehq.org/a/demo-18/api/form/attachment/dfd23962-2616-4834-9547-c147ed5505b6/1573031801749.jpg</v>
      </c>
      <c r="P31" t="str">
        <f>HYPERLINK("https://www.commcarehq.org/a/demo-18/api/form/attachment/dfd23962-2616-4834-9547-c147ed5505b6/1573031854243.jpg")</f>
        <v>https://www.commcarehq.org/a/demo-18/api/form/attachment/dfd23962-2616-4834-9547-c147ed5505b6/1573031854243.jpg</v>
      </c>
      <c r="Q31" t="str">
        <f>HYPERLINK("https://www.commcarehq.org/a/demo-18/api/form/attachment/dfd23962-2616-4834-9547-c147ed5505b6/1573031884718.jpg")</f>
        <v>https://www.commcarehq.org/a/demo-18/api/form/attachment/dfd23962-2616-4834-9547-c147ed5505b6/1573031884718.jpg</v>
      </c>
      <c r="R31" s="2">
        <v>43775.38758101852</v>
      </c>
      <c r="S31" s="2">
        <v>43775.384745370371</v>
      </c>
      <c r="T31" t="s">
        <v>32</v>
      </c>
      <c r="U31" s="2">
        <v>43775.393958333334</v>
      </c>
      <c r="V31" s="3" t="s">
        <v>820</v>
      </c>
      <c r="W31" t="s">
        <v>821</v>
      </c>
    </row>
    <row r="32" spans="1:23" x14ac:dyDescent="0.45">
      <c r="A32" t="s">
        <v>825</v>
      </c>
      <c r="B32">
        <v>5.9</v>
      </c>
      <c r="C32" s="1">
        <v>43831</v>
      </c>
      <c r="D32" s="1">
        <v>43801</v>
      </c>
      <c r="E32" t="s">
        <v>428</v>
      </c>
      <c r="F32" t="s">
        <v>429</v>
      </c>
      <c r="G32" t="s">
        <v>429</v>
      </c>
      <c r="H32" t="s">
        <v>429</v>
      </c>
      <c r="I32" t="s">
        <v>796</v>
      </c>
      <c r="J32" t="s">
        <v>428</v>
      </c>
      <c r="K32" t="s">
        <v>429</v>
      </c>
      <c r="L32" t="str">
        <f>HYPERLINK("https://www.commcarehq.org/a/demo-18/api/form/attachment/5619be38-36e7-4060-849d-d5cd7b6d371a/1575272539079.jpg")</f>
        <v>https://www.commcarehq.org/a/demo-18/api/form/attachment/5619be38-36e7-4060-849d-d5cd7b6d371a/1575272539079.jpg</v>
      </c>
      <c r="M32" t="str">
        <f>HYPERLINK("https://www.commcarehq.org/a/demo-18/api/form/attachment/5619be38-36e7-4060-849d-d5cd7b6d371a/1575272553188.jpg")</f>
        <v>https://www.commcarehq.org/a/demo-18/api/form/attachment/5619be38-36e7-4060-849d-d5cd7b6d371a/1575272553188.jpg</v>
      </c>
      <c r="N32" t="str">
        <f>HYPERLINK("https://www.commcarehq.org/a/demo-18/api/form/attachment/5619be38-36e7-4060-849d-d5cd7b6d371a/1575272597136.jpg")</f>
        <v>https://www.commcarehq.org/a/demo-18/api/form/attachment/5619be38-36e7-4060-849d-d5cd7b6d371a/1575272597136.jpg</v>
      </c>
      <c r="O32" t="str">
        <f>HYPERLINK("https://www.commcarehq.org/a/demo-18/api/form/attachment/5619be38-36e7-4060-849d-d5cd7b6d371a/1575272605747.jpg")</f>
        <v>https://www.commcarehq.org/a/demo-18/api/form/attachment/5619be38-36e7-4060-849d-d5cd7b6d371a/1575272605747.jpg</v>
      </c>
      <c r="P32" t="str">
        <f>HYPERLINK("https://www.commcarehq.org/a/demo-18/api/form/attachment/5619be38-36e7-4060-849d-d5cd7b6d371a/1575272633709.jpg")</f>
        <v>https://www.commcarehq.org/a/demo-18/api/form/attachment/5619be38-36e7-4060-849d-d5cd7b6d371a/1575272633709.jpg</v>
      </c>
      <c r="Q32" t="str">
        <f>HYPERLINK("https://www.commcarehq.org/a/demo-18/api/form/attachment/5619be38-36e7-4060-849d-d5cd7b6d371a/1575272642691.jpg")</f>
        <v>https://www.commcarehq.org/a/demo-18/api/form/attachment/5619be38-36e7-4060-849d-d5cd7b6d371a/1575272642691.jpg</v>
      </c>
      <c r="R32" s="2">
        <v>43801.322280092594</v>
      </c>
      <c r="S32" s="2">
        <v>43801.320243055554</v>
      </c>
      <c r="T32" t="s">
        <v>32</v>
      </c>
      <c r="U32" s="2">
        <v>43801.322465277779</v>
      </c>
      <c r="V32" s="3" t="s">
        <v>826</v>
      </c>
      <c r="W32" t="s">
        <v>827</v>
      </c>
    </row>
    <row r="33" spans="1:23" x14ac:dyDescent="0.45">
      <c r="A33" t="s">
        <v>712</v>
      </c>
      <c r="B33">
        <v>5.8</v>
      </c>
      <c r="C33" s="1">
        <v>43870</v>
      </c>
      <c r="D33" s="1">
        <v>43840</v>
      </c>
      <c r="E33" t="s">
        <v>428</v>
      </c>
      <c r="F33" t="s">
        <v>429</v>
      </c>
      <c r="G33" t="s">
        <v>429</v>
      </c>
      <c r="H33" t="s">
        <v>429</v>
      </c>
      <c r="I33" t="s">
        <v>447</v>
      </c>
      <c r="J33" t="s">
        <v>428</v>
      </c>
      <c r="K33" t="s">
        <v>429</v>
      </c>
      <c r="L33" t="str">
        <f>HYPERLINK("https://www.commcarehq.org/a/demo-18/api/form/attachment/89d6b12c-7cf0-4d1a-8b43-11ce3553bb1d/1578646359751.jpg")</f>
        <v>https://www.commcarehq.org/a/demo-18/api/form/attachment/89d6b12c-7cf0-4d1a-8b43-11ce3553bb1d/1578646359751.jpg</v>
      </c>
      <c r="M33" t="str">
        <f>HYPERLINK("https://www.commcarehq.org/a/demo-18/api/form/attachment/89d6b12c-7cf0-4d1a-8b43-11ce3553bb1d/1578646374655.jpg")</f>
        <v>https://www.commcarehq.org/a/demo-18/api/form/attachment/89d6b12c-7cf0-4d1a-8b43-11ce3553bb1d/1578646374655.jpg</v>
      </c>
      <c r="N33" t="str">
        <f>HYPERLINK("https://www.commcarehq.org/a/demo-18/api/form/attachment/89d6b12c-7cf0-4d1a-8b43-11ce3553bb1d/1578646429167.jpg")</f>
        <v>https://www.commcarehq.org/a/demo-18/api/form/attachment/89d6b12c-7cf0-4d1a-8b43-11ce3553bb1d/1578646429167.jpg</v>
      </c>
      <c r="O33" t="str">
        <f>HYPERLINK("https://www.commcarehq.org/a/demo-18/api/form/attachment/89d6b12c-7cf0-4d1a-8b43-11ce3553bb1d/1578646439341.jpg")</f>
        <v>https://www.commcarehq.org/a/demo-18/api/form/attachment/89d6b12c-7cf0-4d1a-8b43-11ce3553bb1d/1578646439341.jpg</v>
      </c>
      <c r="P33" t="str">
        <f>HYPERLINK("https://www.commcarehq.org/a/demo-18/api/form/attachment/89d6b12c-7cf0-4d1a-8b43-11ce3553bb1d/1578646452964.jpg")</f>
        <v>https://www.commcarehq.org/a/demo-18/api/form/attachment/89d6b12c-7cf0-4d1a-8b43-11ce3553bb1d/1578646452964.jpg</v>
      </c>
      <c r="Q33" t="str">
        <f>HYPERLINK("https://www.commcarehq.org/a/demo-18/api/form/attachment/89d6b12c-7cf0-4d1a-8b43-11ce3553bb1d/1578646462938.jpg")</f>
        <v>https://www.commcarehq.org/a/demo-18/api/form/attachment/89d6b12c-7cf0-4d1a-8b43-11ce3553bb1d/1578646462938.jpg</v>
      </c>
      <c r="R33" s="2">
        <v>43840.371111111112</v>
      </c>
      <c r="S33" s="2">
        <v>43840.369560185187</v>
      </c>
      <c r="T33" t="s">
        <v>32</v>
      </c>
      <c r="U33" s="2">
        <v>43840.371342592596</v>
      </c>
      <c r="V33" t="s">
        <v>1019</v>
      </c>
      <c r="W33" t="s">
        <v>1020</v>
      </c>
    </row>
    <row r="34" spans="1:23" x14ac:dyDescent="0.45">
      <c r="A34" t="s">
        <v>594</v>
      </c>
      <c r="B34">
        <v>8.1</v>
      </c>
      <c r="C34" s="1">
        <v>43870</v>
      </c>
      <c r="D34" s="1">
        <v>43840</v>
      </c>
      <c r="E34" t="s">
        <v>428</v>
      </c>
      <c r="F34" t="s">
        <v>429</v>
      </c>
      <c r="G34" t="s">
        <v>429</v>
      </c>
      <c r="H34" t="s">
        <v>429</v>
      </c>
      <c r="I34" t="s">
        <v>447</v>
      </c>
      <c r="J34" t="s">
        <v>428</v>
      </c>
      <c r="K34" t="s">
        <v>429</v>
      </c>
      <c r="L34" t="str">
        <f>HYPERLINK("https://www.commcarehq.org/a/demo-18/api/form/attachment/f6d8a9c2-e618-42b3-a798-12883bcf540c/1578643678435.jpg")</f>
        <v>https://www.commcarehq.org/a/demo-18/api/form/attachment/f6d8a9c2-e618-42b3-a798-12883bcf540c/1578643678435.jpg</v>
      </c>
      <c r="M34" t="str">
        <f>HYPERLINK("https://www.commcarehq.org/a/demo-18/api/form/attachment/f6d8a9c2-e618-42b3-a798-12883bcf540c/1578643701004.jpg")</f>
        <v>https://www.commcarehq.org/a/demo-18/api/form/attachment/f6d8a9c2-e618-42b3-a798-12883bcf540c/1578643701004.jpg</v>
      </c>
      <c r="N34" t="str">
        <f>HYPERLINK("https://www.commcarehq.org/a/demo-18/api/form/attachment/f6d8a9c2-e618-42b3-a798-12883bcf540c/1578643804202.jpg")</f>
        <v>https://www.commcarehq.org/a/demo-18/api/form/attachment/f6d8a9c2-e618-42b3-a798-12883bcf540c/1578643804202.jpg</v>
      </c>
      <c r="O34" t="str">
        <f>HYPERLINK("https://www.commcarehq.org/a/demo-18/api/form/attachment/f6d8a9c2-e618-42b3-a798-12883bcf540c/1578643814910.jpg")</f>
        <v>https://www.commcarehq.org/a/demo-18/api/form/attachment/f6d8a9c2-e618-42b3-a798-12883bcf540c/1578643814910.jpg</v>
      </c>
      <c r="P34" t="str">
        <f>HYPERLINK("https://www.commcarehq.org/a/demo-18/api/form/attachment/f6d8a9c2-e618-42b3-a798-12883bcf540c/1578643830968.jpg")</f>
        <v>https://www.commcarehq.org/a/demo-18/api/form/attachment/f6d8a9c2-e618-42b3-a798-12883bcf540c/1578643830968.jpg</v>
      </c>
      <c r="Q34" t="str">
        <f>HYPERLINK("https://www.commcarehq.org/a/demo-18/api/form/attachment/f6d8a9c2-e618-42b3-a798-12883bcf540c/1578643843405.jpg")</f>
        <v>https://www.commcarehq.org/a/demo-18/api/form/attachment/f6d8a9c2-e618-42b3-a798-12883bcf540c/1578643843405.jpg</v>
      </c>
      <c r="R34" s="2">
        <v>43840.340833333335</v>
      </c>
      <c r="S34" s="2">
        <v>43840.33861111111</v>
      </c>
      <c r="T34" t="s">
        <v>32</v>
      </c>
      <c r="U34" s="2">
        <v>43840.341064814813</v>
      </c>
      <c r="V34" s="3" t="s">
        <v>1021</v>
      </c>
      <c r="W34" t="s">
        <v>1022</v>
      </c>
    </row>
    <row r="35" spans="1:23" x14ac:dyDescent="0.45">
      <c r="A35" t="s">
        <v>750</v>
      </c>
      <c r="B35">
        <v>7.3</v>
      </c>
      <c r="C35" s="1">
        <v>43875</v>
      </c>
      <c r="D35" s="1">
        <v>43845</v>
      </c>
      <c r="E35" t="s">
        <v>428</v>
      </c>
      <c r="F35" t="s">
        <v>429</v>
      </c>
      <c r="G35" t="s">
        <v>429</v>
      </c>
      <c r="H35" t="s">
        <v>429</v>
      </c>
      <c r="I35" t="s">
        <v>447</v>
      </c>
      <c r="J35" t="s">
        <v>428</v>
      </c>
      <c r="K35" t="s">
        <v>429</v>
      </c>
      <c r="L35" t="str">
        <f>HYPERLINK("https://www.commcarehq.org/a/demo-18/api/form/attachment/5b333152-3428-4c27-81c3-73bcbaeadc52/1579077557230.jpg")</f>
        <v>https://www.commcarehq.org/a/demo-18/api/form/attachment/5b333152-3428-4c27-81c3-73bcbaeadc52/1579077557230.jpg</v>
      </c>
      <c r="M35" t="str">
        <f>HYPERLINK("https://www.commcarehq.org/a/demo-18/api/form/attachment/5b333152-3428-4c27-81c3-73bcbaeadc52/1579077571676.jpg")</f>
        <v>https://www.commcarehq.org/a/demo-18/api/form/attachment/5b333152-3428-4c27-81c3-73bcbaeadc52/1579077571676.jpg</v>
      </c>
      <c r="N35" t="str">
        <f>HYPERLINK("https://www.commcarehq.org/a/demo-18/api/form/attachment/5b333152-3428-4c27-81c3-73bcbaeadc52/1579077618464.jpg")</f>
        <v>https://www.commcarehq.org/a/demo-18/api/form/attachment/5b333152-3428-4c27-81c3-73bcbaeadc52/1579077618464.jpg</v>
      </c>
      <c r="O35" t="str">
        <f>HYPERLINK("https://www.commcarehq.org/a/demo-18/api/form/attachment/5b333152-3428-4c27-81c3-73bcbaeadc52/1579077630520.jpg")</f>
        <v>https://www.commcarehq.org/a/demo-18/api/form/attachment/5b333152-3428-4c27-81c3-73bcbaeadc52/1579077630520.jpg</v>
      </c>
      <c r="P35" t="str">
        <f>HYPERLINK("https://www.commcarehq.org/a/demo-18/api/form/attachment/5b333152-3428-4c27-81c3-73bcbaeadc52/1579077649608.jpg")</f>
        <v>https://www.commcarehq.org/a/demo-18/api/form/attachment/5b333152-3428-4c27-81c3-73bcbaeadc52/1579077649608.jpg</v>
      </c>
      <c r="Q35" t="str">
        <f>HYPERLINK("https://www.commcarehq.org/a/demo-18/api/form/attachment/5b333152-3428-4c27-81c3-73bcbaeadc52/1579077659934.jpg")</f>
        <v>https://www.commcarehq.org/a/demo-18/api/form/attachment/5b333152-3428-4c27-81c3-73bcbaeadc52/1579077659934.jpg</v>
      </c>
      <c r="R35" s="2">
        <v>43845.361817129633</v>
      </c>
      <c r="S35" s="2">
        <v>43845.360243055555</v>
      </c>
      <c r="T35" t="s">
        <v>32</v>
      </c>
      <c r="U35" s="2">
        <v>43845.362245370372</v>
      </c>
      <c r="V35" s="3" t="s">
        <v>1074</v>
      </c>
      <c r="W35" t="s">
        <v>1075</v>
      </c>
    </row>
    <row r="36" spans="1:23" x14ac:dyDescent="0.45">
      <c r="A36" t="s">
        <v>674</v>
      </c>
      <c r="B36">
        <v>8</v>
      </c>
      <c r="C36" s="1">
        <v>43880</v>
      </c>
      <c r="D36" s="1">
        <v>43850</v>
      </c>
      <c r="E36" t="s">
        <v>428</v>
      </c>
      <c r="F36" t="s">
        <v>429</v>
      </c>
      <c r="G36" t="s">
        <v>429</v>
      </c>
      <c r="H36" t="s">
        <v>429</v>
      </c>
      <c r="I36" t="s">
        <v>1110</v>
      </c>
      <c r="J36" t="s">
        <v>428</v>
      </c>
      <c r="K36" t="s">
        <v>429</v>
      </c>
      <c r="L36" t="str">
        <f>HYPERLINK("https://www.commcarehq.org/a/demo-18/api/form/attachment/4f3cf50c-da8c-4fe4-8bf7-e3f1c0a533b8/1579507812571.jpg")</f>
        <v>https://www.commcarehq.org/a/demo-18/api/form/attachment/4f3cf50c-da8c-4fe4-8bf7-e3f1c0a533b8/1579507812571.jpg</v>
      </c>
      <c r="M36" t="str">
        <f>HYPERLINK("https://www.commcarehq.org/a/demo-18/api/form/attachment/4f3cf50c-da8c-4fe4-8bf7-e3f1c0a533b8/1579507826365.jpg")</f>
        <v>https://www.commcarehq.org/a/demo-18/api/form/attachment/4f3cf50c-da8c-4fe4-8bf7-e3f1c0a533b8/1579507826365.jpg</v>
      </c>
      <c r="N36" t="str">
        <f>HYPERLINK("https://www.commcarehq.org/a/demo-18/api/form/attachment/4f3cf50c-da8c-4fe4-8bf7-e3f1c0a533b8/1579507881094.jpg")</f>
        <v>https://www.commcarehq.org/a/demo-18/api/form/attachment/4f3cf50c-da8c-4fe4-8bf7-e3f1c0a533b8/1579507881094.jpg</v>
      </c>
      <c r="O36" t="str">
        <f>HYPERLINK("https://www.commcarehq.org/a/demo-18/api/form/attachment/4f3cf50c-da8c-4fe4-8bf7-e3f1c0a533b8/1579507891963.jpg")</f>
        <v>https://www.commcarehq.org/a/demo-18/api/form/attachment/4f3cf50c-da8c-4fe4-8bf7-e3f1c0a533b8/1579507891963.jpg</v>
      </c>
      <c r="P36" t="str">
        <f>HYPERLINK("https://www.commcarehq.org/a/demo-18/api/form/attachment/4f3cf50c-da8c-4fe4-8bf7-e3f1c0a533b8/1579507921167.jpg")</f>
        <v>https://www.commcarehq.org/a/demo-18/api/form/attachment/4f3cf50c-da8c-4fe4-8bf7-e3f1c0a533b8/1579507921167.jpg</v>
      </c>
      <c r="Q36" t="str">
        <f>HYPERLINK("https://www.commcarehq.org/a/demo-18/api/form/attachment/4f3cf50c-da8c-4fe4-8bf7-e3f1c0a533b8/1579507931483.jpg")</f>
        <v>https://www.commcarehq.org/a/demo-18/api/form/attachment/4f3cf50c-da8c-4fe4-8bf7-e3f1c0a533b8/1579507931483.jpg</v>
      </c>
      <c r="R36" s="2">
        <v>43850.341817129629</v>
      </c>
      <c r="S36" s="2">
        <v>43850.339756944442</v>
      </c>
      <c r="T36" t="s">
        <v>32</v>
      </c>
      <c r="U36" s="2">
        <v>43850.341990740744</v>
      </c>
      <c r="V36" s="3" t="s">
        <v>1134</v>
      </c>
      <c r="W36" t="s">
        <v>1135</v>
      </c>
    </row>
    <row r="37" spans="1:23" x14ac:dyDescent="0.45">
      <c r="A37" t="s">
        <v>691</v>
      </c>
      <c r="B37">
        <v>6.6</v>
      </c>
      <c r="C37" s="1">
        <v>43882</v>
      </c>
      <c r="D37" s="1">
        <v>43852</v>
      </c>
      <c r="E37" t="s">
        <v>428</v>
      </c>
      <c r="F37" t="s">
        <v>429</v>
      </c>
      <c r="G37" t="s">
        <v>429</v>
      </c>
      <c r="H37" t="s">
        <v>429</v>
      </c>
      <c r="I37" t="s">
        <v>447</v>
      </c>
      <c r="J37" t="s">
        <v>428</v>
      </c>
      <c r="K37" t="s">
        <v>429</v>
      </c>
      <c r="L37" t="str">
        <f>HYPERLINK("https://www.commcarehq.org/a/demo-18/api/form/attachment/d1dde4ad-454a-4760-a22a-6a4272dd2514/1579684159657.jpg")</f>
        <v>https://www.commcarehq.org/a/demo-18/api/form/attachment/d1dde4ad-454a-4760-a22a-6a4272dd2514/1579684159657.jpg</v>
      </c>
      <c r="M37" t="str">
        <f>HYPERLINK("https://www.commcarehq.org/a/demo-18/api/form/attachment/d1dde4ad-454a-4760-a22a-6a4272dd2514/1579684177614.jpg")</f>
        <v>https://www.commcarehq.org/a/demo-18/api/form/attachment/d1dde4ad-454a-4760-a22a-6a4272dd2514/1579684177614.jpg</v>
      </c>
      <c r="N37" t="str">
        <f>HYPERLINK("https://www.commcarehq.org/a/demo-18/api/form/attachment/d1dde4ad-454a-4760-a22a-6a4272dd2514/1579684287402.jpg")</f>
        <v>https://www.commcarehq.org/a/demo-18/api/form/attachment/d1dde4ad-454a-4760-a22a-6a4272dd2514/1579684287402.jpg</v>
      </c>
      <c r="O37" t="str">
        <f>HYPERLINK("https://www.commcarehq.org/a/demo-18/api/form/attachment/d1dde4ad-454a-4760-a22a-6a4272dd2514/1579684297550.jpg")</f>
        <v>https://www.commcarehq.org/a/demo-18/api/form/attachment/d1dde4ad-454a-4760-a22a-6a4272dd2514/1579684297550.jpg</v>
      </c>
      <c r="P37" t="str">
        <f>HYPERLINK("https://www.commcarehq.org/a/demo-18/api/form/attachment/d1dde4ad-454a-4760-a22a-6a4272dd2514/1579684322405.jpg")</f>
        <v>https://www.commcarehq.org/a/demo-18/api/form/attachment/d1dde4ad-454a-4760-a22a-6a4272dd2514/1579684322405.jpg</v>
      </c>
      <c r="Q37" t="str">
        <f>HYPERLINK("https://www.commcarehq.org/a/demo-18/api/form/attachment/d1dde4ad-454a-4760-a22a-6a4272dd2514/1579684333239.jpg")</f>
        <v>https://www.commcarehq.org/a/demo-18/api/form/attachment/d1dde4ad-454a-4760-a22a-6a4272dd2514/1579684333239.jpg</v>
      </c>
      <c r="R37" s="2">
        <v>43852.383506944447</v>
      </c>
      <c r="S37" s="2">
        <v>43852.380659722221</v>
      </c>
      <c r="T37" t="s">
        <v>32</v>
      </c>
      <c r="U37" s="2">
        <v>43852.383750000001</v>
      </c>
      <c r="V37" s="3" t="s">
        <v>1256</v>
      </c>
      <c r="W37" t="s">
        <v>1257</v>
      </c>
    </row>
    <row r="38" spans="1:23" x14ac:dyDescent="0.45">
      <c r="A38" t="s">
        <v>591</v>
      </c>
      <c r="B38">
        <v>5.8</v>
      </c>
      <c r="C38" s="1">
        <v>43880</v>
      </c>
      <c r="D38" s="1">
        <v>43850</v>
      </c>
      <c r="E38" t="s">
        <v>428</v>
      </c>
      <c r="F38" t="s">
        <v>429</v>
      </c>
      <c r="G38" t="s">
        <v>429</v>
      </c>
      <c r="H38" t="s">
        <v>429</v>
      </c>
      <c r="I38" t="s">
        <v>447</v>
      </c>
      <c r="J38" t="s">
        <v>428</v>
      </c>
      <c r="K38" t="s">
        <v>429</v>
      </c>
      <c r="L38" t="str">
        <f>HYPERLINK("https://www.commcarehq.org/a/demo-18/api/form/attachment/ce51b51c-01ff-4bda-bfcf-8d0d630300de/1579507456850.jpg")</f>
        <v>https://www.commcarehq.org/a/demo-18/api/form/attachment/ce51b51c-01ff-4bda-bfcf-8d0d630300de/1579507456850.jpg</v>
      </c>
      <c r="M38" t="str">
        <f>HYPERLINK("https://www.commcarehq.org/a/demo-18/api/form/attachment/ce51b51c-01ff-4bda-bfcf-8d0d630300de/1579507475303.jpg")</f>
        <v>https://www.commcarehq.org/a/demo-18/api/form/attachment/ce51b51c-01ff-4bda-bfcf-8d0d630300de/1579507475303.jpg</v>
      </c>
      <c r="N38" t="str">
        <f>HYPERLINK("https://www.commcarehq.org/a/demo-18/api/form/attachment/ce51b51c-01ff-4bda-bfcf-8d0d630300de/1579507534690.jpg")</f>
        <v>https://www.commcarehq.org/a/demo-18/api/form/attachment/ce51b51c-01ff-4bda-bfcf-8d0d630300de/1579507534690.jpg</v>
      </c>
      <c r="O38" t="str">
        <f>HYPERLINK("https://www.commcarehq.org/a/demo-18/api/form/attachment/ce51b51c-01ff-4bda-bfcf-8d0d630300de/1579507545183.jpg")</f>
        <v>https://www.commcarehq.org/a/demo-18/api/form/attachment/ce51b51c-01ff-4bda-bfcf-8d0d630300de/1579507545183.jpg</v>
      </c>
      <c r="P38" t="str">
        <f>HYPERLINK("https://www.commcarehq.org/a/demo-18/api/form/attachment/ce51b51c-01ff-4bda-bfcf-8d0d630300de/1579507563534.jpg")</f>
        <v>https://www.commcarehq.org/a/demo-18/api/form/attachment/ce51b51c-01ff-4bda-bfcf-8d0d630300de/1579507563534.jpg</v>
      </c>
      <c r="Q38" t="str">
        <f>HYPERLINK("https://www.commcarehq.org/a/demo-18/api/form/attachment/ce51b51c-01ff-4bda-bfcf-8d0d630300de/1579507572898.jpg")</f>
        <v>https://www.commcarehq.org/a/demo-18/api/form/attachment/ce51b51c-01ff-4bda-bfcf-8d0d630300de/1579507572898.jpg</v>
      </c>
      <c r="R38" s="2">
        <v>43850.337731481479</v>
      </c>
      <c r="S38" s="2">
        <v>43850.335775462961</v>
      </c>
      <c r="T38" t="s">
        <v>32</v>
      </c>
      <c r="U38" s="2">
        <v>43850.338009259256</v>
      </c>
      <c r="V38" t="s">
        <v>1132</v>
      </c>
      <c r="W38" t="s">
        <v>1133</v>
      </c>
    </row>
    <row r="39" spans="1:23" x14ac:dyDescent="0.45">
      <c r="A39" t="s">
        <v>721</v>
      </c>
      <c r="B39">
        <v>6.1</v>
      </c>
      <c r="C39" s="1">
        <v>43880</v>
      </c>
      <c r="D39" s="1">
        <v>43850</v>
      </c>
      <c r="E39" t="s">
        <v>428</v>
      </c>
      <c r="F39" t="s">
        <v>429</v>
      </c>
      <c r="G39" t="s">
        <v>429</v>
      </c>
      <c r="H39" t="s">
        <v>429</v>
      </c>
      <c r="I39" t="s">
        <v>626</v>
      </c>
      <c r="J39" t="s">
        <v>428</v>
      </c>
      <c r="K39" t="s">
        <v>429</v>
      </c>
      <c r="L39" t="str">
        <f>HYPERLINK("https://www.commcarehq.org/a/demo-18/api/form/attachment/f9a732a0-6822-4579-b4ff-1423ef386cc3/1579511135405.jpg")</f>
        <v>https://www.commcarehq.org/a/demo-18/api/form/attachment/f9a732a0-6822-4579-b4ff-1423ef386cc3/1579511135405.jpg</v>
      </c>
      <c r="M39" t="str">
        <f>HYPERLINK("https://www.commcarehq.org/a/demo-18/api/form/attachment/f9a732a0-6822-4579-b4ff-1423ef386cc3/1579511148760.jpg")</f>
        <v>https://www.commcarehq.org/a/demo-18/api/form/attachment/f9a732a0-6822-4579-b4ff-1423ef386cc3/1579511148760.jpg</v>
      </c>
      <c r="N39" t="str">
        <f>HYPERLINK("https://www.commcarehq.org/a/demo-18/api/form/attachment/f9a732a0-6822-4579-b4ff-1423ef386cc3/1579511178542.jpg")</f>
        <v>https://www.commcarehq.org/a/demo-18/api/form/attachment/f9a732a0-6822-4579-b4ff-1423ef386cc3/1579511178542.jpg</v>
      </c>
      <c r="O39" t="str">
        <f>HYPERLINK("https://www.commcarehq.org/a/demo-18/api/form/attachment/f9a732a0-6822-4579-b4ff-1423ef386cc3/1579511188421.jpg")</f>
        <v>https://www.commcarehq.org/a/demo-18/api/form/attachment/f9a732a0-6822-4579-b4ff-1423ef386cc3/1579511188421.jpg</v>
      </c>
      <c r="P39" t="str">
        <f>HYPERLINK("https://www.commcarehq.org/a/demo-18/api/form/attachment/f9a732a0-6822-4579-b4ff-1423ef386cc3/1579511205926.jpg")</f>
        <v>https://www.commcarehq.org/a/demo-18/api/form/attachment/f9a732a0-6822-4579-b4ff-1423ef386cc3/1579511205926.jpg</v>
      </c>
      <c r="Q39" t="str">
        <f>HYPERLINK("https://www.commcarehq.org/a/demo-18/api/form/attachment/f9a732a0-6822-4579-b4ff-1423ef386cc3/1579511217593.jpg")</f>
        <v>https://www.commcarehq.org/a/demo-18/api/form/attachment/f9a732a0-6822-4579-b4ff-1423ef386cc3/1579511217593.jpg</v>
      </c>
      <c r="R39" s="2">
        <v>43850.379849537036</v>
      </c>
      <c r="S39" s="2">
        <v>43850.37841435185</v>
      </c>
      <c r="T39" t="s">
        <v>32</v>
      </c>
      <c r="U39" s="2">
        <v>43850.490787037037</v>
      </c>
      <c r="V39" s="3" t="s">
        <v>1249</v>
      </c>
      <c r="W39" t="s">
        <v>1250</v>
      </c>
    </row>
    <row r="40" spans="1:23" x14ac:dyDescent="0.45">
      <c r="A40" t="s">
        <v>607</v>
      </c>
      <c r="B40">
        <v>7.4</v>
      </c>
      <c r="C40" s="1">
        <v>43882</v>
      </c>
      <c r="D40" s="1">
        <v>43852</v>
      </c>
      <c r="E40" t="s">
        <v>428</v>
      </c>
      <c r="F40" t="s">
        <v>429</v>
      </c>
      <c r="G40" t="s">
        <v>429</v>
      </c>
      <c r="H40" t="s">
        <v>429</v>
      </c>
      <c r="I40" t="s">
        <v>430</v>
      </c>
      <c r="J40" t="s">
        <v>428</v>
      </c>
      <c r="K40" t="s">
        <v>429</v>
      </c>
      <c r="L40" t="str">
        <f>HYPERLINK("https://www.commcarehq.org/a/demo-18/api/form/attachment/0f79f4c3-3256-4f1b-a482-7bb26fa22a85/1579681087259.jpg")</f>
        <v>https://www.commcarehq.org/a/demo-18/api/form/attachment/0f79f4c3-3256-4f1b-a482-7bb26fa22a85/1579681087259.jpg</v>
      </c>
      <c r="M40" t="str">
        <f>HYPERLINK("https://www.commcarehq.org/a/demo-18/api/form/attachment/0f79f4c3-3256-4f1b-a482-7bb26fa22a85/1579681104282.jpg")</f>
        <v>https://www.commcarehq.org/a/demo-18/api/form/attachment/0f79f4c3-3256-4f1b-a482-7bb26fa22a85/1579681104282.jpg</v>
      </c>
      <c r="N40" t="str">
        <f>HYPERLINK("https://www.commcarehq.org/a/demo-18/api/form/attachment/0f79f4c3-3256-4f1b-a482-7bb26fa22a85/1579681146314.jpg")</f>
        <v>https://www.commcarehq.org/a/demo-18/api/form/attachment/0f79f4c3-3256-4f1b-a482-7bb26fa22a85/1579681146314.jpg</v>
      </c>
      <c r="O40" t="str">
        <f>HYPERLINK("https://www.commcarehq.org/a/demo-18/api/form/attachment/0f79f4c3-3256-4f1b-a482-7bb26fa22a85/1579681155866.jpg")</f>
        <v>https://www.commcarehq.org/a/demo-18/api/form/attachment/0f79f4c3-3256-4f1b-a482-7bb26fa22a85/1579681155866.jpg</v>
      </c>
      <c r="P40" t="str">
        <f>HYPERLINK("https://www.commcarehq.org/a/demo-18/api/form/attachment/0f79f4c3-3256-4f1b-a482-7bb26fa22a85/1579681176296.jpg")</f>
        <v>https://www.commcarehq.org/a/demo-18/api/form/attachment/0f79f4c3-3256-4f1b-a482-7bb26fa22a85/1579681176296.jpg</v>
      </c>
      <c r="Q40" t="str">
        <f>HYPERLINK("https://www.commcarehq.org/a/demo-18/api/form/attachment/0f79f4c3-3256-4f1b-a482-7bb26fa22a85/1579681188525.jpg")</f>
        <v>https://www.commcarehq.org/a/demo-18/api/form/attachment/0f79f4c3-3256-4f1b-a482-7bb26fa22a85/1579681188525.jpg</v>
      </c>
      <c r="R40" s="2">
        <v>43852.348321759258</v>
      </c>
      <c r="S40" s="2">
        <v>43852.344212962962</v>
      </c>
      <c r="T40" t="s">
        <v>32</v>
      </c>
      <c r="U40" s="2">
        <v>43852.348576388889</v>
      </c>
      <c r="V40" s="3" t="s">
        <v>1254</v>
      </c>
      <c r="W40" t="s">
        <v>1255</v>
      </c>
    </row>
    <row r="41" spans="1:23" x14ac:dyDescent="0.45">
      <c r="A41" t="s">
        <v>531</v>
      </c>
      <c r="B41">
        <v>6.5</v>
      </c>
      <c r="C41" s="1">
        <v>43884</v>
      </c>
      <c r="D41" s="1">
        <v>43854</v>
      </c>
      <c r="E41" t="s">
        <v>428</v>
      </c>
      <c r="F41" t="s">
        <v>429</v>
      </c>
      <c r="G41" t="s">
        <v>429</v>
      </c>
      <c r="H41" t="s">
        <v>429</v>
      </c>
      <c r="I41" t="s">
        <v>498</v>
      </c>
      <c r="J41" t="s">
        <v>428</v>
      </c>
      <c r="K41" t="s">
        <v>429</v>
      </c>
      <c r="L41" t="str">
        <f>HYPERLINK("https://www.commcarehq.org/a/demo-18/api/form/attachment/d3c828f4-581b-4584-aa5d-2718492b7347/1579847441952.jpg")</f>
        <v>https://www.commcarehq.org/a/demo-18/api/form/attachment/d3c828f4-581b-4584-aa5d-2718492b7347/1579847441952.jpg</v>
      </c>
      <c r="M41" t="str">
        <f>HYPERLINK("https://www.commcarehq.org/a/demo-18/api/form/attachment/d3c828f4-581b-4584-aa5d-2718492b7347/1579847454042.jpg")</f>
        <v>https://www.commcarehq.org/a/demo-18/api/form/attachment/d3c828f4-581b-4584-aa5d-2718492b7347/1579847454042.jpg</v>
      </c>
      <c r="N41" t="str">
        <f>HYPERLINK("https://www.commcarehq.org/a/demo-18/api/form/attachment/d3c828f4-581b-4584-aa5d-2718492b7347/1579847501970.jpg")</f>
        <v>https://www.commcarehq.org/a/demo-18/api/form/attachment/d3c828f4-581b-4584-aa5d-2718492b7347/1579847501970.jpg</v>
      </c>
      <c r="O41" t="str">
        <f>HYPERLINK("https://www.commcarehq.org/a/demo-18/api/form/attachment/d3c828f4-581b-4584-aa5d-2718492b7347/1579847511163.jpg")</f>
        <v>https://www.commcarehq.org/a/demo-18/api/form/attachment/d3c828f4-581b-4584-aa5d-2718492b7347/1579847511163.jpg</v>
      </c>
      <c r="P41" t="str">
        <f>HYPERLINK("https://www.commcarehq.org/a/demo-18/api/form/attachment/d3c828f4-581b-4584-aa5d-2718492b7347/1579847527273.jpg")</f>
        <v>https://www.commcarehq.org/a/demo-18/api/form/attachment/d3c828f4-581b-4584-aa5d-2718492b7347/1579847527273.jpg</v>
      </c>
      <c r="Q41" t="str">
        <f>HYPERLINK("https://www.commcarehq.org/a/demo-18/api/form/attachment/d3c828f4-581b-4584-aa5d-2718492b7347/1579847536707.jpg")</f>
        <v>https://www.commcarehq.org/a/demo-18/api/form/attachment/d3c828f4-581b-4584-aa5d-2718492b7347/1579847536707.jpg</v>
      </c>
      <c r="R41" s="2">
        <v>43854.272430555553</v>
      </c>
      <c r="S41" s="2">
        <v>43854.270775462966</v>
      </c>
      <c r="T41" t="s">
        <v>32</v>
      </c>
      <c r="U41" s="2">
        <v>43854.272615740738</v>
      </c>
      <c r="V41" t="s">
        <v>1247</v>
      </c>
      <c r="W41" t="s">
        <v>1248</v>
      </c>
    </row>
    <row r="42" spans="1:23" x14ac:dyDescent="0.45">
      <c r="A42" t="s">
        <v>677</v>
      </c>
      <c r="B42">
        <v>7.5</v>
      </c>
      <c r="C42" s="1">
        <v>43889</v>
      </c>
      <c r="D42" s="1">
        <v>43859</v>
      </c>
      <c r="E42" t="s">
        <v>428</v>
      </c>
      <c r="F42" t="s">
        <v>429</v>
      </c>
      <c r="G42" t="s">
        <v>429</v>
      </c>
      <c r="H42" t="s">
        <v>429</v>
      </c>
      <c r="I42" t="s">
        <v>484</v>
      </c>
      <c r="J42" t="s">
        <v>428</v>
      </c>
      <c r="K42" t="s">
        <v>429</v>
      </c>
      <c r="L42" t="str">
        <f>HYPERLINK("https://www.commcarehq.org/a/demo-18/api/form/attachment/e239ddbf-e0eb-4297-b409-eccb45d0abb6/1580284808397.jpg")</f>
        <v>https://www.commcarehq.org/a/demo-18/api/form/attachment/e239ddbf-e0eb-4297-b409-eccb45d0abb6/1580284808397.jpg</v>
      </c>
      <c r="M42" t="str">
        <f>HYPERLINK("https://www.commcarehq.org/a/demo-18/api/form/attachment/e239ddbf-e0eb-4297-b409-eccb45d0abb6/1580284823212.jpg")</f>
        <v>https://www.commcarehq.org/a/demo-18/api/form/attachment/e239ddbf-e0eb-4297-b409-eccb45d0abb6/1580284823212.jpg</v>
      </c>
      <c r="N42" t="str">
        <f>HYPERLINK("https://www.commcarehq.org/a/demo-18/api/form/attachment/e239ddbf-e0eb-4297-b409-eccb45d0abb6/1580284868321.jpg")</f>
        <v>https://www.commcarehq.org/a/demo-18/api/form/attachment/e239ddbf-e0eb-4297-b409-eccb45d0abb6/1580284868321.jpg</v>
      </c>
      <c r="O42" t="str">
        <f>HYPERLINK("https://www.commcarehq.org/a/demo-18/api/form/attachment/e239ddbf-e0eb-4297-b409-eccb45d0abb6/1580284877426.jpg")</f>
        <v>https://www.commcarehq.org/a/demo-18/api/form/attachment/e239ddbf-e0eb-4297-b409-eccb45d0abb6/1580284877426.jpg</v>
      </c>
      <c r="P42" t="str">
        <f>HYPERLINK("https://www.commcarehq.org/a/demo-18/api/form/attachment/e239ddbf-e0eb-4297-b409-eccb45d0abb6/1580284897745.jpg")</f>
        <v>https://www.commcarehq.org/a/demo-18/api/form/attachment/e239ddbf-e0eb-4297-b409-eccb45d0abb6/1580284897745.jpg</v>
      </c>
      <c r="Q42" t="str">
        <f>HYPERLINK("https://www.commcarehq.org/a/demo-18/api/form/attachment/e239ddbf-e0eb-4297-b409-eccb45d0abb6/1580284907524.jpg")</f>
        <v>https://www.commcarehq.org/a/demo-18/api/form/attachment/e239ddbf-e0eb-4297-b409-eccb45d0abb6/1580284907524.jpg</v>
      </c>
      <c r="R42" s="2">
        <v>43859.334606481483</v>
      </c>
      <c r="S42" s="2">
        <v>43859.332673611112</v>
      </c>
      <c r="T42" t="s">
        <v>32</v>
      </c>
      <c r="U42" s="2">
        <v>43859.376967592594</v>
      </c>
      <c r="V42" t="s">
        <v>1241</v>
      </c>
      <c r="W42" t="s">
        <v>1242</v>
      </c>
    </row>
    <row r="43" spans="1:23" x14ac:dyDescent="0.45">
      <c r="A43" t="s">
        <v>585</v>
      </c>
      <c r="B43">
        <v>6.3</v>
      </c>
      <c r="C43" s="1">
        <v>43883</v>
      </c>
      <c r="D43" s="1">
        <v>43853</v>
      </c>
      <c r="E43" t="s">
        <v>428</v>
      </c>
      <c r="F43" t="s">
        <v>429</v>
      </c>
      <c r="G43" t="s">
        <v>429</v>
      </c>
      <c r="H43" t="s">
        <v>429</v>
      </c>
      <c r="I43" t="s">
        <v>626</v>
      </c>
      <c r="J43" t="s">
        <v>428</v>
      </c>
      <c r="K43" t="s">
        <v>429</v>
      </c>
      <c r="L43" t="str">
        <f>HYPERLINK("https://www.commcarehq.org/a/demo-18/api/form/attachment/c40a3210-9a43-4bef-a35b-5b9bda22c8c7/1579761000934.jpg")</f>
        <v>https://www.commcarehq.org/a/demo-18/api/form/attachment/c40a3210-9a43-4bef-a35b-5b9bda22c8c7/1579761000934.jpg</v>
      </c>
      <c r="M43" t="str">
        <f>HYPERLINK("https://www.commcarehq.org/a/demo-18/api/form/attachment/c40a3210-9a43-4bef-a35b-5b9bda22c8c7/1579761013528.jpg")</f>
        <v>https://www.commcarehq.org/a/demo-18/api/form/attachment/c40a3210-9a43-4bef-a35b-5b9bda22c8c7/1579761013528.jpg</v>
      </c>
      <c r="N43" t="str">
        <f>HYPERLINK("https://www.commcarehq.org/a/demo-18/api/form/attachment/c40a3210-9a43-4bef-a35b-5b9bda22c8c7/1579761049664.jpg")</f>
        <v>https://www.commcarehq.org/a/demo-18/api/form/attachment/c40a3210-9a43-4bef-a35b-5b9bda22c8c7/1579761049664.jpg</v>
      </c>
      <c r="O43" t="str">
        <f>HYPERLINK("https://www.commcarehq.org/a/demo-18/api/form/attachment/c40a3210-9a43-4bef-a35b-5b9bda22c8c7/1579761065033.jpg")</f>
        <v>https://www.commcarehq.org/a/demo-18/api/form/attachment/c40a3210-9a43-4bef-a35b-5b9bda22c8c7/1579761065033.jpg</v>
      </c>
      <c r="P43" t="str">
        <f>HYPERLINK("https://www.commcarehq.org/a/demo-18/api/form/attachment/c40a3210-9a43-4bef-a35b-5b9bda22c8c7/1579761079400.jpg")</f>
        <v>https://www.commcarehq.org/a/demo-18/api/form/attachment/c40a3210-9a43-4bef-a35b-5b9bda22c8c7/1579761079400.jpg</v>
      </c>
      <c r="Q43" t="str">
        <f>HYPERLINK("https://www.commcarehq.org/a/demo-18/api/form/attachment/c40a3210-9a43-4bef-a35b-5b9bda22c8c7/1579761089057.jpg")</f>
        <v>https://www.commcarehq.org/a/demo-18/api/form/attachment/c40a3210-9a43-4bef-a35b-5b9bda22c8c7/1579761089057.jpg</v>
      </c>
      <c r="R43" s="2">
        <v>43853.271874999999</v>
      </c>
      <c r="S43" s="2">
        <v>43853.270300925928</v>
      </c>
      <c r="T43" t="s">
        <v>32</v>
      </c>
      <c r="U43" s="2">
        <v>43853.356608796297</v>
      </c>
      <c r="V43" t="s">
        <v>1245</v>
      </c>
      <c r="W43" t="s">
        <v>1246</v>
      </c>
    </row>
    <row r="44" spans="1:23" x14ac:dyDescent="0.45">
      <c r="A44" t="s">
        <v>588</v>
      </c>
      <c r="B44">
        <v>6.6</v>
      </c>
      <c r="C44" s="1">
        <v>43883</v>
      </c>
      <c r="D44" s="1">
        <v>43853</v>
      </c>
      <c r="E44" t="s">
        <v>428</v>
      </c>
      <c r="F44" t="s">
        <v>429</v>
      </c>
      <c r="G44" t="s">
        <v>429</v>
      </c>
      <c r="H44" t="s">
        <v>429</v>
      </c>
      <c r="I44" t="s">
        <v>447</v>
      </c>
      <c r="J44" t="s">
        <v>428</v>
      </c>
      <c r="K44" t="s">
        <v>429</v>
      </c>
      <c r="L44" t="str">
        <f>HYPERLINK("https://www.commcarehq.org/a/demo-18/api/form/attachment/76351440-206a-4f3e-8b5c-8307be32cf89/1579766206537.jpg")</f>
        <v>https://www.commcarehq.org/a/demo-18/api/form/attachment/76351440-206a-4f3e-8b5c-8307be32cf89/1579766206537.jpg</v>
      </c>
      <c r="M44" t="str">
        <f>HYPERLINK("https://www.commcarehq.org/a/demo-18/api/form/attachment/76351440-206a-4f3e-8b5c-8307be32cf89/1579766218175.jpg")</f>
        <v>https://www.commcarehq.org/a/demo-18/api/form/attachment/76351440-206a-4f3e-8b5c-8307be32cf89/1579766218175.jpg</v>
      </c>
      <c r="N44" t="str">
        <f>HYPERLINK("https://www.commcarehq.org/a/demo-18/api/form/attachment/76351440-206a-4f3e-8b5c-8307be32cf89/1579766261660.jpg")</f>
        <v>https://www.commcarehq.org/a/demo-18/api/form/attachment/76351440-206a-4f3e-8b5c-8307be32cf89/1579766261660.jpg</v>
      </c>
      <c r="O44" t="str">
        <f>HYPERLINK("https://www.commcarehq.org/a/demo-18/api/form/attachment/76351440-206a-4f3e-8b5c-8307be32cf89/1579766275189.jpg")</f>
        <v>https://www.commcarehq.org/a/demo-18/api/form/attachment/76351440-206a-4f3e-8b5c-8307be32cf89/1579766275189.jpg</v>
      </c>
      <c r="P44" t="str">
        <f>HYPERLINK("https://www.commcarehq.org/a/demo-18/api/form/attachment/76351440-206a-4f3e-8b5c-8307be32cf89/1579766298242.jpg")</f>
        <v>https://www.commcarehq.org/a/demo-18/api/form/attachment/76351440-206a-4f3e-8b5c-8307be32cf89/1579766298242.jpg</v>
      </c>
      <c r="Q44" t="str">
        <f>HYPERLINK("https://www.commcarehq.org/a/demo-18/api/form/attachment/76351440-206a-4f3e-8b5c-8307be32cf89/1579766314394.jpg")</f>
        <v>https://www.commcarehq.org/a/demo-18/api/form/attachment/76351440-206a-4f3e-8b5c-8307be32cf89/1579766314394.jpg</v>
      </c>
      <c r="R44" s="2">
        <v>43853.332361111112</v>
      </c>
      <c r="S44" s="2">
        <v>43853.330509259256</v>
      </c>
      <c r="T44" t="s">
        <v>32</v>
      </c>
      <c r="U44" s="2">
        <v>43853.360219907408</v>
      </c>
      <c r="V44" s="3" t="s">
        <v>1243</v>
      </c>
      <c r="W44" t="s">
        <v>1244</v>
      </c>
    </row>
    <row r="45" spans="1:23" x14ac:dyDescent="0.45">
      <c r="A45" t="s">
        <v>810</v>
      </c>
      <c r="B45">
        <v>5.8</v>
      </c>
      <c r="C45" s="1">
        <v>43845</v>
      </c>
      <c r="D45" s="1">
        <v>43815</v>
      </c>
      <c r="E45" t="s">
        <v>428</v>
      </c>
      <c r="F45" t="s">
        <v>429</v>
      </c>
      <c r="G45" t="s">
        <v>429</v>
      </c>
      <c r="H45" t="s">
        <v>429</v>
      </c>
      <c r="I45" t="s">
        <v>447</v>
      </c>
      <c r="J45" t="s">
        <v>428</v>
      </c>
      <c r="K45" t="s">
        <v>429</v>
      </c>
      <c r="L45" t="str">
        <f>HYPERLINK("https://www.commcarehq.org/a/demo-18/api/form/attachment/29fb4915-31ff-4cae-8af7-66932d406388/1576486437326.jpg")</f>
        <v>https://www.commcarehq.org/a/demo-18/api/form/attachment/29fb4915-31ff-4cae-8af7-66932d406388/1576486437326.jpg</v>
      </c>
      <c r="M45" t="str">
        <f>HYPERLINK("https://www.commcarehq.org/a/demo-18/api/form/attachment/29fb4915-31ff-4cae-8af7-66932d406388/1576486449123.jpg")</f>
        <v>https://www.commcarehq.org/a/demo-18/api/form/attachment/29fb4915-31ff-4cae-8af7-66932d406388/1576486449123.jpg</v>
      </c>
      <c r="N45" t="str">
        <f>HYPERLINK("https://www.commcarehq.org/a/demo-18/api/form/attachment/29fb4915-31ff-4cae-8af7-66932d406388/1576486509192.jpg")</f>
        <v>https://www.commcarehq.org/a/demo-18/api/form/attachment/29fb4915-31ff-4cae-8af7-66932d406388/1576486509192.jpg</v>
      </c>
      <c r="O45" t="str">
        <f>HYPERLINK("https://www.commcarehq.org/a/demo-18/api/form/attachment/29fb4915-31ff-4cae-8af7-66932d406388/1576486518820.jpg")</f>
        <v>https://www.commcarehq.org/a/demo-18/api/form/attachment/29fb4915-31ff-4cae-8af7-66932d406388/1576486518820.jpg</v>
      </c>
      <c r="P45" t="str">
        <f>HYPERLINK("https://www.commcarehq.org/a/demo-18/api/form/attachment/29fb4915-31ff-4cae-8af7-66932d406388/1576486542178.jpg")</f>
        <v>https://www.commcarehq.org/a/demo-18/api/form/attachment/29fb4915-31ff-4cae-8af7-66932d406388/1576486542178.jpg</v>
      </c>
      <c r="Q45" t="str">
        <f>HYPERLINK("https://www.commcarehq.org/a/demo-18/api/form/attachment/29fb4915-31ff-4cae-8af7-66932d406388/1576486551827.jpg")</f>
        <v>https://www.commcarehq.org/a/demo-18/api/form/attachment/29fb4915-31ff-4cae-8af7-66932d406388/1576486551827.jpg</v>
      </c>
      <c r="R45" s="2">
        <v>43815.372141203705</v>
      </c>
      <c r="S45" s="2">
        <v>43815.370439814818</v>
      </c>
      <c r="T45" t="s">
        <v>32</v>
      </c>
      <c r="U45" s="2">
        <v>43815.372361111113</v>
      </c>
      <c r="V45" t="s">
        <v>811</v>
      </c>
      <c r="W45" t="s">
        <v>812</v>
      </c>
    </row>
    <row r="46" spans="1:23" x14ac:dyDescent="0.45">
      <c r="A46" t="s">
        <v>540</v>
      </c>
      <c r="B46">
        <v>5.5</v>
      </c>
      <c r="C46" s="1">
        <v>43883</v>
      </c>
      <c r="D46" s="1">
        <v>43853</v>
      </c>
      <c r="E46" t="s">
        <v>428</v>
      </c>
      <c r="F46" t="s">
        <v>429</v>
      </c>
      <c r="G46" t="s">
        <v>429</v>
      </c>
      <c r="H46" t="s">
        <v>429</v>
      </c>
      <c r="I46" t="s">
        <v>447</v>
      </c>
      <c r="J46" t="s">
        <v>428</v>
      </c>
      <c r="K46" t="s">
        <v>429</v>
      </c>
      <c r="L46" t="str">
        <f>HYPERLINK("https://www.commcarehq.org/a/demo-18/api/form/attachment/fd7056d2-939e-48c7-be7a-bc15f2b3078b/1579766954714.jpg")</f>
        <v>https://www.commcarehq.org/a/demo-18/api/form/attachment/fd7056d2-939e-48c7-be7a-bc15f2b3078b/1579766954714.jpg</v>
      </c>
      <c r="M46" t="str">
        <f>HYPERLINK("https://www.commcarehq.org/a/demo-18/api/form/attachment/fd7056d2-939e-48c7-be7a-bc15f2b3078b/1579766987458.jpg")</f>
        <v>https://www.commcarehq.org/a/demo-18/api/form/attachment/fd7056d2-939e-48c7-be7a-bc15f2b3078b/1579766987458.jpg</v>
      </c>
      <c r="N46" t="str">
        <f>HYPERLINK("https://www.commcarehq.org/a/demo-18/api/form/attachment/fd7056d2-939e-48c7-be7a-bc15f2b3078b/1579767028576.jpg")</f>
        <v>https://www.commcarehq.org/a/demo-18/api/form/attachment/fd7056d2-939e-48c7-be7a-bc15f2b3078b/1579767028576.jpg</v>
      </c>
      <c r="O46" t="str">
        <f>HYPERLINK("https://www.commcarehq.org/a/demo-18/api/form/attachment/fd7056d2-939e-48c7-be7a-bc15f2b3078b/1579767038755.jpg")</f>
        <v>https://www.commcarehq.org/a/demo-18/api/form/attachment/fd7056d2-939e-48c7-be7a-bc15f2b3078b/1579767038755.jpg</v>
      </c>
      <c r="P46" t="str">
        <f>HYPERLINK("https://www.commcarehq.org/a/demo-18/api/form/attachment/fd7056d2-939e-48c7-be7a-bc15f2b3078b/1579767058324.jpg")</f>
        <v>https://www.commcarehq.org/a/demo-18/api/form/attachment/fd7056d2-939e-48c7-be7a-bc15f2b3078b/1579767058324.jpg</v>
      </c>
      <c r="Q46" t="str">
        <f>HYPERLINK("https://www.commcarehq.org/a/demo-18/api/form/attachment/fd7056d2-939e-48c7-be7a-bc15f2b3078b/1579767067985.jpg")</f>
        <v>https://www.commcarehq.org/a/demo-18/api/form/attachment/fd7056d2-939e-48c7-be7a-bc15f2b3078b/1579767067985.jpg</v>
      </c>
      <c r="R46" s="2">
        <v>43853.341087962966</v>
      </c>
      <c r="S46" s="2">
        <v>43853.339386574073</v>
      </c>
      <c r="T46" t="s">
        <v>32</v>
      </c>
      <c r="U46" s="2">
        <v>43853.360729166663</v>
      </c>
      <c r="V46" t="s">
        <v>1239</v>
      </c>
      <c r="W46" t="s">
        <v>1240</v>
      </c>
    </row>
    <row r="47" spans="1:23" x14ac:dyDescent="0.45">
      <c r="A47" t="s">
        <v>568</v>
      </c>
      <c r="B47">
        <v>7.6</v>
      </c>
      <c r="C47" s="1">
        <v>43883</v>
      </c>
      <c r="D47" s="1">
        <v>43853</v>
      </c>
      <c r="E47" t="s">
        <v>428</v>
      </c>
      <c r="F47" t="s">
        <v>429</v>
      </c>
      <c r="G47" t="s">
        <v>429</v>
      </c>
      <c r="H47" t="s">
        <v>429</v>
      </c>
      <c r="I47" t="s">
        <v>1251</v>
      </c>
      <c r="J47" t="s">
        <v>428</v>
      </c>
      <c r="K47" t="s">
        <v>429</v>
      </c>
      <c r="L47" t="str">
        <f>HYPERLINK("https://www.commcarehq.org/a/demo-18/api/form/attachment/fa3031db-f65e-43f1-b47e-2a85477024b4/1579765842151.jpg")</f>
        <v>https://www.commcarehq.org/a/demo-18/api/form/attachment/fa3031db-f65e-43f1-b47e-2a85477024b4/1579765842151.jpg</v>
      </c>
      <c r="M47" t="str">
        <f>HYPERLINK("https://www.commcarehq.org/a/demo-18/api/form/attachment/fa3031db-f65e-43f1-b47e-2a85477024b4/1579765853238.jpg")</f>
        <v>https://www.commcarehq.org/a/demo-18/api/form/attachment/fa3031db-f65e-43f1-b47e-2a85477024b4/1579765853238.jpg</v>
      </c>
      <c r="N47" t="str">
        <f>HYPERLINK("https://www.commcarehq.org/a/demo-18/api/form/attachment/fa3031db-f65e-43f1-b47e-2a85477024b4/1579765972344.jpg")</f>
        <v>https://www.commcarehq.org/a/demo-18/api/form/attachment/fa3031db-f65e-43f1-b47e-2a85477024b4/1579765972344.jpg</v>
      </c>
      <c r="O47" t="str">
        <f>HYPERLINK("https://www.commcarehq.org/a/demo-18/api/form/attachment/fa3031db-f65e-43f1-b47e-2a85477024b4/1579765983261.jpg")</f>
        <v>https://www.commcarehq.org/a/demo-18/api/form/attachment/fa3031db-f65e-43f1-b47e-2a85477024b4/1579765983261.jpg</v>
      </c>
      <c r="P47" t="str">
        <f>HYPERLINK("https://www.commcarehq.org/a/demo-18/api/form/attachment/fa3031db-f65e-43f1-b47e-2a85477024b4/1579766005283.jpg")</f>
        <v>https://www.commcarehq.org/a/demo-18/api/form/attachment/fa3031db-f65e-43f1-b47e-2a85477024b4/1579766005283.jpg</v>
      </c>
      <c r="Q47" t="str">
        <f>HYPERLINK("https://www.commcarehq.org/a/demo-18/api/form/attachment/fa3031db-f65e-43f1-b47e-2a85477024b4/1579766015597.jpg")</f>
        <v>https://www.commcarehq.org/a/demo-18/api/form/attachment/fa3031db-f65e-43f1-b47e-2a85477024b4/1579766015597.jpg</v>
      </c>
      <c r="R47" s="2">
        <v>43853.328900462962</v>
      </c>
      <c r="S47" s="2">
        <v>43853.326319444444</v>
      </c>
      <c r="T47" t="s">
        <v>32</v>
      </c>
      <c r="U47" s="2">
        <v>43853.359988425924</v>
      </c>
      <c r="V47" s="3" t="s">
        <v>1252</v>
      </c>
      <c r="W47" t="s">
        <v>1253</v>
      </c>
    </row>
    <row r="48" spans="1:23" x14ac:dyDescent="0.45">
      <c r="A48" t="s">
        <v>481</v>
      </c>
      <c r="B48">
        <v>6.2</v>
      </c>
      <c r="C48" s="1">
        <v>43947</v>
      </c>
      <c r="D48" s="1">
        <v>43917</v>
      </c>
      <c r="E48" t="s">
        <v>428</v>
      </c>
      <c r="F48" t="s">
        <v>429</v>
      </c>
      <c r="G48" t="s">
        <v>429</v>
      </c>
      <c r="H48" t="s">
        <v>429</v>
      </c>
      <c r="I48" t="s">
        <v>579</v>
      </c>
      <c r="J48" t="s">
        <v>428</v>
      </c>
      <c r="K48" t="s">
        <v>429</v>
      </c>
      <c r="L48" t="str">
        <f>HYPERLINK("https://www.commcarehq.org/a/demo-18/api/form/attachment/f8766490-31b9-4be7-801b-0292c23ce80c/1585294433617.jpg")</f>
        <v>https://www.commcarehq.org/a/demo-18/api/form/attachment/f8766490-31b9-4be7-801b-0292c23ce80c/1585294433617.jpg</v>
      </c>
      <c r="M48" t="str">
        <f>HYPERLINK("https://www.commcarehq.org/a/demo-18/api/form/attachment/f8766490-31b9-4be7-801b-0292c23ce80c/1585294452525.jpg")</f>
        <v>https://www.commcarehq.org/a/demo-18/api/form/attachment/f8766490-31b9-4be7-801b-0292c23ce80c/1585294452525.jpg</v>
      </c>
      <c r="N48" t="str">
        <f>HYPERLINK("https://www.commcarehq.org/a/demo-18/api/form/attachment/f8766490-31b9-4be7-801b-0292c23ce80c/1585294485913.jpg")</f>
        <v>https://www.commcarehq.org/a/demo-18/api/form/attachment/f8766490-31b9-4be7-801b-0292c23ce80c/1585294485913.jpg</v>
      </c>
      <c r="O48" t="str">
        <f>HYPERLINK("https://www.commcarehq.org/a/demo-18/api/form/attachment/f8766490-31b9-4be7-801b-0292c23ce80c/1585294493848.jpg")</f>
        <v>https://www.commcarehq.org/a/demo-18/api/form/attachment/f8766490-31b9-4be7-801b-0292c23ce80c/1585294493848.jpg</v>
      </c>
      <c r="P48" t="str">
        <f>HYPERLINK("https://www.commcarehq.org/a/demo-18/api/form/attachment/f8766490-31b9-4be7-801b-0292c23ce80c/1585294508692.jpg")</f>
        <v>https://www.commcarehq.org/a/demo-18/api/form/attachment/f8766490-31b9-4be7-801b-0292c23ce80c/1585294508692.jpg</v>
      </c>
      <c r="Q48" t="str">
        <f>HYPERLINK("https://www.commcarehq.org/a/demo-18/api/form/attachment/f8766490-31b9-4be7-801b-0292c23ce80c/1585294517933.jpg")</f>
        <v>https://www.commcarehq.org/a/demo-18/api/form/attachment/f8766490-31b9-4be7-801b-0292c23ce80c/1585294517933.jpg</v>
      </c>
      <c r="R48" s="2">
        <v>43917.316192129627</v>
      </c>
      <c r="S48" s="2">
        <v>43917.314687500002</v>
      </c>
      <c r="T48" t="s">
        <v>32</v>
      </c>
      <c r="U48" s="2">
        <v>43917.316377314812</v>
      </c>
      <c r="V48" s="3" t="s">
        <v>1763</v>
      </c>
      <c r="W48" t="s">
        <v>1764</v>
      </c>
    </row>
    <row r="49" spans="1:23" x14ac:dyDescent="0.45">
      <c r="A49" t="s">
        <v>31</v>
      </c>
      <c r="B49">
        <v>6.6</v>
      </c>
      <c r="C49" s="1">
        <v>43945</v>
      </c>
      <c r="D49" s="1">
        <v>43915</v>
      </c>
      <c r="E49" t="s">
        <v>428</v>
      </c>
      <c r="F49" t="s">
        <v>429</v>
      </c>
      <c r="G49" t="s">
        <v>429</v>
      </c>
      <c r="H49" t="s">
        <v>429</v>
      </c>
      <c r="I49" t="s">
        <v>1321</v>
      </c>
      <c r="J49" t="s">
        <v>428</v>
      </c>
      <c r="K49" t="s">
        <v>429</v>
      </c>
      <c r="L49" t="str">
        <f>HYPERLINK("https://www.commcarehq.org/a/demo-18/api/form/attachment/c677f8bd-8863-4401-8ee1-afc1ed759aa6/1585122129757.jpg")</f>
        <v>https://www.commcarehq.org/a/demo-18/api/form/attachment/c677f8bd-8863-4401-8ee1-afc1ed759aa6/1585122129757.jpg</v>
      </c>
      <c r="M49" t="str">
        <f>HYPERLINK("https://www.commcarehq.org/a/demo-18/api/form/attachment/c677f8bd-8863-4401-8ee1-afc1ed759aa6/1585122139134.jpg")</f>
        <v>https://www.commcarehq.org/a/demo-18/api/form/attachment/c677f8bd-8863-4401-8ee1-afc1ed759aa6/1585122139134.jpg</v>
      </c>
      <c r="N49" t="str">
        <f>HYPERLINK("https://www.commcarehq.org/a/demo-18/api/form/attachment/c677f8bd-8863-4401-8ee1-afc1ed759aa6/1585122179123.jpg")</f>
        <v>https://www.commcarehq.org/a/demo-18/api/form/attachment/c677f8bd-8863-4401-8ee1-afc1ed759aa6/1585122179123.jpg</v>
      </c>
      <c r="O49" t="str">
        <f>HYPERLINK("https://www.commcarehq.org/a/demo-18/api/form/attachment/c677f8bd-8863-4401-8ee1-afc1ed759aa6/1585122188920.jpg")</f>
        <v>https://www.commcarehq.org/a/demo-18/api/form/attachment/c677f8bd-8863-4401-8ee1-afc1ed759aa6/1585122188920.jpg</v>
      </c>
      <c r="P49" t="str">
        <f>HYPERLINK("https://www.commcarehq.org/a/demo-18/api/form/attachment/c677f8bd-8863-4401-8ee1-afc1ed759aa6/1585122205841.jpg")</f>
        <v>https://www.commcarehq.org/a/demo-18/api/form/attachment/c677f8bd-8863-4401-8ee1-afc1ed759aa6/1585122205841.jpg</v>
      </c>
      <c r="Q49" t="str">
        <f>HYPERLINK("https://www.commcarehq.org/a/demo-18/api/form/attachment/c677f8bd-8863-4401-8ee1-afc1ed759aa6/1585122218873.jpg")</f>
        <v>https://www.commcarehq.org/a/demo-18/api/form/attachment/c677f8bd-8863-4401-8ee1-afc1ed759aa6/1585122218873.jpg</v>
      </c>
      <c r="R49" s="2">
        <v>43915.32199074074</v>
      </c>
      <c r="S49" s="2">
        <v>43915.320486111108</v>
      </c>
      <c r="T49" t="s">
        <v>32</v>
      </c>
      <c r="U49" s="2">
        <v>43915.322326388887</v>
      </c>
      <c r="V49" s="3" t="s">
        <v>1758</v>
      </c>
      <c r="W49" t="s">
        <v>1759</v>
      </c>
    </row>
    <row r="50" spans="1:23" x14ac:dyDescent="0.45">
      <c r="A50" t="s">
        <v>113</v>
      </c>
      <c r="B50">
        <v>8.4</v>
      </c>
      <c r="C50" s="1">
        <v>43943</v>
      </c>
      <c r="D50" s="1">
        <v>43913</v>
      </c>
      <c r="E50" t="s">
        <v>428</v>
      </c>
      <c r="F50" t="s">
        <v>429</v>
      </c>
      <c r="G50" t="s">
        <v>429</v>
      </c>
      <c r="H50" t="s">
        <v>429</v>
      </c>
      <c r="I50" t="s">
        <v>447</v>
      </c>
      <c r="J50" t="s">
        <v>428</v>
      </c>
      <c r="K50" t="s">
        <v>429</v>
      </c>
      <c r="L50" t="str">
        <f>HYPERLINK("https://www.commcarehq.org/a/demo-18/api/form/attachment/671a8d86-d11b-41d0-b7b8-46e7533ebc93/1584952832673.jpg")</f>
        <v>https://www.commcarehq.org/a/demo-18/api/form/attachment/671a8d86-d11b-41d0-b7b8-46e7533ebc93/1584952832673.jpg</v>
      </c>
      <c r="M50" t="str">
        <f>HYPERLINK("https://www.commcarehq.org/a/demo-18/api/form/attachment/671a8d86-d11b-41d0-b7b8-46e7533ebc93/1584952847010.jpg")</f>
        <v>https://www.commcarehq.org/a/demo-18/api/form/attachment/671a8d86-d11b-41d0-b7b8-46e7533ebc93/1584952847010.jpg</v>
      </c>
      <c r="N50" t="str">
        <f>HYPERLINK("https://www.commcarehq.org/a/demo-18/api/form/attachment/671a8d86-d11b-41d0-b7b8-46e7533ebc93/1584952919081.jpg")</f>
        <v>https://www.commcarehq.org/a/demo-18/api/form/attachment/671a8d86-d11b-41d0-b7b8-46e7533ebc93/1584952919081.jpg</v>
      </c>
      <c r="O50" t="str">
        <f>HYPERLINK("https://www.commcarehq.org/a/demo-18/api/form/attachment/671a8d86-d11b-41d0-b7b8-46e7533ebc93/1584952928300.jpg")</f>
        <v>https://www.commcarehq.org/a/demo-18/api/form/attachment/671a8d86-d11b-41d0-b7b8-46e7533ebc93/1584952928300.jpg</v>
      </c>
      <c r="P50" t="str">
        <f>HYPERLINK("https://www.commcarehq.org/a/demo-18/api/form/attachment/671a8d86-d11b-41d0-b7b8-46e7533ebc93/1584952942087.jpg")</f>
        <v>https://www.commcarehq.org/a/demo-18/api/form/attachment/671a8d86-d11b-41d0-b7b8-46e7533ebc93/1584952942087.jpg</v>
      </c>
      <c r="Q50" t="str">
        <f>HYPERLINK("https://www.commcarehq.org/a/demo-18/api/form/attachment/671a8d86-d11b-41d0-b7b8-46e7533ebc93/1584952963953.jpg")</f>
        <v>https://www.commcarehq.org/a/demo-18/api/form/attachment/671a8d86-d11b-41d0-b7b8-46e7533ebc93/1584952963953.jpg</v>
      </c>
      <c r="R50" s="2">
        <v>43913.363020833334</v>
      </c>
      <c r="S50" s="2">
        <v>43913.361018518517</v>
      </c>
      <c r="T50" t="s">
        <v>32</v>
      </c>
      <c r="U50" s="2">
        <v>43913.36347222222</v>
      </c>
      <c r="V50" t="s">
        <v>1752</v>
      </c>
      <c r="W50" t="s">
        <v>1753</v>
      </c>
    </row>
    <row r="51" spans="1:23" x14ac:dyDescent="0.45">
      <c r="A51" t="s">
        <v>259</v>
      </c>
      <c r="B51">
        <v>7.7</v>
      </c>
      <c r="C51" s="1">
        <v>44002</v>
      </c>
      <c r="D51" s="1">
        <v>43972</v>
      </c>
      <c r="E51" t="s">
        <v>428</v>
      </c>
      <c r="F51" t="s">
        <v>429</v>
      </c>
      <c r="G51" t="s">
        <v>429</v>
      </c>
      <c r="H51" t="s">
        <v>429</v>
      </c>
      <c r="I51" t="s">
        <v>579</v>
      </c>
      <c r="J51" t="s">
        <v>428</v>
      </c>
      <c r="K51" t="s">
        <v>429</v>
      </c>
      <c r="L51" t="str">
        <f>HYPERLINK("https://www.commcarehq.org/a/demo-18/api/form/attachment/b722f65a-a208-41ce-b491-caf555c398ae/1590048843439.jpg")</f>
        <v>https://www.commcarehq.org/a/demo-18/api/form/attachment/b722f65a-a208-41ce-b491-caf555c398ae/1590048843439.jpg</v>
      </c>
      <c r="M51" t="str">
        <f>HYPERLINK("https://www.commcarehq.org/a/demo-18/api/form/attachment/b722f65a-a208-41ce-b491-caf555c398ae/1590048859297.jpg")</f>
        <v>https://www.commcarehq.org/a/demo-18/api/form/attachment/b722f65a-a208-41ce-b491-caf555c398ae/1590048859297.jpg</v>
      </c>
      <c r="N51" t="str">
        <f>HYPERLINK("https://www.commcarehq.org/a/demo-18/api/form/attachment/b722f65a-a208-41ce-b491-caf555c398ae/1590048912221.jpg")</f>
        <v>https://www.commcarehq.org/a/demo-18/api/form/attachment/b722f65a-a208-41ce-b491-caf555c398ae/1590048912221.jpg</v>
      </c>
      <c r="O51" t="str">
        <f>HYPERLINK("https://www.commcarehq.org/a/demo-18/api/form/attachment/b722f65a-a208-41ce-b491-caf555c398ae/1590048921689.jpg")</f>
        <v>https://www.commcarehq.org/a/demo-18/api/form/attachment/b722f65a-a208-41ce-b491-caf555c398ae/1590048921689.jpg</v>
      </c>
      <c r="P51" t="str">
        <f>HYPERLINK("https://www.commcarehq.org/a/demo-18/api/form/attachment/b722f65a-a208-41ce-b491-caf555c398ae/1590048943453.jpg")</f>
        <v>https://www.commcarehq.org/a/demo-18/api/form/attachment/b722f65a-a208-41ce-b491-caf555c398ae/1590048943453.jpg</v>
      </c>
      <c r="Q51" t="str">
        <f>HYPERLINK("https://www.commcarehq.org/a/demo-18/api/form/attachment/b722f65a-a208-41ce-b491-caf555c398ae/1590048970667.jpg")</f>
        <v>https://www.commcarehq.org/a/demo-18/api/form/attachment/b722f65a-a208-41ce-b491-caf555c398ae/1590048970667.jpg</v>
      </c>
      <c r="R51" s="2">
        <v>43972.344583333332</v>
      </c>
      <c r="S51" s="2">
        <v>43972.342627314814</v>
      </c>
      <c r="T51" t="s">
        <v>32</v>
      </c>
      <c r="U51" s="2">
        <v>43972.344837962963</v>
      </c>
      <c r="V51" s="3" t="s">
        <v>1767</v>
      </c>
      <c r="W51" t="s">
        <v>1768</v>
      </c>
    </row>
    <row r="52" spans="1:23" x14ac:dyDescent="0.45">
      <c r="A52" t="s">
        <v>25</v>
      </c>
      <c r="B52">
        <v>6.7</v>
      </c>
      <c r="C52" s="1">
        <v>43939</v>
      </c>
      <c r="D52" s="1">
        <v>43909</v>
      </c>
      <c r="E52" t="s">
        <v>428</v>
      </c>
      <c r="F52" t="s">
        <v>429</v>
      </c>
      <c r="G52" t="s">
        <v>429</v>
      </c>
      <c r="H52" t="s">
        <v>429</v>
      </c>
      <c r="I52" t="s">
        <v>1709</v>
      </c>
      <c r="J52" t="s">
        <v>428</v>
      </c>
      <c r="K52" t="s">
        <v>429</v>
      </c>
      <c r="L52" t="str">
        <f>HYPERLINK("https://www.commcarehq.org/a/demo-18/api/form/attachment/1c32a415-81b8-45d9-a096-c9812c87ba87/1584599955345.jpg")</f>
        <v>https://www.commcarehq.org/a/demo-18/api/form/attachment/1c32a415-81b8-45d9-a096-c9812c87ba87/1584599955345.jpg</v>
      </c>
      <c r="M52" t="str">
        <f>HYPERLINK("https://www.commcarehq.org/a/demo-18/api/form/attachment/1c32a415-81b8-45d9-a096-c9812c87ba87/1584599971882.jpg")</f>
        <v>https://www.commcarehq.org/a/demo-18/api/form/attachment/1c32a415-81b8-45d9-a096-c9812c87ba87/1584599971882.jpg</v>
      </c>
      <c r="N52" t="str">
        <f>HYPERLINK("https://www.commcarehq.org/a/demo-18/api/form/attachment/1c32a415-81b8-45d9-a096-c9812c87ba87/1584600014860.jpg")</f>
        <v>https://www.commcarehq.org/a/demo-18/api/form/attachment/1c32a415-81b8-45d9-a096-c9812c87ba87/1584600014860.jpg</v>
      </c>
      <c r="O52" t="str">
        <f>HYPERLINK("https://www.commcarehq.org/a/demo-18/api/form/attachment/1c32a415-81b8-45d9-a096-c9812c87ba87/1584600023849.jpg")</f>
        <v>https://www.commcarehq.org/a/demo-18/api/form/attachment/1c32a415-81b8-45d9-a096-c9812c87ba87/1584600023849.jpg</v>
      </c>
      <c r="P52" t="str">
        <f>HYPERLINK("https://www.commcarehq.org/a/demo-18/api/form/attachment/1c32a415-81b8-45d9-a096-c9812c87ba87/1584600038243.jpg")</f>
        <v>https://www.commcarehq.org/a/demo-18/api/form/attachment/1c32a415-81b8-45d9-a096-c9812c87ba87/1584600038243.jpg</v>
      </c>
      <c r="Q52" t="str">
        <f>HYPERLINK("https://www.commcarehq.org/a/demo-18/api/form/attachment/1c32a415-81b8-45d9-a096-c9812c87ba87/1584600047118.jpg")</f>
        <v>https://www.commcarehq.org/a/demo-18/api/form/attachment/1c32a415-81b8-45d9-a096-c9812c87ba87/1584600047118.jpg</v>
      </c>
      <c r="R52" s="2">
        <v>43909.278333333335</v>
      </c>
      <c r="S52" s="2">
        <v>43909.27685185185</v>
      </c>
      <c r="T52" t="s">
        <v>32</v>
      </c>
      <c r="U52" s="2">
        <v>43909.278564814813</v>
      </c>
      <c r="V52" s="3" t="s">
        <v>1765</v>
      </c>
      <c r="W52" t="s">
        <v>1766</v>
      </c>
    </row>
    <row r="53" spans="1:23" x14ac:dyDescent="0.45">
      <c r="A53" t="s">
        <v>101</v>
      </c>
      <c r="B53">
        <v>6.3</v>
      </c>
      <c r="C53" s="1">
        <v>44002</v>
      </c>
      <c r="D53" s="1">
        <v>43972</v>
      </c>
      <c r="E53" t="s">
        <v>428</v>
      </c>
      <c r="F53" t="s">
        <v>429</v>
      </c>
      <c r="G53" t="s">
        <v>429</v>
      </c>
      <c r="H53" t="s">
        <v>429</v>
      </c>
      <c r="I53" t="s">
        <v>1310</v>
      </c>
      <c r="J53" t="s">
        <v>428</v>
      </c>
      <c r="K53" t="s">
        <v>429</v>
      </c>
      <c r="L53" t="str">
        <f>HYPERLINK("https://www.commcarehq.org/a/demo-18/api/form/attachment/5fadc398-68fe-4ba7-9daa-603bbe61b8fd/1590045470490.jpg")</f>
        <v>https://www.commcarehq.org/a/demo-18/api/form/attachment/5fadc398-68fe-4ba7-9daa-603bbe61b8fd/1590045470490.jpg</v>
      </c>
      <c r="M53" t="str">
        <f>HYPERLINK("https://www.commcarehq.org/a/demo-18/api/form/attachment/5fadc398-68fe-4ba7-9daa-603bbe61b8fd/1590045484009.jpg")</f>
        <v>https://www.commcarehq.org/a/demo-18/api/form/attachment/5fadc398-68fe-4ba7-9daa-603bbe61b8fd/1590045484009.jpg</v>
      </c>
      <c r="N53" t="str">
        <f>HYPERLINK("https://www.commcarehq.org/a/demo-18/api/form/attachment/5fadc398-68fe-4ba7-9daa-603bbe61b8fd/1590045526611.jpg")</f>
        <v>https://www.commcarehq.org/a/demo-18/api/form/attachment/5fadc398-68fe-4ba7-9daa-603bbe61b8fd/1590045526611.jpg</v>
      </c>
      <c r="O53" t="str">
        <f>HYPERLINK("https://www.commcarehq.org/a/demo-18/api/form/attachment/5fadc398-68fe-4ba7-9daa-603bbe61b8fd/1590045535333.jpg")</f>
        <v>https://www.commcarehq.org/a/demo-18/api/form/attachment/5fadc398-68fe-4ba7-9daa-603bbe61b8fd/1590045535333.jpg</v>
      </c>
      <c r="P53" t="str">
        <f>HYPERLINK("https://www.commcarehq.org/a/demo-18/api/form/attachment/5fadc398-68fe-4ba7-9daa-603bbe61b8fd/1590045553602.jpg")</f>
        <v>https://www.commcarehq.org/a/demo-18/api/form/attachment/5fadc398-68fe-4ba7-9daa-603bbe61b8fd/1590045553602.jpg</v>
      </c>
      <c r="Q53" t="str">
        <f>HYPERLINK("https://www.commcarehq.org/a/demo-18/api/form/attachment/5fadc398-68fe-4ba7-9daa-603bbe61b8fd/1590045562524.jpg")</f>
        <v>https://www.commcarehq.org/a/demo-18/api/form/attachment/5fadc398-68fe-4ba7-9daa-603bbe61b8fd/1590045562524.jpg</v>
      </c>
      <c r="R53" s="2">
        <v>43972.305138888885</v>
      </c>
      <c r="S53" s="2">
        <v>43972.30363425926</v>
      </c>
      <c r="T53" t="s">
        <v>32</v>
      </c>
      <c r="U53" s="2">
        <v>43972.305555555555</v>
      </c>
      <c r="V53" t="s">
        <v>1756</v>
      </c>
      <c r="W53" t="s">
        <v>1757</v>
      </c>
    </row>
    <row r="54" spans="1:23" x14ac:dyDescent="0.45">
      <c r="A54" t="s">
        <v>277</v>
      </c>
      <c r="B54">
        <v>7.9</v>
      </c>
      <c r="C54" s="1">
        <v>43946</v>
      </c>
      <c r="D54" s="1">
        <v>43916</v>
      </c>
      <c r="E54" t="s">
        <v>428</v>
      </c>
      <c r="F54" t="s">
        <v>429</v>
      </c>
      <c r="G54" t="s">
        <v>429</v>
      </c>
      <c r="H54" t="s">
        <v>429</v>
      </c>
      <c r="I54" t="s">
        <v>579</v>
      </c>
      <c r="J54" t="s">
        <v>428</v>
      </c>
      <c r="K54" t="s">
        <v>429</v>
      </c>
      <c r="L54" t="str">
        <f>HYPERLINK("https://www.commcarehq.org/a/demo-18/api/form/attachment/798b2e08-62f3-458d-a5f1-c1ee0edc9ef9/1585203813587.jpg")</f>
        <v>https://www.commcarehq.org/a/demo-18/api/form/attachment/798b2e08-62f3-458d-a5f1-c1ee0edc9ef9/1585203813587.jpg</v>
      </c>
      <c r="M54" t="str">
        <f>HYPERLINK("https://www.commcarehq.org/a/demo-18/api/form/attachment/798b2e08-62f3-458d-a5f1-c1ee0edc9ef9/1585203829992.jpg")</f>
        <v>https://www.commcarehq.org/a/demo-18/api/form/attachment/798b2e08-62f3-458d-a5f1-c1ee0edc9ef9/1585203829992.jpg</v>
      </c>
      <c r="N54" t="str">
        <f>HYPERLINK("https://www.commcarehq.org/a/demo-18/api/form/attachment/798b2e08-62f3-458d-a5f1-c1ee0edc9ef9/1585203889285.jpg")</f>
        <v>https://www.commcarehq.org/a/demo-18/api/form/attachment/798b2e08-62f3-458d-a5f1-c1ee0edc9ef9/1585203889285.jpg</v>
      </c>
      <c r="O54" t="str">
        <f>HYPERLINK("https://www.commcarehq.org/a/demo-18/api/form/attachment/798b2e08-62f3-458d-a5f1-c1ee0edc9ef9/1585203898433.jpg")</f>
        <v>https://www.commcarehq.org/a/demo-18/api/form/attachment/798b2e08-62f3-458d-a5f1-c1ee0edc9ef9/1585203898433.jpg</v>
      </c>
      <c r="P54" t="str">
        <f>HYPERLINK("https://www.commcarehq.org/a/demo-18/api/form/attachment/798b2e08-62f3-458d-a5f1-c1ee0edc9ef9/1585203913592.jpg")</f>
        <v>https://www.commcarehq.org/a/demo-18/api/form/attachment/798b2e08-62f3-458d-a5f1-c1ee0edc9ef9/1585203913592.jpg</v>
      </c>
      <c r="Q54" t="str">
        <f>HYPERLINK("https://www.commcarehq.org/a/demo-18/api/form/attachment/798b2e08-62f3-458d-a5f1-c1ee0edc9ef9/1585203922347.jpg")</f>
        <v>https://www.commcarehq.org/a/demo-18/api/form/attachment/798b2e08-62f3-458d-a5f1-c1ee0edc9ef9/1585203922347.jpg</v>
      </c>
      <c r="R54" s="2">
        <v>43916.267638888887</v>
      </c>
      <c r="S54" s="2">
        <v>43916.265752314815</v>
      </c>
      <c r="T54" t="s">
        <v>32</v>
      </c>
      <c r="U54" s="2">
        <v>43916.267835648148</v>
      </c>
      <c r="V54" s="3" t="s">
        <v>1769</v>
      </c>
      <c r="W54" t="s">
        <v>1770</v>
      </c>
    </row>
    <row r="55" spans="1:23" x14ac:dyDescent="0.45">
      <c r="A55" t="s">
        <v>337</v>
      </c>
      <c r="B55">
        <v>6.7</v>
      </c>
      <c r="C55" s="1">
        <v>43950</v>
      </c>
      <c r="D55" s="1">
        <v>43920</v>
      </c>
      <c r="E55" t="s">
        <v>428</v>
      </c>
      <c r="F55" t="s">
        <v>429</v>
      </c>
      <c r="G55" t="s">
        <v>429</v>
      </c>
      <c r="H55" t="s">
        <v>429</v>
      </c>
      <c r="I55" t="s">
        <v>1321</v>
      </c>
      <c r="J55" t="s">
        <v>428</v>
      </c>
      <c r="K55" t="s">
        <v>429</v>
      </c>
      <c r="L55" t="str">
        <f>HYPERLINK("https://www.commcarehq.org/a/demo-18/api/form/attachment/dfc99f9a-d7ce-448d-a98c-910d3166b259/1585550189661.jpg")</f>
        <v>https://www.commcarehq.org/a/demo-18/api/form/attachment/dfc99f9a-d7ce-448d-a98c-910d3166b259/1585550189661.jpg</v>
      </c>
      <c r="M55" t="str">
        <f>HYPERLINK("https://www.commcarehq.org/a/demo-18/api/form/attachment/dfc99f9a-d7ce-448d-a98c-910d3166b259/1585550202800.jpg")</f>
        <v>https://www.commcarehq.org/a/demo-18/api/form/attachment/dfc99f9a-d7ce-448d-a98c-910d3166b259/1585550202800.jpg</v>
      </c>
      <c r="N55" t="str">
        <f>HYPERLINK("https://www.commcarehq.org/a/demo-18/api/form/attachment/dfc99f9a-d7ce-448d-a98c-910d3166b259/1585550270780.jpg")</f>
        <v>https://www.commcarehq.org/a/demo-18/api/form/attachment/dfc99f9a-d7ce-448d-a98c-910d3166b259/1585550270780.jpg</v>
      </c>
      <c r="O55" t="str">
        <f>HYPERLINK("https://www.commcarehq.org/a/demo-18/api/form/attachment/dfc99f9a-d7ce-448d-a98c-910d3166b259/1585550279645.jpg")</f>
        <v>https://www.commcarehq.org/a/demo-18/api/form/attachment/dfc99f9a-d7ce-448d-a98c-910d3166b259/1585550279645.jpg</v>
      </c>
      <c r="P55" t="str">
        <f>HYPERLINK("https://www.commcarehq.org/a/demo-18/api/form/attachment/dfc99f9a-d7ce-448d-a98c-910d3166b259/1585550297139.jpg")</f>
        <v>https://www.commcarehq.org/a/demo-18/api/form/attachment/dfc99f9a-d7ce-448d-a98c-910d3166b259/1585550297139.jpg</v>
      </c>
      <c r="Q55" t="str">
        <f>HYPERLINK("https://www.commcarehq.org/a/demo-18/api/form/attachment/dfc99f9a-d7ce-448d-a98c-910d3166b259/1585550312965.jpg")</f>
        <v>https://www.commcarehq.org/a/demo-18/api/form/attachment/dfc99f9a-d7ce-448d-a98c-910d3166b259/1585550312965.jpg</v>
      </c>
      <c r="R55" s="2">
        <v>43920.27679398148</v>
      </c>
      <c r="S55" s="2">
        <v>43920.274895833332</v>
      </c>
      <c r="T55" t="s">
        <v>32</v>
      </c>
      <c r="U55" s="2">
        <v>43920.277048611111</v>
      </c>
      <c r="V55" s="3" t="s">
        <v>1754</v>
      </c>
      <c r="W55" t="s">
        <v>1755</v>
      </c>
    </row>
  </sheetData>
  <autoFilter ref="A1:W55" xr:uid="{00000000-0009-0000-0000-000006000000}">
    <sortState xmlns:xlrd2="http://schemas.microsoft.com/office/spreadsheetml/2017/richdata2" ref="A2:W55">
      <sortCondition ref="A1:A55"/>
    </sortState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84"/>
  <sheetViews>
    <sheetView topLeftCell="B66" workbookViewId="0">
      <selection activeCell="H64" sqref="H64"/>
    </sheetView>
  </sheetViews>
  <sheetFormatPr defaultColWidth="8.796875" defaultRowHeight="14.25" x14ac:dyDescent="0.45"/>
  <cols>
    <col min="1" max="1" width="10" bestFit="1" customWidth="1"/>
    <col min="2" max="2" width="12.1328125" bestFit="1" customWidth="1"/>
    <col min="3" max="3" width="8.46484375" bestFit="1" customWidth="1"/>
    <col min="4" max="4" width="15.46484375" bestFit="1" customWidth="1"/>
    <col min="5" max="5" width="16.1328125" bestFit="1" customWidth="1"/>
    <col min="6" max="6" width="23" bestFit="1" customWidth="1"/>
    <col min="7" max="7" width="13.1328125" bestFit="1" customWidth="1"/>
    <col min="8" max="8" width="12.6640625" bestFit="1" customWidth="1"/>
    <col min="9" max="9" width="38.796875" bestFit="1" customWidth="1"/>
    <col min="10" max="10" width="14.33203125" bestFit="1" customWidth="1"/>
    <col min="11" max="11" width="28.6640625" bestFit="1" customWidth="1"/>
    <col min="12" max="12" width="11.1328125" bestFit="1" customWidth="1"/>
    <col min="13" max="13" width="10.46484375" bestFit="1" customWidth="1"/>
    <col min="14" max="14" width="6.46484375" bestFit="1" customWidth="1"/>
    <col min="15" max="15" width="9.33203125" bestFit="1" customWidth="1"/>
    <col min="16" max="16" width="7.6640625" bestFit="1" customWidth="1"/>
    <col min="17" max="17" width="10.46484375" bestFit="1" customWidth="1"/>
    <col min="18" max="18" width="16" bestFit="1" customWidth="1"/>
    <col min="19" max="19" width="13.1328125" bestFit="1" customWidth="1"/>
    <col min="20" max="20" width="14.46484375" bestFit="1" customWidth="1"/>
    <col min="21" max="21" width="14.1328125" bestFit="1" customWidth="1"/>
    <col min="22" max="22" width="35.46484375" bestFit="1" customWidth="1"/>
    <col min="23" max="23" width="80.6640625" bestFit="1" customWidth="1"/>
  </cols>
  <sheetData>
    <row r="1" spans="1:23" x14ac:dyDescent="0.45">
      <c r="A1" t="s">
        <v>1</v>
      </c>
      <c r="B1" t="s">
        <v>6</v>
      </c>
      <c r="C1" t="s">
        <v>4</v>
      </c>
      <c r="D1" t="s">
        <v>3</v>
      </c>
      <c r="E1" t="s">
        <v>681</v>
      </c>
      <c r="F1" t="s">
        <v>423</v>
      </c>
      <c r="G1" t="s">
        <v>424</v>
      </c>
      <c r="H1" t="s">
        <v>427</v>
      </c>
      <c r="I1" t="s">
        <v>425</v>
      </c>
      <c r="J1" t="s">
        <v>426</v>
      </c>
      <c r="K1" t="s">
        <v>510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18</v>
      </c>
      <c r="W1" t="s">
        <v>17</v>
      </c>
    </row>
    <row r="2" spans="1:23" x14ac:dyDescent="0.45">
      <c r="A2" t="s">
        <v>769</v>
      </c>
      <c r="B2">
        <v>7.8</v>
      </c>
      <c r="C2" s="1">
        <v>43866</v>
      </c>
      <c r="D2" s="1">
        <v>43836</v>
      </c>
      <c r="E2" t="s">
        <v>428</v>
      </c>
      <c r="F2" t="s">
        <v>429</v>
      </c>
      <c r="G2" t="s">
        <v>429</v>
      </c>
      <c r="H2" t="s">
        <v>429</v>
      </c>
      <c r="I2" t="s">
        <v>544</v>
      </c>
      <c r="J2" t="s">
        <v>428</v>
      </c>
      <c r="K2" t="s">
        <v>429</v>
      </c>
      <c r="L2" t="str">
        <f>HYPERLINK("https://www.commcarehq.org/a/demo-18/api/form/attachment/90741b47-86b9-42bc-8716-de684238e16f/1578300006379.jpg")</f>
        <v>https://www.commcarehq.org/a/demo-18/api/form/attachment/90741b47-86b9-42bc-8716-de684238e16f/1578300006379.jpg</v>
      </c>
      <c r="M2" t="str">
        <f>HYPERLINK("https://www.commcarehq.org/a/demo-18/api/form/attachment/90741b47-86b9-42bc-8716-de684238e16f/1578300027920.jpg")</f>
        <v>https://www.commcarehq.org/a/demo-18/api/form/attachment/90741b47-86b9-42bc-8716-de684238e16f/1578300027920.jpg</v>
      </c>
      <c r="N2" t="str">
        <f>HYPERLINK("https://www.commcarehq.org/a/demo-18/api/form/attachment/90741b47-86b9-42bc-8716-de684238e16f/1578300120908.jpg")</f>
        <v>https://www.commcarehq.org/a/demo-18/api/form/attachment/90741b47-86b9-42bc-8716-de684238e16f/1578300120908.jpg</v>
      </c>
      <c r="O2" t="str">
        <f>HYPERLINK("https://www.commcarehq.org/a/demo-18/api/form/attachment/90741b47-86b9-42bc-8716-de684238e16f/1578300133256.jpg")</f>
        <v>https://www.commcarehq.org/a/demo-18/api/form/attachment/90741b47-86b9-42bc-8716-de684238e16f/1578300133256.jpg</v>
      </c>
      <c r="P2" t="str">
        <f>HYPERLINK("https://www.commcarehq.org/a/demo-18/api/form/attachment/90741b47-86b9-42bc-8716-de684238e16f/1578300233705.jpg")</f>
        <v>https://www.commcarehq.org/a/demo-18/api/form/attachment/90741b47-86b9-42bc-8716-de684238e16f/1578300233705.jpg</v>
      </c>
      <c r="Q2" t="str">
        <f>HYPERLINK("https://www.commcarehq.org/a/demo-18/api/form/attachment/90741b47-86b9-42bc-8716-de684238e16f/1578300255694.jpg")</f>
        <v>https://www.commcarehq.org/a/demo-18/api/form/attachment/90741b47-86b9-42bc-8716-de684238e16f/1578300255694.jpg</v>
      </c>
      <c r="R2" s="2">
        <v>43836.364201388889</v>
      </c>
      <c r="S2" s="2">
        <v>43836.360381944447</v>
      </c>
      <c r="T2" t="s">
        <v>32</v>
      </c>
      <c r="U2" s="2">
        <v>43836.364814814813</v>
      </c>
      <c r="V2" t="s">
        <v>999</v>
      </c>
      <c r="W2" t="s">
        <v>1000</v>
      </c>
    </row>
    <row r="3" spans="1:23" x14ac:dyDescent="0.45">
      <c r="A3" t="s">
        <v>688</v>
      </c>
      <c r="B3">
        <v>9</v>
      </c>
      <c r="C3" s="1">
        <v>43859</v>
      </c>
      <c r="D3" s="1">
        <v>43829</v>
      </c>
      <c r="E3" t="s">
        <v>428</v>
      </c>
      <c r="F3" t="s">
        <v>429</v>
      </c>
      <c r="G3" t="s">
        <v>429</v>
      </c>
      <c r="H3" t="s">
        <v>429</v>
      </c>
      <c r="I3" t="s">
        <v>569</v>
      </c>
      <c r="J3" t="s">
        <v>428</v>
      </c>
      <c r="K3" t="s">
        <v>429</v>
      </c>
      <c r="L3" t="str">
        <f>HYPERLINK("https://www.commcarehq.org/a/demo-18/api/form/attachment/018ffdd7-5e6f-4bde-898d-563a800e35b3/1577697420945.jpg")</f>
        <v>https://www.commcarehq.org/a/demo-18/api/form/attachment/018ffdd7-5e6f-4bde-898d-563a800e35b3/1577697420945.jpg</v>
      </c>
      <c r="M3" t="str">
        <f>HYPERLINK("https://www.commcarehq.org/a/demo-18/api/form/attachment/018ffdd7-5e6f-4bde-898d-563a800e35b3/1577697455195.jpg")</f>
        <v>https://www.commcarehq.org/a/demo-18/api/form/attachment/018ffdd7-5e6f-4bde-898d-563a800e35b3/1577697455195.jpg</v>
      </c>
      <c r="N3" t="str">
        <f>HYPERLINK("https://www.commcarehq.org/a/demo-18/api/form/attachment/018ffdd7-5e6f-4bde-898d-563a800e35b3/1577697629676.jpg")</f>
        <v>https://www.commcarehq.org/a/demo-18/api/form/attachment/018ffdd7-5e6f-4bde-898d-563a800e35b3/1577697629676.jpg</v>
      </c>
      <c r="O3" t="str">
        <f>HYPERLINK("https://www.commcarehq.org/a/demo-18/api/form/attachment/018ffdd7-5e6f-4bde-898d-563a800e35b3/1577697639165.jpg")</f>
        <v>https://www.commcarehq.org/a/demo-18/api/form/attachment/018ffdd7-5e6f-4bde-898d-563a800e35b3/1577697639165.jpg</v>
      </c>
      <c r="P3" t="str">
        <f>HYPERLINK("https://www.commcarehq.org/a/demo-18/api/form/attachment/018ffdd7-5e6f-4bde-898d-563a800e35b3/1577697660758.jpg")</f>
        <v>https://www.commcarehq.org/a/demo-18/api/form/attachment/018ffdd7-5e6f-4bde-898d-563a800e35b3/1577697660758.jpg</v>
      </c>
      <c r="Q3" t="str">
        <f>HYPERLINK("https://www.commcarehq.org/a/demo-18/api/form/attachment/018ffdd7-5e6f-4bde-898d-563a800e35b3/1577697670870.jpg")</f>
        <v>https://www.commcarehq.org/a/demo-18/api/form/attachment/018ffdd7-5e6f-4bde-898d-563a800e35b3/1577697670870.jpg</v>
      </c>
      <c r="R3" s="2">
        <v>43829.389733796299</v>
      </c>
      <c r="S3" s="2">
        <v>43829.38585648148</v>
      </c>
      <c r="T3" t="s">
        <v>32</v>
      </c>
      <c r="U3" s="2">
        <v>43830.188680555555</v>
      </c>
      <c r="V3" t="s">
        <v>947</v>
      </c>
      <c r="W3" t="s">
        <v>948</v>
      </c>
    </row>
    <row r="4" spans="1:23" x14ac:dyDescent="0.45">
      <c r="A4" t="s">
        <v>701</v>
      </c>
      <c r="B4">
        <v>7.5</v>
      </c>
      <c r="C4" s="1">
        <v>43838</v>
      </c>
      <c r="D4" s="1">
        <v>43808</v>
      </c>
      <c r="E4" t="s">
        <v>428</v>
      </c>
      <c r="F4" t="s">
        <v>429</v>
      </c>
      <c r="G4" t="s">
        <v>429</v>
      </c>
      <c r="H4" t="s">
        <v>429</v>
      </c>
      <c r="I4" t="s">
        <v>484</v>
      </c>
      <c r="J4" t="s">
        <v>428</v>
      </c>
      <c r="K4" t="s">
        <v>429</v>
      </c>
      <c r="L4" t="str">
        <f>HYPERLINK("https://www.commcarehq.org/a/demo-18/api/form/attachment/5c352b59-b046-4f03-b29a-632c8ec40d88/1575877371072.jpg")</f>
        <v>https://www.commcarehq.org/a/demo-18/api/form/attachment/5c352b59-b046-4f03-b29a-632c8ec40d88/1575877371072.jpg</v>
      </c>
      <c r="M4" t="str">
        <f>HYPERLINK("https://www.commcarehq.org/a/demo-18/api/form/attachment/5c352b59-b046-4f03-b29a-632c8ec40d88/1575877389820.jpg")</f>
        <v>https://www.commcarehq.org/a/demo-18/api/form/attachment/5c352b59-b046-4f03-b29a-632c8ec40d88/1575877389820.jpg</v>
      </c>
      <c r="N4" t="str">
        <f>HYPERLINK("https://www.commcarehq.org/a/demo-18/api/form/attachment/5c352b59-b046-4f03-b29a-632c8ec40d88/1575877431259.jpg")</f>
        <v>https://www.commcarehq.org/a/demo-18/api/form/attachment/5c352b59-b046-4f03-b29a-632c8ec40d88/1575877431259.jpg</v>
      </c>
      <c r="O4" t="str">
        <f>HYPERLINK("https://www.commcarehq.org/a/demo-18/api/form/attachment/5c352b59-b046-4f03-b29a-632c8ec40d88/1575877439698.jpg")</f>
        <v>https://www.commcarehq.org/a/demo-18/api/form/attachment/5c352b59-b046-4f03-b29a-632c8ec40d88/1575877439698.jpg</v>
      </c>
      <c r="P4" t="str">
        <f>HYPERLINK("https://www.commcarehq.org/a/demo-18/api/form/attachment/5c352b59-b046-4f03-b29a-632c8ec40d88/1575877486388.jpg")</f>
        <v>https://www.commcarehq.org/a/demo-18/api/form/attachment/5c352b59-b046-4f03-b29a-632c8ec40d88/1575877486388.jpg</v>
      </c>
      <c r="Q4" t="str">
        <f>HYPERLINK("https://www.commcarehq.org/a/demo-18/api/form/attachment/5c352b59-b046-4f03-b29a-632c8ec40d88/1575877496012.jpg")</f>
        <v>https://www.commcarehq.org/a/demo-18/api/form/attachment/5c352b59-b046-4f03-b29a-632c8ec40d88/1575877496012.jpg</v>
      </c>
      <c r="R4" s="2">
        <v>43808.322881944441</v>
      </c>
      <c r="S4" s="2">
        <v>43808.320949074077</v>
      </c>
      <c r="T4" t="s">
        <v>32</v>
      </c>
      <c r="U4" s="2">
        <v>43808.419942129629</v>
      </c>
      <c r="V4" t="s">
        <v>838</v>
      </c>
      <c r="W4" t="s">
        <v>839</v>
      </c>
    </row>
    <row r="5" spans="1:23" x14ac:dyDescent="0.45">
      <c r="A5" t="s">
        <v>572</v>
      </c>
      <c r="B5">
        <v>8.1</v>
      </c>
      <c r="C5" s="1">
        <v>43876</v>
      </c>
      <c r="D5" s="1">
        <v>43846</v>
      </c>
      <c r="E5" t="s">
        <v>428</v>
      </c>
      <c r="F5" t="s">
        <v>429</v>
      </c>
      <c r="G5" t="s">
        <v>429</v>
      </c>
      <c r="H5" t="s">
        <v>429</v>
      </c>
      <c r="I5" t="s">
        <v>484</v>
      </c>
      <c r="J5" t="s">
        <v>428</v>
      </c>
      <c r="K5" t="s">
        <v>429</v>
      </c>
      <c r="L5" t="str">
        <f>HYPERLINK("https://www.commcarehq.org/a/demo-18/api/form/attachment/d80f5bc2-699f-44ac-911a-af7c2d11d8be/1579156711703.jpg")</f>
        <v>https://www.commcarehq.org/a/demo-18/api/form/attachment/d80f5bc2-699f-44ac-911a-af7c2d11d8be/1579156711703.jpg</v>
      </c>
      <c r="M5" t="str">
        <f>HYPERLINK("https://www.commcarehq.org/a/demo-18/api/form/attachment/d80f5bc2-699f-44ac-911a-af7c2d11d8be/1579156726154.jpg")</f>
        <v>https://www.commcarehq.org/a/demo-18/api/form/attachment/d80f5bc2-699f-44ac-911a-af7c2d11d8be/1579156726154.jpg</v>
      </c>
      <c r="N5" t="str">
        <f>HYPERLINK("https://www.commcarehq.org/a/demo-18/api/form/attachment/d80f5bc2-699f-44ac-911a-af7c2d11d8be/1579156771791.jpg")</f>
        <v>https://www.commcarehq.org/a/demo-18/api/form/attachment/d80f5bc2-699f-44ac-911a-af7c2d11d8be/1579156771791.jpg</v>
      </c>
      <c r="O5" t="str">
        <f>HYPERLINK("https://www.commcarehq.org/a/demo-18/api/form/attachment/d80f5bc2-699f-44ac-911a-af7c2d11d8be/1579156780973.jpg")</f>
        <v>https://www.commcarehq.org/a/demo-18/api/form/attachment/d80f5bc2-699f-44ac-911a-af7c2d11d8be/1579156780973.jpg</v>
      </c>
      <c r="P5" t="str">
        <f>HYPERLINK("https://www.commcarehq.org/a/demo-18/api/form/attachment/d80f5bc2-699f-44ac-911a-af7c2d11d8be/1579156795947.jpg")</f>
        <v>https://www.commcarehq.org/a/demo-18/api/form/attachment/d80f5bc2-699f-44ac-911a-af7c2d11d8be/1579156795947.jpg</v>
      </c>
      <c r="Q5" t="str">
        <f>HYPERLINK("https://www.commcarehq.org/a/demo-18/api/form/attachment/d80f5bc2-699f-44ac-911a-af7c2d11d8be/1579156806498.jpg")</f>
        <v>https://www.commcarehq.org/a/demo-18/api/form/attachment/d80f5bc2-699f-44ac-911a-af7c2d11d8be/1579156806498.jpg</v>
      </c>
      <c r="R5" s="2">
        <v>43846.277870370373</v>
      </c>
      <c r="S5" s="2">
        <v>43846.276273148149</v>
      </c>
      <c r="T5" t="s">
        <v>32</v>
      </c>
      <c r="U5" s="2">
        <v>43846.278113425928</v>
      </c>
      <c r="V5" t="s">
        <v>1078</v>
      </c>
      <c r="W5" t="s">
        <v>1079</v>
      </c>
    </row>
    <row r="6" spans="1:23" x14ac:dyDescent="0.45">
      <c r="A6" t="s">
        <v>519</v>
      </c>
      <c r="B6">
        <v>8.4</v>
      </c>
      <c r="C6" s="1">
        <v>43882</v>
      </c>
      <c r="D6" s="1">
        <v>43852</v>
      </c>
      <c r="E6" t="s">
        <v>428</v>
      </c>
      <c r="F6" t="s">
        <v>429</v>
      </c>
      <c r="G6" t="s">
        <v>429</v>
      </c>
      <c r="H6" t="s">
        <v>429</v>
      </c>
      <c r="I6" t="s">
        <v>498</v>
      </c>
      <c r="J6" t="s">
        <v>428</v>
      </c>
      <c r="K6" t="s">
        <v>429</v>
      </c>
      <c r="L6" t="str">
        <f>HYPERLINK("https://www.commcarehq.org/a/demo-18/api/form/attachment/9af902d0-3a2f-4832-b0fe-9093a20e4d5f/1579686451835.jpg")</f>
        <v>https://www.commcarehq.org/a/demo-18/api/form/attachment/9af902d0-3a2f-4832-b0fe-9093a20e4d5f/1579686451835.jpg</v>
      </c>
      <c r="M6" t="str">
        <f>HYPERLINK("https://www.commcarehq.org/a/demo-18/api/form/attachment/9af902d0-3a2f-4832-b0fe-9093a20e4d5f/1579686473050.jpg")</f>
        <v>https://www.commcarehq.org/a/demo-18/api/form/attachment/9af902d0-3a2f-4832-b0fe-9093a20e4d5f/1579686473050.jpg</v>
      </c>
      <c r="N6" t="str">
        <f>HYPERLINK("https://www.commcarehq.org/a/demo-18/api/form/attachment/9af902d0-3a2f-4832-b0fe-9093a20e4d5f/1579686527820.jpg")</f>
        <v>https://www.commcarehq.org/a/demo-18/api/form/attachment/9af902d0-3a2f-4832-b0fe-9093a20e4d5f/1579686527820.jpg</v>
      </c>
      <c r="O6" t="str">
        <f>HYPERLINK("https://www.commcarehq.org/a/demo-18/api/form/attachment/9af902d0-3a2f-4832-b0fe-9093a20e4d5f/1579686537332.jpg")</f>
        <v>https://www.commcarehq.org/a/demo-18/api/form/attachment/9af902d0-3a2f-4832-b0fe-9093a20e4d5f/1579686537332.jpg</v>
      </c>
      <c r="P6" t="str">
        <f>HYPERLINK("https://www.commcarehq.org/a/demo-18/api/form/attachment/9af902d0-3a2f-4832-b0fe-9093a20e4d5f/1579686556816.jpg")</f>
        <v>https://www.commcarehq.org/a/demo-18/api/form/attachment/9af902d0-3a2f-4832-b0fe-9093a20e4d5f/1579686556816.jpg</v>
      </c>
      <c r="Q6" t="str">
        <f>HYPERLINK("https://www.commcarehq.org/a/demo-18/api/form/attachment/9af902d0-3a2f-4832-b0fe-9093a20e4d5f/1579686566090.jpg")</f>
        <v>https://www.commcarehq.org/a/demo-18/api/form/attachment/9af902d0-3a2f-4832-b0fe-9093a20e4d5f/1579686566090.jpg</v>
      </c>
      <c r="R6" s="2">
        <v>43852.409386574072</v>
      </c>
      <c r="S6" s="2">
        <v>43852.407534722224</v>
      </c>
      <c r="T6" t="s">
        <v>32</v>
      </c>
      <c r="U6" s="2">
        <v>43852.409583333334</v>
      </c>
      <c r="V6" t="s">
        <v>1286</v>
      </c>
      <c r="W6" t="s">
        <v>1287</v>
      </c>
    </row>
    <row r="7" spans="1:23" x14ac:dyDescent="0.45">
      <c r="A7" t="s">
        <v>647</v>
      </c>
      <c r="B7">
        <v>7.5</v>
      </c>
      <c r="C7" s="1">
        <v>43875</v>
      </c>
      <c r="D7" s="1">
        <v>43845</v>
      </c>
      <c r="E7" t="s">
        <v>428</v>
      </c>
      <c r="F7" t="s">
        <v>429</v>
      </c>
      <c r="G7" t="s">
        <v>429</v>
      </c>
      <c r="H7" t="s">
        <v>429</v>
      </c>
      <c r="I7" t="s">
        <v>569</v>
      </c>
      <c r="J7" t="s">
        <v>428</v>
      </c>
      <c r="K7" t="s">
        <v>429</v>
      </c>
      <c r="L7" t="str">
        <f>HYPERLINK("https://www.commcarehq.org/a/demo-18/api/form/attachment/ac6439b6-23fb-444f-8551-e55dde9ce736/1579081095436.jpg")</f>
        <v>https://www.commcarehq.org/a/demo-18/api/form/attachment/ac6439b6-23fb-444f-8551-e55dde9ce736/1579081095436.jpg</v>
      </c>
      <c r="M7" t="str">
        <f>HYPERLINK("https://www.commcarehq.org/a/demo-18/api/form/attachment/ac6439b6-23fb-444f-8551-e55dde9ce736/1579081112542.jpg")</f>
        <v>https://www.commcarehq.org/a/demo-18/api/form/attachment/ac6439b6-23fb-444f-8551-e55dde9ce736/1579081112542.jpg</v>
      </c>
      <c r="N7" t="str">
        <f>HYPERLINK("https://www.commcarehq.org/a/demo-18/api/form/attachment/ac6439b6-23fb-444f-8551-e55dde9ce736/1579081277779.jpg")</f>
        <v>https://www.commcarehq.org/a/demo-18/api/form/attachment/ac6439b6-23fb-444f-8551-e55dde9ce736/1579081277779.jpg</v>
      </c>
      <c r="O7" t="str">
        <f>HYPERLINK("https://www.commcarehq.org/a/demo-18/api/form/attachment/ac6439b6-23fb-444f-8551-e55dde9ce736/1579081287385.jpg")</f>
        <v>https://www.commcarehq.org/a/demo-18/api/form/attachment/ac6439b6-23fb-444f-8551-e55dde9ce736/1579081287385.jpg</v>
      </c>
      <c r="P7" t="str">
        <f>HYPERLINK("https://www.commcarehq.org/a/demo-18/api/form/attachment/ac6439b6-23fb-444f-8551-e55dde9ce736/1579081305273.jpg")</f>
        <v>https://www.commcarehq.org/a/demo-18/api/form/attachment/ac6439b6-23fb-444f-8551-e55dde9ce736/1579081305273.jpg</v>
      </c>
      <c r="Q7" t="str">
        <f>HYPERLINK("https://www.commcarehq.org/a/demo-18/api/form/attachment/ac6439b6-23fb-444f-8551-e55dde9ce736/1579081316910.jpg")</f>
        <v>https://www.commcarehq.org/a/demo-18/api/form/attachment/ac6439b6-23fb-444f-8551-e55dde9ce736/1579081316910.jpg</v>
      </c>
      <c r="R7" s="2">
        <v>43845.404143518521</v>
      </c>
      <c r="S7" s="2">
        <v>43845.401134259257</v>
      </c>
      <c r="T7" t="s">
        <v>32</v>
      </c>
      <c r="U7" s="2">
        <v>43845.404421296298</v>
      </c>
      <c r="V7" t="s">
        <v>1080</v>
      </c>
      <c r="W7" t="s">
        <v>1081</v>
      </c>
    </row>
    <row r="8" spans="1:23" x14ac:dyDescent="0.45">
      <c r="A8" t="s">
        <v>575</v>
      </c>
      <c r="B8">
        <v>8.4</v>
      </c>
      <c r="C8" s="1">
        <v>43877</v>
      </c>
      <c r="D8" s="1">
        <v>43847</v>
      </c>
      <c r="E8" t="s">
        <v>428</v>
      </c>
      <c r="F8" t="s">
        <v>429</v>
      </c>
      <c r="G8" t="s">
        <v>429</v>
      </c>
      <c r="H8" t="s">
        <v>429</v>
      </c>
      <c r="I8" t="s">
        <v>1142</v>
      </c>
      <c r="J8" t="s">
        <v>428</v>
      </c>
      <c r="K8" t="s">
        <v>429</v>
      </c>
      <c r="L8" t="str">
        <f>HYPERLINK("https://www.commcarehq.org/a/demo-18/api/form/attachment/e17b42cf-397e-4994-934e-7185ba1b09b4/1579254290881.jpg")</f>
        <v>https://www.commcarehq.org/a/demo-18/api/form/attachment/e17b42cf-397e-4994-934e-7185ba1b09b4/1579254290881.jpg</v>
      </c>
      <c r="M8" t="str">
        <f>HYPERLINK("https://www.commcarehq.org/a/demo-18/api/form/attachment/e17b42cf-397e-4994-934e-7185ba1b09b4/1579254308889.jpg")</f>
        <v>https://www.commcarehq.org/a/demo-18/api/form/attachment/e17b42cf-397e-4994-934e-7185ba1b09b4/1579254308889.jpg</v>
      </c>
      <c r="N8" t="str">
        <f>HYPERLINK("https://www.commcarehq.org/a/demo-18/api/form/attachment/e17b42cf-397e-4994-934e-7185ba1b09b4/1579254352502.jpg")</f>
        <v>https://www.commcarehq.org/a/demo-18/api/form/attachment/e17b42cf-397e-4994-934e-7185ba1b09b4/1579254352502.jpg</v>
      </c>
      <c r="O8" t="str">
        <f>HYPERLINK("https://www.commcarehq.org/a/demo-18/api/form/attachment/e17b42cf-397e-4994-934e-7185ba1b09b4/1579254364997.jpg")</f>
        <v>https://www.commcarehq.org/a/demo-18/api/form/attachment/e17b42cf-397e-4994-934e-7185ba1b09b4/1579254364997.jpg</v>
      </c>
      <c r="P8" t="str">
        <f>HYPERLINK("https://www.commcarehq.org/a/demo-18/api/form/attachment/e17b42cf-397e-4994-934e-7185ba1b09b4/1579254379297.jpg")</f>
        <v>https://www.commcarehq.org/a/demo-18/api/form/attachment/e17b42cf-397e-4994-934e-7185ba1b09b4/1579254379297.jpg</v>
      </c>
      <c r="Q8" t="str">
        <f>HYPERLINK("https://www.commcarehq.org/a/demo-18/api/form/attachment/e17b42cf-397e-4994-934e-7185ba1b09b4/1579254394347.jpg")</f>
        <v>https://www.commcarehq.org/a/demo-18/api/form/attachment/e17b42cf-397e-4994-934e-7185ba1b09b4/1579254394347.jpg</v>
      </c>
      <c r="R8" s="2">
        <v>43847.407361111109</v>
      </c>
      <c r="S8" s="2">
        <v>43847.405335648145</v>
      </c>
      <c r="T8" t="s">
        <v>32</v>
      </c>
      <c r="U8" s="2">
        <v>43847.407581018517</v>
      </c>
      <c r="V8" t="s">
        <v>1143</v>
      </c>
      <c r="W8" t="s">
        <v>1144</v>
      </c>
    </row>
    <row r="9" spans="1:23" x14ac:dyDescent="0.45">
      <c r="A9" t="s">
        <v>516</v>
      </c>
      <c r="B9">
        <v>7.3</v>
      </c>
      <c r="C9" s="1">
        <v>43887</v>
      </c>
      <c r="D9" s="1">
        <v>43857</v>
      </c>
      <c r="E9" t="s">
        <v>428</v>
      </c>
      <c r="F9" t="s">
        <v>429</v>
      </c>
      <c r="G9" t="s">
        <v>429</v>
      </c>
      <c r="H9" t="s">
        <v>429</v>
      </c>
      <c r="I9" t="s">
        <v>498</v>
      </c>
      <c r="J9" t="s">
        <v>428</v>
      </c>
      <c r="K9" t="s">
        <v>429</v>
      </c>
      <c r="L9" t="str">
        <f>HYPERLINK("https://www.commcarehq.org/a/demo-18/api/form/attachment/33827249-7b13-4814-b958-df7b15696187/1580110600699.jpg")</f>
        <v>https://www.commcarehq.org/a/demo-18/api/form/attachment/33827249-7b13-4814-b958-df7b15696187/1580110600699.jpg</v>
      </c>
      <c r="M9" t="str">
        <f>HYPERLINK("https://www.commcarehq.org/a/demo-18/api/form/attachment/33827249-7b13-4814-b958-df7b15696187/1580110636301.jpg")</f>
        <v>https://www.commcarehq.org/a/demo-18/api/form/attachment/33827249-7b13-4814-b958-df7b15696187/1580110636301.jpg</v>
      </c>
      <c r="N9" t="str">
        <f>HYPERLINK("https://www.commcarehq.org/a/demo-18/api/form/attachment/33827249-7b13-4814-b958-df7b15696187/1580110687476.jpg")</f>
        <v>https://www.commcarehq.org/a/demo-18/api/form/attachment/33827249-7b13-4814-b958-df7b15696187/1580110687476.jpg</v>
      </c>
      <c r="O9" t="str">
        <f>HYPERLINK("https://www.commcarehq.org/a/demo-18/api/form/attachment/33827249-7b13-4814-b958-df7b15696187/1580110697139.jpg")</f>
        <v>https://www.commcarehq.org/a/demo-18/api/form/attachment/33827249-7b13-4814-b958-df7b15696187/1580110697139.jpg</v>
      </c>
      <c r="P9" t="str">
        <f>HYPERLINK("https://www.commcarehq.org/a/demo-18/api/form/attachment/33827249-7b13-4814-b958-df7b15696187/1580110717836.jpg")</f>
        <v>https://www.commcarehq.org/a/demo-18/api/form/attachment/33827249-7b13-4814-b958-df7b15696187/1580110717836.jpg</v>
      </c>
      <c r="Q9" t="str">
        <f>HYPERLINK("https://www.commcarehq.org/a/demo-18/api/form/attachment/33827249-7b13-4814-b958-df7b15696187/1580110727506.jpg")</f>
        <v>https://www.commcarehq.org/a/demo-18/api/form/attachment/33827249-7b13-4814-b958-df7b15696187/1580110727506.jpg</v>
      </c>
      <c r="R9" s="2">
        <v>43857.31863425926</v>
      </c>
      <c r="S9" s="2">
        <v>43857.316655092596</v>
      </c>
      <c r="T9" t="s">
        <v>32</v>
      </c>
      <c r="U9" s="2">
        <v>43857.318796296298</v>
      </c>
      <c r="V9" t="s">
        <v>1264</v>
      </c>
      <c r="W9" t="s">
        <v>1265</v>
      </c>
    </row>
    <row r="10" spans="1:23" x14ac:dyDescent="0.45">
      <c r="A10" t="s">
        <v>578</v>
      </c>
      <c r="B10">
        <v>7</v>
      </c>
      <c r="C10" s="1">
        <v>43868</v>
      </c>
      <c r="D10" s="1">
        <v>43838</v>
      </c>
      <c r="E10" t="s">
        <v>428</v>
      </c>
      <c r="F10" t="s">
        <v>429</v>
      </c>
      <c r="G10" t="s">
        <v>429</v>
      </c>
      <c r="H10" t="s">
        <v>429</v>
      </c>
      <c r="I10" t="s">
        <v>601</v>
      </c>
      <c r="J10" t="s">
        <v>428</v>
      </c>
      <c r="K10" t="s">
        <v>429</v>
      </c>
      <c r="L10" t="str">
        <f>HYPERLINK("https://www.commcarehq.org/a/demo-18/api/form/attachment/a23cd493-65bf-4db9-a88e-debb5a414c9c/1578469896886.jpg")</f>
        <v>https://www.commcarehq.org/a/demo-18/api/form/attachment/a23cd493-65bf-4db9-a88e-debb5a414c9c/1578469896886.jpg</v>
      </c>
      <c r="M10" t="str">
        <f>HYPERLINK("https://www.commcarehq.org/a/demo-18/api/form/attachment/a23cd493-65bf-4db9-a88e-debb5a414c9c/1578469916757.jpg")</f>
        <v>https://www.commcarehq.org/a/demo-18/api/form/attachment/a23cd493-65bf-4db9-a88e-debb5a414c9c/1578469916757.jpg</v>
      </c>
      <c r="N10" t="str">
        <f>HYPERLINK("https://www.commcarehq.org/a/demo-18/api/form/attachment/a23cd493-65bf-4db9-a88e-debb5a414c9c/1578469988077.jpg")</f>
        <v>https://www.commcarehq.org/a/demo-18/api/form/attachment/a23cd493-65bf-4db9-a88e-debb5a414c9c/1578469988077.jpg</v>
      </c>
      <c r="O10" t="str">
        <f>HYPERLINK("https://www.commcarehq.org/a/demo-18/api/form/attachment/a23cd493-65bf-4db9-a88e-debb5a414c9c/1578470007499.jpg")</f>
        <v>https://www.commcarehq.org/a/demo-18/api/form/attachment/a23cd493-65bf-4db9-a88e-debb5a414c9c/1578470007499.jpg</v>
      </c>
      <c r="P10" t="str">
        <f>HYPERLINK("https://www.commcarehq.org/a/demo-18/api/form/attachment/a23cd493-65bf-4db9-a88e-debb5a414c9c/1578470039695.jpg")</f>
        <v>https://www.commcarehq.org/a/demo-18/api/form/attachment/a23cd493-65bf-4db9-a88e-debb5a414c9c/1578470039695.jpg</v>
      </c>
      <c r="Q10" t="str">
        <f>HYPERLINK("https://www.commcarehq.org/a/demo-18/api/form/attachment/a23cd493-65bf-4db9-a88e-debb5a414c9c/1578470052880.jpg")</f>
        <v>https://www.commcarehq.org/a/demo-18/api/form/attachment/a23cd493-65bf-4db9-a88e-debb5a414c9c/1578470052880.jpg</v>
      </c>
      <c r="R10" s="2">
        <v>43838.329340277778</v>
      </c>
      <c r="S10" s="2">
        <v>43838.327025462961</v>
      </c>
      <c r="T10" t="s">
        <v>32</v>
      </c>
      <c r="U10" s="2">
        <v>43838.329560185186</v>
      </c>
      <c r="V10" t="s">
        <v>1003</v>
      </c>
      <c r="W10" t="s">
        <v>1004</v>
      </c>
    </row>
    <row r="11" spans="1:23" x14ac:dyDescent="0.45">
      <c r="A11" t="s">
        <v>604</v>
      </c>
      <c r="B11">
        <v>7.6</v>
      </c>
      <c r="C11" s="1">
        <v>43884</v>
      </c>
      <c r="D11" s="1">
        <v>43854</v>
      </c>
      <c r="E11" t="s">
        <v>428</v>
      </c>
      <c r="F11" t="s">
        <v>429</v>
      </c>
      <c r="G11" t="s">
        <v>429</v>
      </c>
      <c r="H11" t="s">
        <v>429</v>
      </c>
      <c r="I11" t="s">
        <v>569</v>
      </c>
      <c r="J11" t="s">
        <v>428</v>
      </c>
      <c r="K11" t="s">
        <v>429</v>
      </c>
      <c r="L11" t="str">
        <f>HYPERLINK("https://www.commcarehq.org/a/demo-18/api/form/attachment/a12891db-347c-425d-8366-931590710143/1579852130367.jpg")</f>
        <v>https://www.commcarehq.org/a/demo-18/api/form/attachment/a12891db-347c-425d-8366-931590710143/1579852130367.jpg</v>
      </c>
      <c r="M11" t="str">
        <f>HYPERLINK("https://www.commcarehq.org/a/demo-18/api/form/attachment/a12891db-347c-425d-8366-931590710143/1579852148844.jpg")</f>
        <v>https://www.commcarehq.org/a/demo-18/api/form/attachment/a12891db-347c-425d-8366-931590710143/1579852148844.jpg</v>
      </c>
      <c r="N11" t="str">
        <f>HYPERLINK("https://www.commcarehq.org/a/demo-18/api/form/attachment/a12891db-347c-425d-8366-931590710143/1579852190530.jpg")</f>
        <v>https://www.commcarehq.org/a/demo-18/api/form/attachment/a12891db-347c-425d-8366-931590710143/1579852190530.jpg</v>
      </c>
      <c r="O11" t="str">
        <f>HYPERLINK("https://www.commcarehq.org/a/demo-18/api/form/attachment/a12891db-347c-425d-8366-931590710143/1579852200264.jpg")</f>
        <v>https://www.commcarehq.org/a/demo-18/api/form/attachment/a12891db-347c-425d-8366-931590710143/1579852200264.jpg</v>
      </c>
      <c r="P11" t="str">
        <f>HYPERLINK("https://www.commcarehq.org/a/demo-18/api/form/attachment/a12891db-347c-425d-8366-931590710143/1579852216323.jpg")</f>
        <v>https://www.commcarehq.org/a/demo-18/api/form/attachment/a12891db-347c-425d-8366-931590710143/1579852216323.jpg</v>
      </c>
      <c r="Q11" t="str">
        <f>HYPERLINK("https://www.commcarehq.org/a/demo-18/api/form/attachment/a12891db-347c-425d-8366-931590710143/1579852226516.jpg")</f>
        <v>https://www.commcarehq.org/a/demo-18/api/form/attachment/a12891db-347c-425d-8366-931590710143/1579852226516.jpg</v>
      </c>
      <c r="R11" s="2">
        <v>43854.32671296296</v>
      </c>
      <c r="S11" s="2">
        <v>43854.325162037036</v>
      </c>
      <c r="T11" t="s">
        <v>32</v>
      </c>
      <c r="U11" s="2">
        <v>43854.327025462961</v>
      </c>
      <c r="V11" t="s">
        <v>1288</v>
      </c>
      <c r="W11" t="s">
        <v>1289</v>
      </c>
    </row>
    <row r="12" spans="1:23" x14ac:dyDescent="0.45">
      <c r="A12" t="s">
        <v>799</v>
      </c>
      <c r="B12">
        <v>6.1</v>
      </c>
      <c r="C12" s="1">
        <v>43859</v>
      </c>
      <c r="D12" s="1">
        <v>43829</v>
      </c>
      <c r="E12" t="s">
        <v>428</v>
      </c>
      <c r="F12" t="s">
        <v>429</v>
      </c>
      <c r="G12" t="s">
        <v>429</v>
      </c>
      <c r="H12" t="s">
        <v>429</v>
      </c>
      <c r="I12" t="s">
        <v>447</v>
      </c>
      <c r="J12" t="s">
        <v>428</v>
      </c>
      <c r="K12" t="s">
        <v>429</v>
      </c>
      <c r="L12" t="str">
        <f>HYPERLINK("https://www.commcarehq.org/a/demo-18/api/form/attachment/096af222-c703-4f75-9ce8-92be36b92044/1577696817494.jpg")</f>
        <v>https://www.commcarehq.org/a/demo-18/api/form/attachment/096af222-c703-4f75-9ce8-92be36b92044/1577696817494.jpg</v>
      </c>
      <c r="M12" t="str">
        <f>HYPERLINK("https://www.commcarehq.org/a/demo-18/api/form/attachment/096af222-c703-4f75-9ce8-92be36b92044/1577696841856.jpg")</f>
        <v>https://www.commcarehq.org/a/demo-18/api/form/attachment/096af222-c703-4f75-9ce8-92be36b92044/1577696841856.jpg</v>
      </c>
      <c r="N12" t="str">
        <f>HYPERLINK("https://www.commcarehq.org/a/demo-18/api/form/attachment/096af222-c703-4f75-9ce8-92be36b92044/1577696885046.jpg")</f>
        <v>https://www.commcarehq.org/a/demo-18/api/form/attachment/096af222-c703-4f75-9ce8-92be36b92044/1577696885046.jpg</v>
      </c>
      <c r="O12" t="str">
        <f>HYPERLINK("https://www.commcarehq.org/a/demo-18/api/form/attachment/096af222-c703-4f75-9ce8-92be36b92044/1577696896341.jpg")</f>
        <v>https://www.commcarehq.org/a/demo-18/api/form/attachment/096af222-c703-4f75-9ce8-92be36b92044/1577696896341.jpg</v>
      </c>
      <c r="P12" t="str">
        <f>HYPERLINK("https://www.commcarehq.org/a/demo-18/api/form/attachment/096af222-c703-4f75-9ce8-92be36b92044/1577696922007.jpg")</f>
        <v>https://www.commcarehq.org/a/demo-18/api/form/attachment/096af222-c703-4f75-9ce8-92be36b92044/1577696922007.jpg</v>
      </c>
      <c r="Q12" t="str">
        <f>HYPERLINK("https://www.commcarehq.org/a/demo-18/api/form/attachment/096af222-c703-4f75-9ce8-92be36b92044/1577696935173.jpg")</f>
        <v>https://www.commcarehq.org/a/demo-18/api/form/attachment/096af222-c703-4f75-9ce8-92be36b92044/1577696935173.jpg</v>
      </c>
      <c r="R12" s="2">
        <v>43829.381215277775</v>
      </c>
      <c r="S12" s="2">
        <v>43829.378946759258</v>
      </c>
      <c r="T12" t="s">
        <v>32</v>
      </c>
      <c r="U12" s="2">
        <v>43830.18854166667</v>
      </c>
      <c r="V12" t="s">
        <v>949</v>
      </c>
      <c r="W12" t="s">
        <v>950</v>
      </c>
    </row>
    <row r="13" spans="1:23" x14ac:dyDescent="0.45">
      <c r="A13" t="s">
        <v>644</v>
      </c>
      <c r="B13">
        <v>6.4</v>
      </c>
      <c r="C13" s="1">
        <v>43880</v>
      </c>
      <c r="D13" s="1">
        <v>43850</v>
      </c>
      <c r="E13" t="s">
        <v>428</v>
      </c>
      <c r="F13" t="s">
        <v>429</v>
      </c>
      <c r="G13" t="s">
        <v>429</v>
      </c>
      <c r="H13" t="s">
        <v>429</v>
      </c>
      <c r="I13" t="s">
        <v>626</v>
      </c>
      <c r="J13" t="s">
        <v>428</v>
      </c>
      <c r="K13" t="s">
        <v>429</v>
      </c>
      <c r="L13" t="str">
        <f>HYPERLINK("https://www.commcarehq.org/a/demo-18/api/form/attachment/6e6caf14-b734-422d-b1d1-732c23fb67e3/1579508578159.jpg")</f>
        <v>https://www.commcarehq.org/a/demo-18/api/form/attachment/6e6caf14-b734-422d-b1d1-732c23fb67e3/1579508578159.jpg</v>
      </c>
      <c r="M13" t="str">
        <f>HYPERLINK("https://www.commcarehq.org/a/demo-18/api/form/attachment/6e6caf14-b734-422d-b1d1-732c23fb67e3/1579508589285.jpg")</f>
        <v>https://www.commcarehq.org/a/demo-18/api/form/attachment/6e6caf14-b734-422d-b1d1-732c23fb67e3/1579508589285.jpg</v>
      </c>
      <c r="N13" t="str">
        <f>HYPERLINK("https://www.commcarehq.org/a/demo-18/api/form/attachment/6e6caf14-b734-422d-b1d1-732c23fb67e3/1579508619358.jpg")</f>
        <v>https://www.commcarehq.org/a/demo-18/api/form/attachment/6e6caf14-b734-422d-b1d1-732c23fb67e3/1579508619358.jpg</v>
      </c>
      <c r="O13" t="str">
        <f>HYPERLINK("https://www.commcarehq.org/a/demo-18/api/form/attachment/6e6caf14-b734-422d-b1d1-732c23fb67e3/1579508629071.jpg")</f>
        <v>https://www.commcarehq.org/a/demo-18/api/form/attachment/6e6caf14-b734-422d-b1d1-732c23fb67e3/1579508629071.jpg</v>
      </c>
      <c r="P13" t="str">
        <f>HYPERLINK("https://www.commcarehq.org/a/demo-18/api/form/attachment/6e6caf14-b734-422d-b1d1-732c23fb67e3/1579508647248.jpg")</f>
        <v>https://www.commcarehq.org/a/demo-18/api/form/attachment/6e6caf14-b734-422d-b1d1-732c23fb67e3/1579508647248.jpg</v>
      </c>
      <c r="Q13" t="str">
        <f>HYPERLINK("https://www.commcarehq.org/a/demo-18/api/form/attachment/6e6caf14-b734-422d-b1d1-732c23fb67e3/1579508655934.jpg")</f>
        <v>https://www.commcarehq.org/a/demo-18/api/form/attachment/6e6caf14-b734-422d-b1d1-732c23fb67e3/1579508655934.jpg</v>
      </c>
      <c r="R13" s="2">
        <v>43850.350208333337</v>
      </c>
      <c r="S13" s="2">
        <v>43850.348877314813</v>
      </c>
      <c r="T13" t="s">
        <v>32</v>
      </c>
      <c r="U13" s="2">
        <v>43850.350393518522</v>
      </c>
      <c r="V13" t="s">
        <v>1140</v>
      </c>
      <c r="W13" t="s">
        <v>1141</v>
      </c>
    </row>
    <row r="14" spans="1:23" x14ac:dyDescent="0.45">
      <c r="A14" t="s">
        <v>562</v>
      </c>
      <c r="B14">
        <v>8.1999999999999993</v>
      </c>
      <c r="C14" s="1">
        <v>43880</v>
      </c>
      <c r="D14" s="1">
        <v>43850</v>
      </c>
      <c r="E14" t="s">
        <v>428</v>
      </c>
      <c r="F14" t="s">
        <v>429</v>
      </c>
      <c r="G14" t="s">
        <v>429</v>
      </c>
      <c r="H14" t="s">
        <v>429</v>
      </c>
      <c r="I14" t="s">
        <v>447</v>
      </c>
      <c r="J14" t="s">
        <v>428</v>
      </c>
      <c r="K14" t="s">
        <v>429</v>
      </c>
      <c r="L14" t="str">
        <f>HYPERLINK("https://www.commcarehq.org/a/demo-18/api/form/attachment/ff1ff339-1b38-4a65-b869-3f989f35091d/1579502446185.jpg")</f>
        <v>https://www.commcarehq.org/a/demo-18/api/form/attachment/ff1ff339-1b38-4a65-b869-3f989f35091d/1579502446185.jpg</v>
      </c>
      <c r="M14" t="str">
        <f>HYPERLINK("https://www.commcarehq.org/a/demo-18/api/form/attachment/ff1ff339-1b38-4a65-b869-3f989f35091d/1579502460993.jpg")</f>
        <v>https://www.commcarehq.org/a/demo-18/api/form/attachment/ff1ff339-1b38-4a65-b869-3f989f35091d/1579502460993.jpg</v>
      </c>
      <c r="N14" t="str">
        <f>HYPERLINK("https://www.commcarehq.org/a/demo-18/api/form/attachment/ff1ff339-1b38-4a65-b869-3f989f35091d/1579502510112.jpg")</f>
        <v>https://www.commcarehq.org/a/demo-18/api/form/attachment/ff1ff339-1b38-4a65-b869-3f989f35091d/1579502510112.jpg</v>
      </c>
      <c r="O14" t="str">
        <f>HYPERLINK("https://www.commcarehq.org/a/demo-18/api/form/attachment/ff1ff339-1b38-4a65-b869-3f989f35091d/1579502524850.jpg")</f>
        <v>https://www.commcarehq.org/a/demo-18/api/form/attachment/ff1ff339-1b38-4a65-b869-3f989f35091d/1579502524850.jpg</v>
      </c>
      <c r="P14" t="str">
        <f>HYPERLINK("https://www.commcarehq.org/a/demo-18/api/form/attachment/ff1ff339-1b38-4a65-b869-3f989f35091d/1579502539165.jpg")</f>
        <v>https://www.commcarehq.org/a/demo-18/api/form/attachment/ff1ff339-1b38-4a65-b869-3f989f35091d/1579502539165.jpg</v>
      </c>
      <c r="Q14" t="str">
        <f>HYPERLINK("https://www.commcarehq.org/a/demo-18/api/form/attachment/ff1ff339-1b38-4a65-b869-3f989f35091d/1579502552876.jpg")</f>
        <v>https://www.commcarehq.org/a/demo-18/api/form/attachment/ff1ff339-1b38-4a65-b869-3f989f35091d/1579502552876.jpg</v>
      </c>
      <c r="R14" s="2">
        <v>43850.27957175926</v>
      </c>
      <c r="S14" s="2">
        <v>43850.277777777781</v>
      </c>
      <c r="T14" t="s">
        <v>32</v>
      </c>
      <c r="U14" s="2">
        <v>43850.279756944445</v>
      </c>
      <c r="V14" t="s">
        <v>1145</v>
      </c>
      <c r="W14" t="s">
        <v>1146</v>
      </c>
    </row>
    <row r="15" spans="1:23" x14ac:dyDescent="0.45">
      <c r="A15" t="s">
        <v>522</v>
      </c>
      <c r="B15">
        <v>7.3</v>
      </c>
      <c r="C15" s="1">
        <v>43880</v>
      </c>
      <c r="D15" s="1">
        <v>43850</v>
      </c>
      <c r="E15" t="s">
        <v>428</v>
      </c>
      <c r="F15" t="s">
        <v>429</v>
      </c>
      <c r="G15" t="s">
        <v>429</v>
      </c>
      <c r="H15" t="s">
        <v>429</v>
      </c>
      <c r="I15" t="s">
        <v>569</v>
      </c>
      <c r="J15" t="s">
        <v>428</v>
      </c>
      <c r="K15" t="s">
        <v>429</v>
      </c>
      <c r="L15" t="str">
        <f>HYPERLINK("https://www.commcarehq.org/a/demo-18/api/form/attachment/f2675d63-e412-48e9-8fa8-53070c93c746/1579506853717.jpg")</f>
        <v>https://www.commcarehq.org/a/demo-18/api/form/attachment/f2675d63-e412-48e9-8fa8-53070c93c746/1579506853717.jpg</v>
      </c>
      <c r="M15" t="str">
        <f>HYPERLINK("https://www.commcarehq.org/a/demo-18/api/form/attachment/f2675d63-e412-48e9-8fa8-53070c93c746/1579506868581.jpg")</f>
        <v>https://www.commcarehq.org/a/demo-18/api/form/attachment/f2675d63-e412-48e9-8fa8-53070c93c746/1579506868581.jpg</v>
      </c>
      <c r="N15" t="str">
        <f>HYPERLINK("https://www.commcarehq.org/a/demo-18/api/form/attachment/f2675d63-e412-48e9-8fa8-53070c93c746/1579506897240.jpg")</f>
        <v>https://www.commcarehq.org/a/demo-18/api/form/attachment/f2675d63-e412-48e9-8fa8-53070c93c746/1579506897240.jpg</v>
      </c>
      <c r="O15" t="str">
        <f>HYPERLINK("https://www.commcarehq.org/a/demo-18/api/form/attachment/f2675d63-e412-48e9-8fa8-53070c93c746/1579506905612.jpg")</f>
        <v>https://www.commcarehq.org/a/demo-18/api/form/attachment/f2675d63-e412-48e9-8fa8-53070c93c746/1579506905612.jpg</v>
      </c>
      <c r="P15" t="str">
        <f>HYPERLINK("https://www.commcarehq.org/a/demo-18/api/form/attachment/f2675d63-e412-48e9-8fa8-53070c93c746/1579506919615.jpg")</f>
        <v>https://www.commcarehq.org/a/demo-18/api/form/attachment/f2675d63-e412-48e9-8fa8-53070c93c746/1579506919615.jpg</v>
      </c>
      <c r="Q15" t="str">
        <f>HYPERLINK("https://www.commcarehq.org/a/demo-18/api/form/attachment/f2675d63-e412-48e9-8fa8-53070c93c746/1579506929368.jpg")</f>
        <v>https://www.commcarehq.org/a/demo-18/api/form/attachment/f2675d63-e412-48e9-8fa8-53070c93c746/1579506929368.jpg</v>
      </c>
      <c r="R15" s="2">
        <v>43850.330208333333</v>
      </c>
      <c r="S15" s="2">
        <v>43850.328831018516</v>
      </c>
      <c r="T15" t="s">
        <v>32</v>
      </c>
      <c r="U15" s="2">
        <v>43850.330428240741</v>
      </c>
      <c r="V15" t="s">
        <v>1138</v>
      </c>
      <c r="W15" t="s">
        <v>1139</v>
      </c>
    </row>
    <row r="16" spans="1:23" x14ac:dyDescent="0.45">
      <c r="A16" t="s">
        <v>790</v>
      </c>
      <c r="B16">
        <v>7.5</v>
      </c>
      <c r="C16" s="1">
        <v>43840</v>
      </c>
      <c r="D16" s="1">
        <v>43810</v>
      </c>
      <c r="E16" t="s">
        <v>428</v>
      </c>
      <c r="F16" t="s">
        <v>429</v>
      </c>
      <c r="G16" t="s">
        <v>429</v>
      </c>
      <c r="H16" t="s">
        <v>429</v>
      </c>
      <c r="I16" t="s">
        <v>702</v>
      </c>
      <c r="J16" t="s">
        <v>428</v>
      </c>
      <c r="K16" t="s">
        <v>429</v>
      </c>
      <c r="L16" t="str">
        <f>HYPERLINK("https://www.commcarehq.org/a/demo-18/api/form/attachment/eceb01b4-3c24-4503-b7d0-b93ce177f3d1/1576051546063.jpg")</f>
        <v>https://www.commcarehq.org/a/demo-18/api/form/attachment/eceb01b4-3c24-4503-b7d0-b93ce177f3d1/1576051546063.jpg</v>
      </c>
      <c r="M16" t="str">
        <f>HYPERLINK("https://www.commcarehq.org/a/demo-18/api/form/attachment/eceb01b4-3c24-4503-b7d0-b93ce177f3d1/1576051560089.jpg")</f>
        <v>https://www.commcarehq.org/a/demo-18/api/form/attachment/eceb01b4-3c24-4503-b7d0-b93ce177f3d1/1576051560089.jpg</v>
      </c>
      <c r="N16" t="str">
        <f>HYPERLINK("https://www.commcarehq.org/a/demo-18/api/form/attachment/eceb01b4-3c24-4503-b7d0-b93ce177f3d1/1576051615344.jpg")</f>
        <v>https://www.commcarehq.org/a/demo-18/api/form/attachment/eceb01b4-3c24-4503-b7d0-b93ce177f3d1/1576051615344.jpg</v>
      </c>
      <c r="O16" t="str">
        <f>HYPERLINK("https://www.commcarehq.org/a/demo-18/api/form/attachment/eceb01b4-3c24-4503-b7d0-b93ce177f3d1/1576051623865.jpg")</f>
        <v>https://www.commcarehq.org/a/demo-18/api/form/attachment/eceb01b4-3c24-4503-b7d0-b93ce177f3d1/1576051623865.jpg</v>
      </c>
      <c r="P16" t="str">
        <f>HYPERLINK("https://www.commcarehq.org/a/demo-18/api/form/attachment/eceb01b4-3c24-4503-b7d0-b93ce177f3d1/1576051658227.jpg")</f>
        <v>https://www.commcarehq.org/a/demo-18/api/form/attachment/eceb01b4-3c24-4503-b7d0-b93ce177f3d1/1576051658227.jpg</v>
      </c>
      <c r="Q16" t="str">
        <f>HYPERLINK("https://www.commcarehq.org/a/demo-18/api/form/attachment/eceb01b4-3c24-4503-b7d0-b93ce177f3d1/1576051671626.jpg")</f>
        <v>https://www.commcarehq.org/a/demo-18/api/form/attachment/eceb01b4-3c24-4503-b7d0-b93ce177f3d1/1576051671626.jpg</v>
      </c>
      <c r="R16" s="2">
        <v>43810.338819444441</v>
      </c>
      <c r="S16" s="2">
        <v>43810.336782407408</v>
      </c>
      <c r="T16" t="s">
        <v>32</v>
      </c>
      <c r="U16" s="2">
        <v>43810.439664351848</v>
      </c>
      <c r="V16" t="s">
        <v>834</v>
      </c>
      <c r="W16" t="s">
        <v>835</v>
      </c>
    </row>
    <row r="17" spans="1:23" x14ac:dyDescent="0.45">
      <c r="A17" t="s">
        <v>653</v>
      </c>
      <c r="B17">
        <v>6.9</v>
      </c>
      <c r="C17" s="1">
        <v>43882</v>
      </c>
      <c r="D17" s="1">
        <v>43852</v>
      </c>
      <c r="E17" t="s">
        <v>428</v>
      </c>
      <c r="F17" t="s">
        <v>429</v>
      </c>
      <c r="G17" t="s">
        <v>429</v>
      </c>
      <c r="H17" t="s">
        <v>429</v>
      </c>
      <c r="I17" t="s">
        <v>1110</v>
      </c>
      <c r="J17" t="s">
        <v>428</v>
      </c>
      <c r="K17" t="s">
        <v>429</v>
      </c>
      <c r="L17" t="str">
        <f>HYPERLINK("https://www.commcarehq.org/a/demo-18/api/form/attachment/5671040a-e003-49d4-befd-5c2505f7cb2f/1579677537410.jpg")</f>
        <v>https://www.commcarehq.org/a/demo-18/api/form/attachment/5671040a-e003-49d4-befd-5c2505f7cb2f/1579677537410.jpg</v>
      </c>
      <c r="M17" t="str">
        <f>HYPERLINK("https://www.commcarehq.org/a/demo-18/api/form/attachment/5671040a-e003-49d4-befd-5c2505f7cb2f/1579677550812.jpg")</f>
        <v>https://www.commcarehq.org/a/demo-18/api/form/attachment/5671040a-e003-49d4-befd-5c2505f7cb2f/1579677550812.jpg</v>
      </c>
      <c r="N17" t="str">
        <f>HYPERLINK("https://www.commcarehq.org/a/demo-18/api/form/attachment/5671040a-e003-49d4-befd-5c2505f7cb2f/1579677592231.jpg")</f>
        <v>https://www.commcarehq.org/a/demo-18/api/form/attachment/5671040a-e003-49d4-befd-5c2505f7cb2f/1579677592231.jpg</v>
      </c>
      <c r="O17" t="str">
        <f>HYPERLINK("https://www.commcarehq.org/a/demo-18/api/form/attachment/5671040a-e003-49d4-befd-5c2505f7cb2f/1579677602031.jpg")</f>
        <v>https://www.commcarehq.org/a/demo-18/api/form/attachment/5671040a-e003-49d4-befd-5c2505f7cb2f/1579677602031.jpg</v>
      </c>
      <c r="P17" t="str">
        <f>HYPERLINK("https://www.commcarehq.org/a/demo-18/api/form/attachment/5671040a-e003-49d4-befd-5c2505f7cb2f/1579677618326.jpg")</f>
        <v>https://www.commcarehq.org/a/demo-18/api/form/attachment/5671040a-e003-49d4-befd-5c2505f7cb2f/1579677618326.jpg</v>
      </c>
      <c r="Q17" t="str">
        <f>HYPERLINK("https://www.commcarehq.org/a/demo-18/api/form/attachment/5671040a-e003-49d4-befd-5c2505f7cb2f/1579677628835.jpg")</f>
        <v>https://www.commcarehq.org/a/demo-18/api/form/attachment/5671040a-e003-49d4-befd-5c2505f7cb2f/1579677628835.jpg</v>
      </c>
      <c r="R17" s="2">
        <v>43852.305902777778</v>
      </c>
      <c r="S17" s="2">
        <v>43852.303946759261</v>
      </c>
      <c r="T17" t="s">
        <v>32</v>
      </c>
      <c r="U17" s="2">
        <v>43852.306134259263</v>
      </c>
      <c r="V17" t="s">
        <v>1274</v>
      </c>
      <c r="W17" t="s">
        <v>1275</v>
      </c>
    </row>
    <row r="18" spans="1:23" x14ac:dyDescent="0.45">
      <c r="A18" t="s">
        <v>650</v>
      </c>
      <c r="B18">
        <v>8.3000000000000007</v>
      </c>
      <c r="C18" s="1">
        <v>43882</v>
      </c>
      <c r="D18" s="1">
        <v>43852</v>
      </c>
      <c r="E18" t="s">
        <v>428</v>
      </c>
      <c r="F18" t="s">
        <v>429</v>
      </c>
      <c r="G18" t="s">
        <v>429</v>
      </c>
      <c r="H18" t="s">
        <v>429</v>
      </c>
      <c r="I18" t="s">
        <v>447</v>
      </c>
      <c r="J18" t="s">
        <v>428</v>
      </c>
      <c r="K18" t="s">
        <v>429</v>
      </c>
      <c r="L18" t="str">
        <f>HYPERLINK("https://www.commcarehq.org/a/demo-18/api/form/attachment/91e5b131-5568-48da-a47d-cbe83ad9b036/1579677168584.jpg")</f>
        <v>https://www.commcarehq.org/a/demo-18/api/form/attachment/91e5b131-5568-48da-a47d-cbe83ad9b036/1579677168584.jpg</v>
      </c>
      <c r="M18" t="str">
        <f>HYPERLINK("https://www.commcarehq.org/a/demo-18/api/form/attachment/91e5b131-5568-48da-a47d-cbe83ad9b036/1579677180296.jpg")</f>
        <v>https://www.commcarehq.org/a/demo-18/api/form/attachment/91e5b131-5568-48da-a47d-cbe83ad9b036/1579677180296.jpg</v>
      </c>
      <c r="N18" t="str">
        <f>HYPERLINK("https://www.commcarehq.org/a/demo-18/api/form/attachment/91e5b131-5568-48da-a47d-cbe83ad9b036/1579677237175.jpg")</f>
        <v>https://www.commcarehq.org/a/demo-18/api/form/attachment/91e5b131-5568-48da-a47d-cbe83ad9b036/1579677237175.jpg</v>
      </c>
      <c r="O18" t="str">
        <f>HYPERLINK("https://www.commcarehq.org/a/demo-18/api/form/attachment/91e5b131-5568-48da-a47d-cbe83ad9b036/1579677248983.jpg")</f>
        <v>https://www.commcarehq.org/a/demo-18/api/form/attachment/91e5b131-5568-48da-a47d-cbe83ad9b036/1579677248983.jpg</v>
      </c>
      <c r="P18" t="str">
        <f>HYPERLINK("https://www.commcarehq.org/a/demo-18/api/form/attachment/91e5b131-5568-48da-a47d-cbe83ad9b036/1579677262148.jpg")</f>
        <v>https://www.commcarehq.org/a/demo-18/api/form/attachment/91e5b131-5568-48da-a47d-cbe83ad9b036/1579677262148.jpg</v>
      </c>
      <c r="Q18" t="str">
        <f>HYPERLINK("https://www.commcarehq.org/a/demo-18/api/form/attachment/91e5b131-5568-48da-a47d-cbe83ad9b036/1579677271271.jpg")</f>
        <v>https://www.commcarehq.org/a/demo-18/api/form/attachment/91e5b131-5568-48da-a47d-cbe83ad9b036/1579677271271.jpg</v>
      </c>
      <c r="R18" s="2">
        <v>43852.301770833335</v>
      </c>
      <c r="S18" s="2">
        <v>43852.299976851849</v>
      </c>
      <c r="T18" t="s">
        <v>32</v>
      </c>
      <c r="U18" s="2">
        <v>43852.302870370368</v>
      </c>
      <c r="V18" t="s">
        <v>1276</v>
      </c>
      <c r="W18" t="s">
        <v>1277</v>
      </c>
    </row>
    <row r="19" spans="1:23" x14ac:dyDescent="0.45">
      <c r="A19" t="s">
        <v>622</v>
      </c>
      <c r="B19">
        <v>6.8</v>
      </c>
      <c r="C19" s="1">
        <v>43883</v>
      </c>
      <c r="D19" s="1">
        <v>43853</v>
      </c>
      <c r="E19" t="s">
        <v>428</v>
      </c>
      <c r="F19" t="s">
        <v>429</v>
      </c>
      <c r="G19" t="s">
        <v>429</v>
      </c>
      <c r="H19" t="s">
        <v>429</v>
      </c>
      <c r="I19" t="s">
        <v>484</v>
      </c>
      <c r="J19" t="s">
        <v>428</v>
      </c>
      <c r="K19" t="s">
        <v>429</v>
      </c>
      <c r="L19" t="str">
        <f>HYPERLINK("https://www.commcarehq.org/a/demo-18/api/form/attachment/45c272ba-a1ae-4aef-ad63-8b2d64bd2d87/1579760697830.jpg")</f>
        <v>https://www.commcarehq.org/a/demo-18/api/form/attachment/45c272ba-a1ae-4aef-ad63-8b2d64bd2d87/1579760697830.jpg</v>
      </c>
      <c r="M19" t="str">
        <f>HYPERLINK("https://www.commcarehq.org/a/demo-18/api/form/attachment/45c272ba-a1ae-4aef-ad63-8b2d64bd2d87/1579760714353.jpg")</f>
        <v>https://www.commcarehq.org/a/demo-18/api/form/attachment/45c272ba-a1ae-4aef-ad63-8b2d64bd2d87/1579760714353.jpg</v>
      </c>
      <c r="N19" t="str">
        <f>HYPERLINK("https://www.commcarehq.org/a/demo-18/api/form/attachment/45c272ba-a1ae-4aef-ad63-8b2d64bd2d87/1579760747358.jpg")</f>
        <v>https://www.commcarehq.org/a/demo-18/api/form/attachment/45c272ba-a1ae-4aef-ad63-8b2d64bd2d87/1579760747358.jpg</v>
      </c>
      <c r="O19" t="str">
        <f>HYPERLINK("https://www.commcarehq.org/a/demo-18/api/form/attachment/45c272ba-a1ae-4aef-ad63-8b2d64bd2d87/1579760758678.jpg")</f>
        <v>https://www.commcarehq.org/a/demo-18/api/form/attachment/45c272ba-a1ae-4aef-ad63-8b2d64bd2d87/1579760758678.jpg</v>
      </c>
      <c r="P19" t="str">
        <f>HYPERLINK("https://www.commcarehq.org/a/demo-18/api/form/attachment/45c272ba-a1ae-4aef-ad63-8b2d64bd2d87/1579760793100.jpg")</f>
        <v>https://www.commcarehq.org/a/demo-18/api/form/attachment/45c272ba-a1ae-4aef-ad63-8b2d64bd2d87/1579760793100.jpg</v>
      </c>
      <c r="Q19" t="str">
        <f>HYPERLINK("https://www.commcarehq.org/a/demo-18/api/form/attachment/45c272ba-a1ae-4aef-ad63-8b2d64bd2d87/1579760806267.jpg")</f>
        <v>https://www.commcarehq.org/a/demo-18/api/form/attachment/45c272ba-a1ae-4aef-ad63-8b2d64bd2d87/1579760806267.jpg</v>
      </c>
      <c r="R19" s="2">
        <v>43853.268611111111</v>
      </c>
      <c r="S19" s="2">
        <v>43853.266805555555</v>
      </c>
      <c r="T19" t="s">
        <v>32</v>
      </c>
      <c r="U19" s="2">
        <v>43853.356423611112</v>
      </c>
      <c r="V19" t="s">
        <v>1270</v>
      </c>
      <c r="W19" t="s">
        <v>1271</v>
      </c>
    </row>
    <row r="20" spans="1:23" x14ac:dyDescent="0.45">
      <c r="A20" t="s">
        <v>553</v>
      </c>
      <c r="B20">
        <v>6.2</v>
      </c>
      <c r="C20" s="1">
        <v>43883</v>
      </c>
      <c r="D20" s="1">
        <v>43853</v>
      </c>
      <c r="E20" t="s">
        <v>428</v>
      </c>
      <c r="F20" t="s">
        <v>429</v>
      </c>
      <c r="G20" t="s">
        <v>429</v>
      </c>
      <c r="H20" t="s">
        <v>429</v>
      </c>
      <c r="I20" t="s">
        <v>447</v>
      </c>
      <c r="J20" t="s">
        <v>428</v>
      </c>
      <c r="K20" t="s">
        <v>429</v>
      </c>
      <c r="L20" t="str">
        <f>HYPERLINK("https://www.commcarehq.org/a/demo-18/api/form/attachment/16087406-44a5-4f09-9f0e-46c664c2f4b0/1579760373191.jpg")</f>
        <v>https://www.commcarehq.org/a/demo-18/api/form/attachment/16087406-44a5-4f09-9f0e-46c664c2f4b0/1579760373191.jpg</v>
      </c>
      <c r="M20" t="str">
        <f>HYPERLINK("https://www.commcarehq.org/a/demo-18/api/form/attachment/16087406-44a5-4f09-9f0e-46c664c2f4b0/1579760386187.jpg")</f>
        <v>https://www.commcarehq.org/a/demo-18/api/form/attachment/16087406-44a5-4f09-9f0e-46c664c2f4b0/1579760386187.jpg</v>
      </c>
      <c r="N20" t="str">
        <f>HYPERLINK("https://www.commcarehq.org/a/demo-18/api/form/attachment/16087406-44a5-4f09-9f0e-46c664c2f4b0/1579760433571.jpg")</f>
        <v>https://www.commcarehq.org/a/demo-18/api/form/attachment/16087406-44a5-4f09-9f0e-46c664c2f4b0/1579760433571.jpg</v>
      </c>
      <c r="O20" t="str">
        <f>HYPERLINK("https://www.commcarehq.org/a/demo-18/api/form/attachment/16087406-44a5-4f09-9f0e-46c664c2f4b0/1579760443872.jpg")</f>
        <v>https://www.commcarehq.org/a/demo-18/api/form/attachment/16087406-44a5-4f09-9f0e-46c664c2f4b0/1579760443872.jpg</v>
      </c>
      <c r="P20" t="str">
        <f>HYPERLINK("https://www.commcarehq.org/a/demo-18/api/form/attachment/16087406-44a5-4f09-9f0e-46c664c2f4b0/1579760456127.jpg")</f>
        <v>https://www.commcarehq.org/a/demo-18/api/form/attachment/16087406-44a5-4f09-9f0e-46c664c2f4b0/1579760456127.jpg</v>
      </c>
      <c r="Q20" t="str">
        <f>HYPERLINK("https://www.commcarehq.org/a/demo-18/api/form/attachment/16087406-44a5-4f09-9f0e-46c664c2f4b0/1579760464482.jpg")</f>
        <v>https://www.commcarehq.org/a/demo-18/api/form/attachment/16087406-44a5-4f09-9f0e-46c664c2f4b0/1579760464482.jpg</v>
      </c>
      <c r="R20" s="2">
        <v>43853.264652777776</v>
      </c>
      <c r="S20" s="2">
        <v>43853.263182870367</v>
      </c>
      <c r="T20" t="s">
        <v>32</v>
      </c>
      <c r="U20" s="2">
        <v>43853.356261574074</v>
      </c>
      <c r="V20" t="s">
        <v>1282</v>
      </c>
      <c r="W20" t="s">
        <v>1283</v>
      </c>
    </row>
    <row r="21" spans="1:23" x14ac:dyDescent="0.45">
      <c r="A21" t="s">
        <v>638</v>
      </c>
      <c r="B21">
        <v>6.3</v>
      </c>
      <c r="C21" s="1">
        <v>43883</v>
      </c>
      <c r="D21" s="1">
        <v>43853</v>
      </c>
      <c r="E21" t="s">
        <v>428</v>
      </c>
      <c r="F21" t="s">
        <v>429</v>
      </c>
      <c r="G21" t="s">
        <v>429</v>
      </c>
      <c r="H21" t="s">
        <v>429</v>
      </c>
      <c r="I21" t="s">
        <v>484</v>
      </c>
      <c r="J21" t="s">
        <v>428</v>
      </c>
      <c r="K21" t="s">
        <v>429</v>
      </c>
      <c r="L21" t="str">
        <f>HYPERLINK("https://www.commcarehq.org/a/demo-18/api/form/attachment/d7292136-f46a-487e-a87d-2f3f5a8102cf/1579762520507.jpg")</f>
        <v>https://www.commcarehq.org/a/demo-18/api/form/attachment/d7292136-f46a-487e-a87d-2f3f5a8102cf/1579762520507.jpg</v>
      </c>
      <c r="M21" t="str">
        <f>HYPERLINK("https://www.commcarehq.org/a/demo-18/api/form/attachment/d7292136-f46a-487e-a87d-2f3f5a8102cf/1579762535704.jpg")</f>
        <v>https://www.commcarehq.org/a/demo-18/api/form/attachment/d7292136-f46a-487e-a87d-2f3f5a8102cf/1579762535704.jpg</v>
      </c>
      <c r="N21" t="str">
        <f>HYPERLINK("https://www.commcarehq.org/a/demo-18/api/form/attachment/d7292136-f46a-487e-a87d-2f3f5a8102cf/1579762593327.jpg")</f>
        <v>https://www.commcarehq.org/a/demo-18/api/form/attachment/d7292136-f46a-487e-a87d-2f3f5a8102cf/1579762593327.jpg</v>
      </c>
      <c r="O21" t="str">
        <f>HYPERLINK("https://www.commcarehq.org/a/demo-18/api/form/attachment/d7292136-f46a-487e-a87d-2f3f5a8102cf/1579762602775.jpg")</f>
        <v>https://www.commcarehq.org/a/demo-18/api/form/attachment/d7292136-f46a-487e-a87d-2f3f5a8102cf/1579762602775.jpg</v>
      </c>
      <c r="P21" t="str">
        <f>HYPERLINK("https://www.commcarehq.org/a/demo-18/api/form/attachment/d7292136-f46a-487e-a87d-2f3f5a8102cf/1579762623597.jpg")</f>
        <v>https://www.commcarehq.org/a/demo-18/api/form/attachment/d7292136-f46a-487e-a87d-2f3f5a8102cf/1579762623597.jpg</v>
      </c>
      <c r="Q21" t="str">
        <f>HYPERLINK("https://www.commcarehq.org/a/demo-18/api/form/attachment/d7292136-f46a-487e-a87d-2f3f5a8102cf/1579762634077.jpg")</f>
        <v>https://www.commcarehq.org/a/demo-18/api/form/attachment/d7292136-f46a-487e-a87d-2f3f5a8102cf/1579762634077.jpg</v>
      </c>
      <c r="R21" s="2">
        <v>43853.289756944447</v>
      </c>
      <c r="S21" s="2">
        <v>43853.28806712963</v>
      </c>
      <c r="T21" t="s">
        <v>32</v>
      </c>
      <c r="U21" s="2">
        <v>43853.357662037037</v>
      </c>
      <c r="V21" t="s">
        <v>1284</v>
      </c>
      <c r="W21" t="s">
        <v>1285</v>
      </c>
    </row>
    <row r="22" spans="1:23" x14ac:dyDescent="0.45">
      <c r="A22" t="s">
        <v>656</v>
      </c>
      <c r="B22">
        <v>5.7</v>
      </c>
      <c r="C22" s="1">
        <v>43883</v>
      </c>
      <c r="D22" s="1">
        <v>43853</v>
      </c>
      <c r="E22" t="s">
        <v>428</v>
      </c>
      <c r="F22" t="s">
        <v>429</v>
      </c>
      <c r="G22" t="s">
        <v>429</v>
      </c>
      <c r="H22" t="s">
        <v>429</v>
      </c>
      <c r="I22" t="s">
        <v>484</v>
      </c>
      <c r="J22" t="s">
        <v>428</v>
      </c>
      <c r="K22" t="s">
        <v>429</v>
      </c>
      <c r="L22" t="str">
        <f>HYPERLINK("https://www.commcarehq.org/a/demo-18/api/form/attachment/1c3a6760-e2bc-49b6-9936-9a63dce43d9a/1579762732566.jpg")</f>
        <v>https://www.commcarehq.org/a/demo-18/api/form/attachment/1c3a6760-e2bc-49b6-9936-9a63dce43d9a/1579762732566.jpg</v>
      </c>
      <c r="M22" t="str">
        <f>HYPERLINK("https://www.commcarehq.org/a/demo-18/api/form/attachment/1c3a6760-e2bc-49b6-9936-9a63dce43d9a/1579762746888.jpg")</f>
        <v>https://www.commcarehq.org/a/demo-18/api/form/attachment/1c3a6760-e2bc-49b6-9936-9a63dce43d9a/1579762746888.jpg</v>
      </c>
      <c r="N22" t="str">
        <f>HYPERLINK("https://www.commcarehq.org/a/demo-18/api/form/attachment/1c3a6760-e2bc-49b6-9936-9a63dce43d9a/1579762862062.jpg")</f>
        <v>https://www.commcarehq.org/a/demo-18/api/form/attachment/1c3a6760-e2bc-49b6-9936-9a63dce43d9a/1579762862062.jpg</v>
      </c>
      <c r="O22" t="str">
        <f>HYPERLINK("https://www.commcarehq.org/a/demo-18/api/form/attachment/1c3a6760-e2bc-49b6-9936-9a63dce43d9a/1579762872001.jpg")</f>
        <v>https://www.commcarehq.org/a/demo-18/api/form/attachment/1c3a6760-e2bc-49b6-9936-9a63dce43d9a/1579762872001.jpg</v>
      </c>
      <c r="P22" t="str">
        <f>HYPERLINK("https://www.commcarehq.org/a/demo-18/api/form/attachment/1c3a6760-e2bc-49b6-9936-9a63dce43d9a/1579762884235.jpg")</f>
        <v>https://www.commcarehq.org/a/demo-18/api/form/attachment/1c3a6760-e2bc-49b6-9936-9a63dce43d9a/1579762884235.jpg</v>
      </c>
      <c r="Q22" t="str">
        <f>HYPERLINK("https://www.commcarehq.org/a/demo-18/api/form/attachment/1c3a6760-e2bc-49b6-9936-9a63dce43d9a/1579762892700.jpg")</f>
        <v>https://www.commcarehq.org/a/demo-18/api/form/attachment/1c3a6760-e2bc-49b6-9936-9a63dce43d9a/1579762892700.jpg</v>
      </c>
      <c r="R22" s="2">
        <v>43853.292754629627</v>
      </c>
      <c r="S22" s="2">
        <v>43853.290462962963</v>
      </c>
      <c r="T22" t="s">
        <v>32</v>
      </c>
      <c r="U22" s="2">
        <v>43853.357928240737</v>
      </c>
      <c r="V22" t="s">
        <v>1280</v>
      </c>
      <c r="W22" t="s">
        <v>1281</v>
      </c>
    </row>
    <row r="23" spans="1:23" x14ac:dyDescent="0.45">
      <c r="A23" t="s">
        <v>665</v>
      </c>
      <c r="B23">
        <v>8.1999999999999993</v>
      </c>
      <c r="C23" s="1">
        <v>43887</v>
      </c>
      <c r="D23" s="1">
        <v>43857</v>
      </c>
      <c r="E23" t="s">
        <v>428</v>
      </c>
      <c r="F23" t="s">
        <v>429</v>
      </c>
      <c r="G23" t="s">
        <v>429</v>
      </c>
      <c r="H23" t="s">
        <v>429</v>
      </c>
      <c r="I23" t="s">
        <v>447</v>
      </c>
      <c r="J23" t="s">
        <v>428</v>
      </c>
      <c r="K23" t="s">
        <v>429</v>
      </c>
      <c r="L23" t="str">
        <f>HYPERLINK("https://www.commcarehq.org/a/demo-18/api/form/attachment/8fb172b3-8465-47d2-b14a-0269072661a6/1580112200493.jpg")</f>
        <v>https://www.commcarehq.org/a/demo-18/api/form/attachment/8fb172b3-8465-47d2-b14a-0269072661a6/1580112200493.jpg</v>
      </c>
      <c r="M23" t="str">
        <f>HYPERLINK("https://www.commcarehq.org/a/demo-18/api/form/attachment/8fb172b3-8465-47d2-b14a-0269072661a6/1580112218276.jpg")</f>
        <v>https://www.commcarehq.org/a/demo-18/api/form/attachment/8fb172b3-8465-47d2-b14a-0269072661a6/1580112218276.jpg</v>
      </c>
      <c r="N23" t="str">
        <f>HYPERLINK("https://www.commcarehq.org/a/demo-18/api/form/attachment/8fb172b3-8465-47d2-b14a-0269072661a6/1580112245419.jpg")</f>
        <v>https://www.commcarehq.org/a/demo-18/api/form/attachment/8fb172b3-8465-47d2-b14a-0269072661a6/1580112245419.jpg</v>
      </c>
      <c r="O23" t="str">
        <f>HYPERLINK("https://www.commcarehq.org/a/demo-18/api/form/attachment/8fb172b3-8465-47d2-b14a-0269072661a6/1580112255287.jpg")</f>
        <v>https://www.commcarehq.org/a/demo-18/api/form/attachment/8fb172b3-8465-47d2-b14a-0269072661a6/1580112255287.jpg</v>
      </c>
      <c r="P23" t="str">
        <f>HYPERLINK("https://www.commcarehq.org/a/demo-18/api/form/attachment/8fb172b3-8465-47d2-b14a-0269072661a6/1580112270876.jpg")</f>
        <v>https://www.commcarehq.org/a/demo-18/api/form/attachment/8fb172b3-8465-47d2-b14a-0269072661a6/1580112270876.jpg</v>
      </c>
      <c r="Q23" t="str">
        <f>HYPERLINK("https://www.commcarehq.org/a/demo-18/api/form/attachment/8fb172b3-8465-47d2-b14a-0269072661a6/1580112281214.jpg")</f>
        <v>https://www.commcarehq.org/a/demo-18/api/form/attachment/8fb172b3-8465-47d2-b14a-0269072661a6/1580112281214.jpg</v>
      </c>
      <c r="R23" s="2">
        <v>43857.336597222224</v>
      </c>
      <c r="S23" s="2">
        <v>43857.335011574076</v>
      </c>
      <c r="T23" t="s">
        <v>32</v>
      </c>
      <c r="U23" s="2">
        <v>43857.336863425924</v>
      </c>
      <c r="V23" t="s">
        <v>1278</v>
      </c>
      <c r="W23" t="s">
        <v>1279</v>
      </c>
    </row>
    <row r="24" spans="1:23" x14ac:dyDescent="0.45">
      <c r="A24" t="s">
        <v>760</v>
      </c>
      <c r="B24">
        <v>7.5</v>
      </c>
      <c r="C24" s="1">
        <v>43859</v>
      </c>
      <c r="D24" s="1">
        <v>43829</v>
      </c>
      <c r="E24" t="s">
        <v>428</v>
      </c>
      <c r="F24" t="s">
        <v>429</v>
      </c>
      <c r="G24" t="s">
        <v>429</v>
      </c>
      <c r="H24" t="s">
        <v>429</v>
      </c>
      <c r="I24" t="s">
        <v>447</v>
      </c>
      <c r="J24" t="s">
        <v>428</v>
      </c>
      <c r="K24" t="s">
        <v>429</v>
      </c>
      <c r="L24" t="str">
        <f>HYPERLINK("https://www.commcarehq.org/a/demo-18/api/form/attachment/bd80e518-aeea-4acb-8e53-537717524373/1577686518893.jpg")</f>
        <v>https://www.commcarehq.org/a/demo-18/api/form/attachment/bd80e518-aeea-4acb-8e53-537717524373/1577686518893.jpg</v>
      </c>
      <c r="M24" t="str">
        <f>HYPERLINK("https://www.commcarehq.org/a/demo-18/api/form/attachment/bd80e518-aeea-4acb-8e53-537717524373/1577686534610.jpg")</f>
        <v>https://www.commcarehq.org/a/demo-18/api/form/attachment/bd80e518-aeea-4acb-8e53-537717524373/1577686534610.jpg</v>
      </c>
      <c r="N24" t="str">
        <f>HYPERLINK("https://www.commcarehq.org/a/demo-18/api/form/attachment/bd80e518-aeea-4acb-8e53-537717524373/1577686591025.jpg")</f>
        <v>https://www.commcarehq.org/a/demo-18/api/form/attachment/bd80e518-aeea-4acb-8e53-537717524373/1577686591025.jpg</v>
      </c>
      <c r="O24" t="str">
        <f>HYPERLINK("https://www.commcarehq.org/a/demo-18/api/form/attachment/bd80e518-aeea-4acb-8e53-537717524373/1577686601676.jpg")</f>
        <v>https://www.commcarehq.org/a/demo-18/api/form/attachment/bd80e518-aeea-4acb-8e53-537717524373/1577686601676.jpg</v>
      </c>
      <c r="P24" t="str">
        <f>HYPERLINK("https://www.commcarehq.org/a/demo-18/api/form/attachment/bd80e518-aeea-4acb-8e53-537717524373/1577686624159.jpg")</f>
        <v>https://www.commcarehq.org/a/demo-18/api/form/attachment/bd80e518-aeea-4acb-8e53-537717524373/1577686624159.jpg</v>
      </c>
      <c r="Q24" t="str">
        <f>HYPERLINK("https://www.commcarehq.org/a/demo-18/api/form/attachment/bd80e518-aeea-4acb-8e53-537717524373/1577686640594.jpg")</f>
        <v>https://www.commcarehq.org/a/demo-18/api/form/attachment/bd80e518-aeea-4acb-8e53-537717524373/1577686640594.jpg</v>
      </c>
      <c r="R24" s="2">
        <v>43829.262060185189</v>
      </c>
      <c r="S24" s="2">
        <v>43829.259016203701</v>
      </c>
      <c r="T24" t="s">
        <v>32</v>
      </c>
      <c r="U24" s="2">
        <v>43830.187939814816</v>
      </c>
      <c r="V24" t="s">
        <v>945</v>
      </c>
      <c r="W24" t="s">
        <v>946</v>
      </c>
    </row>
    <row r="25" spans="1:23" x14ac:dyDescent="0.45">
      <c r="A25" t="s">
        <v>556</v>
      </c>
      <c r="B25">
        <v>8.5</v>
      </c>
      <c r="C25" s="1">
        <v>43887</v>
      </c>
      <c r="D25" s="1">
        <v>43857</v>
      </c>
      <c r="E25" t="s">
        <v>428</v>
      </c>
      <c r="F25" t="s">
        <v>429</v>
      </c>
      <c r="G25" t="s">
        <v>429</v>
      </c>
      <c r="H25" t="s">
        <v>429</v>
      </c>
      <c r="I25" t="s">
        <v>498</v>
      </c>
      <c r="J25" t="s">
        <v>428</v>
      </c>
      <c r="K25" t="s">
        <v>429</v>
      </c>
      <c r="L25" t="str">
        <f>HYPERLINK("https://www.commcarehq.org/a/demo-18/api/form/attachment/5d2fe091-b3d7-4c77-9004-0f7b52e1ec82/1580112513263.jpg")</f>
        <v>https://www.commcarehq.org/a/demo-18/api/form/attachment/5d2fe091-b3d7-4c77-9004-0f7b52e1ec82/1580112513263.jpg</v>
      </c>
      <c r="M25" t="str">
        <f>HYPERLINK("https://www.commcarehq.org/a/demo-18/api/form/attachment/5d2fe091-b3d7-4c77-9004-0f7b52e1ec82/1580112542558.jpg")</f>
        <v>https://www.commcarehq.org/a/demo-18/api/form/attachment/5d2fe091-b3d7-4c77-9004-0f7b52e1ec82/1580112542558.jpg</v>
      </c>
      <c r="N25" t="str">
        <f>HYPERLINK("https://www.commcarehq.org/a/demo-18/api/form/attachment/5d2fe091-b3d7-4c77-9004-0f7b52e1ec82/1580112587767.jpg")</f>
        <v>https://www.commcarehq.org/a/demo-18/api/form/attachment/5d2fe091-b3d7-4c77-9004-0f7b52e1ec82/1580112587767.jpg</v>
      </c>
      <c r="O25" t="str">
        <f>HYPERLINK("https://www.commcarehq.org/a/demo-18/api/form/attachment/5d2fe091-b3d7-4c77-9004-0f7b52e1ec82/1580112597518.jpg")</f>
        <v>https://www.commcarehq.org/a/demo-18/api/form/attachment/5d2fe091-b3d7-4c77-9004-0f7b52e1ec82/1580112597518.jpg</v>
      </c>
      <c r="P25" t="str">
        <f>HYPERLINK("https://www.commcarehq.org/a/demo-18/api/form/attachment/5d2fe091-b3d7-4c77-9004-0f7b52e1ec82/1580112613659.jpg")</f>
        <v>https://www.commcarehq.org/a/demo-18/api/form/attachment/5d2fe091-b3d7-4c77-9004-0f7b52e1ec82/1580112613659.jpg</v>
      </c>
      <c r="Q25" t="str">
        <f>HYPERLINK("https://www.commcarehq.org/a/demo-18/api/form/attachment/5d2fe091-b3d7-4c77-9004-0f7b52e1ec82/1580112623786.jpg")</f>
        <v>https://www.commcarehq.org/a/demo-18/api/form/attachment/5d2fe091-b3d7-4c77-9004-0f7b52e1ec82/1580112623786.jpg</v>
      </c>
      <c r="R25" s="2">
        <v>43857.340567129628</v>
      </c>
      <c r="S25" s="2">
        <v>43857.338773148149</v>
      </c>
      <c r="T25" t="s">
        <v>32</v>
      </c>
      <c r="U25" s="2">
        <v>43857.340810185182</v>
      </c>
      <c r="V25" t="s">
        <v>1260</v>
      </c>
      <c r="W25" t="s">
        <v>1261</v>
      </c>
    </row>
    <row r="26" spans="1:23" x14ac:dyDescent="0.45">
      <c r="A26" t="s">
        <v>734</v>
      </c>
      <c r="B26">
        <v>6.4</v>
      </c>
      <c r="C26" s="1">
        <v>43866</v>
      </c>
      <c r="D26" s="1">
        <v>43836</v>
      </c>
      <c r="E26" t="s">
        <v>428</v>
      </c>
      <c r="F26" t="s">
        <v>429</v>
      </c>
      <c r="G26" t="s">
        <v>429</v>
      </c>
      <c r="H26" t="s">
        <v>429</v>
      </c>
      <c r="I26" t="s">
        <v>430</v>
      </c>
      <c r="J26" t="s">
        <v>428</v>
      </c>
      <c r="K26" t="s">
        <v>429</v>
      </c>
      <c r="L26" t="str">
        <f>HYPERLINK("https://www.commcarehq.org/a/demo-18/api/form/attachment/b224cee9-1d49-4286-9733-4736fc19e924/1578299036342.jpg")</f>
        <v>https://www.commcarehq.org/a/demo-18/api/form/attachment/b224cee9-1d49-4286-9733-4736fc19e924/1578299036342.jpg</v>
      </c>
      <c r="M26" t="str">
        <f>HYPERLINK("https://www.commcarehq.org/a/demo-18/api/form/attachment/b224cee9-1d49-4286-9733-4736fc19e924/1578299056512.jpg")</f>
        <v>https://www.commcarehq.org/a/demo-18/api/form/attachment/b224cee9-1d49-4286-9733-4736fc19e924/1578299056512.jpg</v>
      </c>
      <c r="N26" t="str">
        <f>HYPERLINK("https://www.commcarehq.org/a/demo-18/api/form/attachment/b224cee9-1d49-4286-9733-4736fc19e924/1578299617750.jpg")</f>
        <v>https://www.commcarehq.org/a/demo-18/api/form/attachment/b224cee9-1d49-4286-9733-4736fc19e924/1578299617750.jpg</v>
      </c>
      <c r="O26" t="str">
        <f>HYPERLINK("https://www.commcarehq.org/a/demo-18/api/form/attachment/b224cee9-1d49-4286-9733-4736fc19e924/1578299628349.jpg")</f>
        <v>https://www.commcarehq.org/a/demo-18/api/form/attachment/b224cee9-1d49-4286-9733-4736fc19e924/1578299628349.jpg</v>
      </c>
      <c r="P26" t="str">
        <f>HYPERLINK("https://www.commcarehq.org/a/demo-18/api/form/attachment/b224cee9-1d49-4286-9733-4736fc19e924/1578299656745.jpg")</f>
        <v>https://www.commcarehq.org/a/demo-18/api/form/attachment/b224cee9-1d49-4286-9733-4736fc19e924/1578299656745.jpg</v>
      </c>
      <c r="Q26" t="str">
        <f>HYPERLINK("https://www.commcarehq.org/a/demo-18/api/form/attachment/b224cee9-1d49-4286-9733-4736fc19e924/1578299672053.jpg")</f>
        <v>https://www.commcarehq.org/a/demo-18/api/form/attachment/b224cee9-1d49-4286-9733-4736fc19e924/1578299672053.jpg</v>
      </c>
      <c r="R26" s="2">
        <v>43836.35733796296</v>
      </c>
      <c r="S26" s="2">
        <v>43836.349259259259</v>
      </c>
      <c r="T26" t="s">
        <v>32</v>
      </c>
      <c r="U26" s="2">
        <v>43836.364398148151</v>
      </c>
      <c r="V26" t="s">
        <v>1007</v>
      </c>
      <c r="W26" t="s">
        <v>1008</v>
      </c>
    </row>
    <row r="27" spans="1:23" x14ac:dyDescent="0.45">
      <c r="A27" t="s">
        <v>793</v>
      </c>
      <c r="B27">
        <v>7.3</v>
      </c>
      <c r="C27" s="1">
        <v>43855</v>
      </c>
      <c r="D27" s="1">
        <v>43825</v>
      </c>
      <c r="E27" t="s">
        <v>428</v>
      </c>
      <c r="F27" t="s">
        <v>429</v>
      </c>
      <c r="G27" t="s">
        <v>429</v>
      </c>
      <c r="H27" t="s">
        <v>429</v>
      </c>
      <c r="I27" t="s">
        <v>447</v>
      </c>
      <c r="J27" t="s">
        <v>428</v>
      </c>
      <c r="K27" t="s">
        <v>429</v>
      </c>
      <c r="L27" t="str">
        <f>HYPERLINK("https://www.commcarehq.org/a/demo-18/api/form/attachment/2b969e79-7d9f-4a65-b4a4-3357e6ac59df/1577349009624.jpg")</f>
        <v>https://www.commcarehq.org/a/demo-18/api/form/attachment/2b969e79-7d9f-4a65-b4a4-3357e6ac59df/1577349009624.jpg</v>
      </c>
      <c r="M27" t="str">
        <f>HYPERLINK("https://www.commcarehq.org/a/demo-18/api/form/attachment/2b969e79-7d9f-4a65-b4a4-3357e6ac59df/1577349028875.jpg")</f>
        <v>https://www.commcarehq.org/a/demo-18/api/form/attachment/2b969e79-7d9f-4a65-b4a4-3357e6ac59df/1577349028875.jpg</v>
      </c>
      <c r="N27" t="str">
        <f>HYPERLINK("https://www.commcarehq.org/a/demo-18/api/form/attachment/2b969e79-7d9f-4a65-b4a4-3357e6ac59df/1577349129477.jpg")</f>
        <v>https://www.commcarehq.org/a/demo-18/api/form/attachment/2b969e79-7d9f-4a65-b4a4-3357e6ac59df/1577349129477.jpg</v>
      </c>
      <c r="O27" t="str">
        <f>HYPERLINK("https://www.commcarehq.org/a/demo-18/api/form/attachment/2b969e79-7d9f-4a65-b4a4-3357e6ac59df/1577349140043.jpg")</f>
        <v>https://www.commcarehq.org/a/demo-18/api/form/attachment/2b969e79-7d9f-4a65-b4a4-3357e6ac59df/1577349140043.jpg</v>
      </c>
      <c r="P27" t="str">
        <f>HYPERLINK("https://www.commcarehq.org/a/demo-18/api/form/attachment/2b969e79-7d9f-4a65-b4a4-3357e6ac59df/1577349163331.jpg")</f>
        <v>https://www.commcarehq.org/a/demo-18/api/form/attachment/2b969e79-7d9f-4a65-b4a4-3357e6ac59df/1577349163331.jpg</v>
      </c>
      <c r="Q27" t="str">
        <f>HYPERLINK("https://www.commcarehq.org/a/demo-18/api/form/attachment/2b969e79-7d9f-4a65-b4a4-3357e6ac59df/1577349172367.jpg")</f>
        <v>https://www.commcarehq.org/a/demo-18/api/form/attachment/2b969e79-7d9f-4a65-b4a4-3357e6ac59df/1577349172367.jpg</v>
      </c>
      <c r="R27" s="2">
        <v>43825.356180555558</v>
      </c>
      <c r="S27" s="2">
        <v>43825.353784722225</v>
      </c>
      <c r="T27" t="s">
        <v>32</v>
      </c>
      <c r="U27" s="2">
        <v>43825.759513888886</v>
      </c>
      <c r="V27" t="s">
        <v>951</v>
      </c>
      <c r="W27" t="s">
        <v>952</v>
      </c>
    </row>
    <row r="28" spans="1:23" x14ac:dyDescent="0.45">
      <c r="A28" t="s">
        <v>766</v>
      </c>
      <c r="B28">
        <v>7.8</v>
      </c>
      <c r="C28" s="1">
        <v>43887</v>
      </c>
      <c r="D28" s="1">
        <v>43857</v>
      </c>
      <c r="E28" t="s">
        <v>428</v>
      </c>
      <c r="F28" t="s">
        <v>429</v>
      </c>
      <c r="G28" t="s">
        <v>429</v>
      </c>
      <c r="H28" t="s">
        <v>429</v>
      </c>
      <c r="I28" t="s">
        <v>498</v>
      </c>
      <c r="J28" t="s">
        <v>428</v>
      </c>
      <c r="K28" t="s">
        <v>429</v>
      </c>
      <c r="L28" t="str">
        <f>HYPERLINK("https://www.commcarehq.org/a/demo-18/api/form/attachment/ef6520a8-1474-4222-8ee9-7a10008a609e/1580111371832.jpg")</f>
        <v>https://www.commcarehq.org/a/demo-18/api/form/attachment/ef6520a8-1474-4222-8ee9-7a10008a609e/1580111371832.jpg</v>
      </c>
      <c r="M28" t="str">
        <f>HYPERLINK("https://www.commcarehq.org/a/demo-18/api/form/attachment/ef6520a8-1474-4222-8ee9-7a10008a609e/1580111389083.jpg")</f>
        <v>https://www.commcarehq.org/a/demo-18/api/form/attachment/ef6520a8-1474-4222-8ee9-7a10008a609e/1580111389083.jpg</v>
      </c>
      <c r="N28" t="str">
        <f>HYPERLINK("https://www.commcarehq.org/a/demo-18/api/form/attachment/ef6520a8-1474-4222-8ee9-7a10008a609e/1580111500686.jpg")</f>
        <v>https://www.commcarehq.org/a/demo-18/api/form/attachment/ef6520a8-1474-4222-8ee9-7a10008a609e/1580111500686.jpg</v>
      </c>
      <c r="O28" t="str">
        <f>HYPERLINK("https://www.commcarehq.org/a/demo-18/api/form/attachment/ef6520a8-1474-4222-8ee9-7a10008a609e/1580111510066.jpg")</f>
        <v>https://www.commcarehq.org/a/demo-18/api/form/attachment/ef6520a8-1474-4222-8ee9-7a10008a609e/1580111510066.jpg</v>
      </c>
      <c r="P28" t="str">
        <f>HYPERLINK("https://www.commcarehq.org/a/demo-18/api/form/attachment/ef6520a8-1474-4222-8ee9-7a10008a609e/1580111523735.jpg")</f>
        <v>https://www.commcarehq.org/a/demo-18/api/form/attachment/ef6520a8-1474-4222-8ee9-7a10008a609e/1580111523735.jpg</v>
      </c>
      <c r="Q28" t="str">
        <f>HYPERLINK("https://www.commcarehq.org/a/demo-18/api/form/attachment/ef6520a8-1474-4222-8ee9-7a10008a609e/1580111533062.jpg")</f>
        <v>https://www.commcarehq.org/a/demo-18/api/form/attachment/ef6520a8-1474-4222-8ee9-7a10008a609e/1580111533062.jpg</v>
      </c>
      <c r="R28" s="2">
        <v>43857.327986111108</v>
      </c>
      <c r="S28" s="2">
        <v>43857.325659722221</v>
      </c>
      <c r="T28" t="s">
        <v>32</v>
      </c>
      <c r="U28" s="2">
        <v>43857.328206018516</v>
      </c>
      <c r="V28" t="s">
        <v>1272</v>
      </c>
      <c r="W28" t="s">
        <v>1273</v>
      </c>
    </row>
    <row r="29" spans="1:23" x14ac:dyDescent="0.45">
      <c r="A29" t="s">
        <v>668</v>
      </c>
      <c r="B29">
        <v>7.1</v>
      </c>
      <c r="C29" s="1">
        <v>43887</v>
      </c>
      <c r="D29" s="1">
        <v>43857</v>
      </c>
      <c r="E29" t="s">
        <v>428</v>
      </c>
      <c r="F29" t="s">
        <v>429</v>
      </c>
      <c r="G29" t="s">
        <v>429</v>
      </c>
      <c r="H29" t="s">
        <v>429</v>
      </c>
      <c r="I29" t="s">
        <v>1110</v>
      </c>
      <c r="J29" t="s">
        <v>428</v>
      </c>
      <c r="K29" t="s">
        <v>429</v>
      </c>
      <c r="L29" t="str">
        <f>HYPERLINK("https://www.commcarehq.org/a/demo-18/api/form/attachment/ed09e7c8-dc89-4f17-a965-c55ab3fe8388/1580105960676.jpg")</f>
        <v>https://www.commcarehq.org/a/demo-18/api/form/attachment/ed09e7c8-dc89-4f17-a965-c55ab3fe8388/1580105960676.jpg</v>
      </c>
      <c r="M29" t="str">
        <f>HYPERLINK("https://www.commcarehq.org/a/demo-18/api/form/attachment/ed09e7c8-dc89-4f17-a965-c55ab3fe8388/1580105984584.jpg")</f>
        <v>https://www.commcarehq.org/a/demo-18/api/form/attachment/ed09e7c8-dc89-4f17-a965-c55ab3fe8388/1580105984584.jpg</v>
      </c>
      <c r="N29" t="str">
        <f>HYPERLINK("https://www.commcarehq.org/a/demo-18/api/form/attachment/ed09e7c8-dc89-4f17-a965-c55ab3fe8388/1580106020992.jpg")</f>
        <v>https://www.commcarehq.org/a/demo-18/api/form/attachment/ed09e7c8-dc89-4f17-a965-c55ab3fe8388/1580106020992.jpg</v>
      </c>
      <c r="O29" t="str">
        <f>HYPERLINK("https://www.commcarehq.org/a/demo-18/api/form/attachment/ed09e7c8-dc89-4f17-a965-c55ab3fe8388/1580106031829.jpg")</f>
        <v>https://www.commcarehq.org/a/demo-18/api/form/attachment/ed09e7c8-dc89-4f17-a965-c55ab3fe8388/1580106031829.jpg</v>
      </c>
      <c r="P29" t="str">
        <f>HYPERLINK("https://www.commcarehq.org/a/demo-18/api/form/attachment/ed09e7c8-dc89-4f17-a965-c55ab3fe8388/1580106045970.jpg")</f>
        <v>https://www.commcarehq.org/a/demo-18/api/form/attachment/ed09e7c8-dc89-4f17-a965-c55ab3fe8388/1580106045970.jpg</v>
      </c>
      <c r="Q29" t="str">
        <f>HYPERLINK("https://www.commcarehq.org/a/demo-18/api/form/attachment/ed09e7c8-dc89-4f17-a965-c55ab3fe8388/1580106056237.jpg")</f>
        <v>https://www.commcarehq.org/a/demo-18/api/form/attachment/ed09e7c8-dc89-4f17-a965-c55ab3fe8388/1580106056237.jpg</v>
      </c>
      <c r="R29" s="2">
        <v>43857.26458333333</v>
      </c>
      <c r="S29" s="2">
        <v>43857.262662037036</v>
      </c>
      <c r="T29" t="s">
        <v>32</v>
      </c>
      <c r="U29" s="2">
        <v>43857.264791666668</v>
      </c>
      <c r="V29" t="s">
        <v>1268</v>
      </c>
      <c r="W29" t="s">
        <v>1269</v>
      </c>
    </row>
    <row r="30" spans="1:23" x14ac:dyDescent="0.45">
      <c r="A30" t="s">
        <v>763</v>
      </c>
      <c r="B30">
        <v>8.1999999999999993</v>
      </c>
      <c r="C30" s="1">
        <v>43855</v>
      </c>
      <c r="D30" s="1">
        <v>43825</v>
      </c>
      <c r="E30" t="s">
        <v>428</v>
      </c>
      <c r="F30" t="s">
        <v>429</v>
      </c>
      <c r="G30" t="s">
        <v>429</v>
      </c>
      <c r="H30" t="s">
        <v>429</v>
      </c>
      <c r="I30" t="s">
        <v>447</v>
      </c>
      <c r="J30" t="s">
        <v>428</v>
      </c>
      <c r="K30" t="s">
        <v>429</v>
      </c>
      <c r="L30" t="str">
        <f>HYPERLINK("https://www.commcarehq.org/a/demo-18/api/form/attachment/5a7f0fc2-5a4c-4743-9532-8a78882c3121/1577349928954.jpg")</f>
        <v>https://www.commcarehq.org/a/demo-18/api/form/attachment/5a7f0fc2-5a4c-4743-9532-8a78882c3121/1577349928954.jpg</v>
      </c>
      <c r="M30" t="str">
        <f>HYPERLINK("https://www.commcarehq.org/a/demo-18/api/form/attachment/5a7f0fc2-5a4c-4743-9532-8a78882c3121/1577349947245.jpg")</f>
        <v>https://www.commcarehq.org/a/demo-18/api/form/attachment/5a7f0fc2-5a4c-4743-9532-8a78882c3121/1577349947245.jpg</v>
      </c>
      <c r="N30" t="str">
        <f>HYPERLINK("https://www.commcarehq.org/a/demo-18/api/form/attachment/5a7f0fc2-5a4c-4743-9532-8a78882c3121/1577350011482.jpg")</f>
        <v>https://www.commcarehq.org/a/demo-18/api/form/attachment/5a7f0fc2-5a4c-4743-9532-8a78882c3121/1577350011482.jpg</v>
      </c>
      <c r="O30" t="str">
        <f>HYPERLINK("https://www.commcarehq.org/a/demo-18/api/form/attachment/5a7f0fc2-5a4c-4743-9532-8a78882c3121/1577350020818.jpg")</f>
        <v>https://www.commcarehq.org/a/demo-18/api/form/attachment/5a7f0fc2-5a4c-4743-9532-8a78882c3121/1577350020818.jpg</v>
      </c>
      <c r="P30" t="str">
        <f>HYPERLINK("https://www.commcarehq.org/a/demo-18/api/form/attachment/5a7f0fc2-5a4c-4743-9532-8a78882c3121/1577350040485.jpg")</f>
        <v>https://www.commcarehq.org/a/demo-18/api/form/attachment/5a7f0fc2-5a4c-4743-9532-8a78882c3121/1577350040485.jpg</v>
      </c>
      <c r="Q30" t="str">
        <f>HYPERLINK("https://www.commcarehq.org/a/demo-18/api/form/attachment/5a7f0fc2-5a4c-4743-9532-8a78882c3121/1577350054567.jpg")</f>
        <v>https://www.commcarehq.org/a/demo-18/api/form/attachment/5a7f0fc2-5a4c-4743-9532-8a78882c3121/1577350054567.jpg</v>
      </c>
      <c r="R30" s="2">
        <v>43825.366388888891</v>
      </c>
      <c r="S30" s="2">
        <v>43825.364120370374</v>
      </c>
      <c r="T30" t="s">
        <v>32</v>
      </c>
      <c r="U30" s="2">
        <v>43826.648888888885</v>
      </c>
      <c r="V30" t="s">
        <v>943</v>
      </c>
      <c r="W30" t="s">
        <v>944</v>
      </c>
    </row>
    <row r="31" spans="1:23" x14ac:dyDescent="0.45">
      <c r="A31" t="s">
        <v>709</v>
      </c>
      <c r="B31">
        <v>7.9</v>
      </c>
      <c r="C31" s="1">
        <v>43894</v>
      </c>
      <c r="D31" s="1">
        <v>43864</v>
      </c>
      <c r="E31" t="s">
        <v>428</v>
      </c>
      <c r="F31" t="s">
        <v>429</v>
      </c>
      <c r="G31" t="s">
        <v>429</v>
      </c>
      <c r="H31" t="s">
        <v>429</v>
      </c>
      <c r="I31" t="s">
        <v>702</v>
      </c>
      <c r="J31" t="s">
        <v>428</v>
      </c>
      <c r="K31" t="s">
        <v>429</v>
      </c>
      <c r="L31" t="str">
        <f>HYPERLINK("https://www.commcarehq.org/a/demo-18/api/form/attachment/c3b552f1-60aa-441d-9331-a31ea3dcc947/1580714245759.jpg")</f>
        <v>https://www.commcarehq.org/a/demo-18/api/form/attachment/c3b552f1-60aa-441d-9331-a31ea3dcc947/1580714245759.jpg</v>
      </c>
      <c r="M31" t="str">
        <f>HYPERLINK("https://www.commcarehq.org/a/demo-18/api/form/attachment/c3b552f1-60aa-441d-9331-a31ea3dcc947/1580714262340.jpg")</f>
        <v>https://www.commcarehq.org/a/demo-18/api/form/attachment/c3b552f1-60aa-441d-9331-a31ea3dcc947/1580714262340.jpg</v>
      </c>
      <c r="N31" t="str">
        <f>HYPERLINK("https://www.commcarehq.org/a/demo-18/api/form/attachment/c3b552f1-60aa-441d-9331-a31ea3dcc947/1580714312238.jpg")</f>
        <v>https://www.commcarehq.org/a/demo-18/api/form/attachment/c3b552f1-60aa-441d-9331-a31ea3dcc947/1580714312238.jpg</v>
      </c>
      <c r="O31" t="str">
        <f>HYPERLINK("https://www.commcarehq.org/a/demo-18/api/form/attachment/c3b552f1-60aa-441d-9331-a31ea3dcc947/1580714322354.jpg")</f>
        <v>https://www.commcarehq.org/a/demo-18/api/form/attachment/c3b552f1-60aa-441d-9331-a31ea3dcc947/1580714322354.jpg</v>
      </c>
      <c r="P31" t="str">
        <f>HYPERLINK("https://www.commcarehq.org/a/demo-18/api/form/attachment/c3b552f1-60aa-441d-9331-a31ea3dcc947/1580714339225.jpg")</f>
        <v>https://www.commcarehq.org/a/demo-18/api/form/attachment/c3b552f1-60aa-441d-9331-a31ea3dcc947/1580714339225.jpg</v>
      </c>
      <c r="Q31" t="str">
        <f>HYPERLINK("https://www.commcarehq.org/a/demo-18/api/form/attachment/c3b552f1-60aa-441d-9331-a31ea3dcc947/1580714348258.jpg")</f>
        <v>https://www.commcarehq.org/a/demo-18/api/form/attachment/c3b552f1-60aa-441d-9331-a31ea3dcc947/1580714348258.jpg</v>
      </c>
      <c r="R31" s="2">
        <v>43864.304976851854</v>
      </c>
      <c r="S31" s="2">
        <v>43864.303449074076</v>
      </c>
      <c r="T31" t="s">
        <v>32</v>
      </c>
      <c r="U31" s="2">
        <v>43864.305208333331</v>
      </c>
      <c r="V31" t="s">
        <v>1266</v>
      </c>
      <c r="W31" t="s">
        <v>1267</v>
      </c>
    </row>
    <row r="32" spans="1:23" x14ac:dyDescent="0.45">
      <c r="A32" t="s">
        <v>550</v>
      </c>
      <c r="B32">
        <v>6.9</v>
      </c>
      <c r="C32" s="1">
        <v>43889</v>
      </c>
      <c r="D32" s="1">
        <v>43859</v>
      </c>
      <c r="E32" t="s">
        <v>428</v>
      </c>
      <c r="F32" t="s">
        <v>429</v>
      </c>
      <c r="G32" t="s">
        <v>429</v>
      </c>
      <c r="H32" t="s">
        <v>429</v>
      </c>
      <c r="I32" t="s">
        <v>498</v>
      </c>
      <c r="J32" t="s">
        <v>428</v>
      </c>
      <c r="K32" t="s">
        <v>429</v>
      </c>
      <c r="L32" t="str">
        <f>HYPERLINK("https://www.commcarehq.org/a/demo-18/api/form/attachment/d728ff25-9d85-419b-ad70-ece05f082a8d/1580288361386.jpg")</f>
        <v>https://www.commcarehq.org/a/demo-18/api/form/attachment/d728ff25-9d85-419b-ad70-ece05f082a8d/1580288361386.jpg</v>
      </c>
      <c r="M32" t="str">
        <f>HYPERLINK("https://www.commcarehq.org/a/demo-18/api/form/attachment/d728ff25-9d85-419b-ad70-ece05f082a8d/1580288381847.jpg")</f>
        <v>https://www.commcarehq.org/a/demo-18/api/form/attachment/d728ff25-9d85-419b-ad70-ece05f082a8d/1580288381847.jpg</v>
      </c>
      <c r="N32" t="str">
        <f>HYPERLINK("https://www.commcarehq.org/a/demo-18/api/form/attachment/d728ff25-9d85-419b-ad70-ece05f082a8d/1580288448420.jpg")</f>
        <v>https://www.commcarehq.org/a/demo-18/api/form/attachment/d728ff25-9d85-419b-ad70-ece05f082a8d/1580288448420.jpg</v>
      </c>
      <c r="O32" t="str">
        <f>HYPERLINK("https://www.commcarehq.org/a/demo-18/api/form/attachment/d728ff25-9d85-419b-ad70-ece05f082a8d/1580288457777.jpg")</f>
        <v>https://www.commcarehq.org/a/demo-18/api/form/attachment/d728ff25-9d85-419b-ad70-ece05f082a8d/1580288457777.jpg</v>
      </c>
      <c r="P32" t="str">
        <f>HYPERLINK("https://www.commcarehq.org/a/demo-18/api/form/attachment/d728ff25-9d85-419b-ad70-ece05f082a8d/1580288493540.jpg")</f>
        <v>https://www.commcarehq.org/a/demo-18/api/form/attachment/d728ff25-9d85-419b-ad70-ece05f082a8d/1580288493540.jpg</v>
      </c>
      <c r="Q32" t="str">
        <f>HYPERLINK("https://www.commcarehq.org/a/demo-18/api/form/attachment/d728ff25-9d85-419b-ad70-ece05f082a8d/1580288508339.jpg")</f>
        <v>https://www.commcarehq.org/a/demo-18/api/form/attachment/d728ff25-9d85-419b-ad70-ece05f082a8d/1580288508339.jpg</v>
      </c>
      <c r="R32" s="2">
        <v>43859.376273148147</v>
      </c>
      <c r="S32" s="2">
        <v>43859.374027777776</v>
      </c>
      <c r="T32" t="s">
        <v>32</v>
      </c>
      <c r="U32" s="2">
        <v>43859.377488425926</v>
      </c>
      <c r="V32" t="s">
        <v>1262</v>
      </c>
      <c r="W32" t="s">
        <v>1263</v>
      </c>
    </row>
    <row r="33" spans="1:23" x14ac:dyDescent="0.45">
      <c r="A33" t="s">
        <v>805</v>
      </c>
      <c r="B33">
        <v>8.1999999999999993</v>
      </c>
      <c r="C33" s="1">
        <v>43866</v>
      </c>
      <c r="D33" s="1">
        <v>43836</v>
      </c>
      <c r="E33" t="s">
        <v>428</v>
      </c>
      <c r="F33" t="s">
        <v>429</v>
      </c>
      <c r="G33" t="s">
        <v>429</v>
      </c>
      <c r="H33" t="s">
        <v>429</v>
      </c>
      <c r="I33" t="s">
        <v>430</v>
      </c>
      <c r="J33" t="s">
        <v>428</v>
      </c>
      <c r="K33" t="s">
        <v>429</v>
      </c>
      <c r="L33" t="str">
        <f>HYPERLINK("https://www.commcarehq.org/a/demo-18/api/form/attachment/6e2d9c7b-fea9-47c8-b43b-fe2095f50725/1578296539406.jpg")</f>
        <v>https://www.commcarehq.org/a/demo-18/api/form/attachment/6e2d9c7b-fea9-47c8-b43b-fe2095f50725/1578296539406.jpg</v>
      </c>
      <c r="M33" t="str">
        <f>HYPERLINK("https://www.commcarehq.org/a/demo-18/api/form/attachment/6e2d9c7b-fea9-47c8-b43b-fe2095f50725/1578296557325.jpg")</f>
        <v>https://www.commcarehq.org/a/demo-18/api/form/attachment/6e2d9c7b-fea9-47c8-b43b-fe2095f50725/1578296557325.jpg</v>
      </c>
      <c r="N33" t="str">
        <f>HYPERLINK("https://www.commcarehq.org/a/demo-18/api/form/attachment/6e2d9c7b-fea9-47c8-b43b-fe2095f50725/1578296586070.jpg")</f>
        <v>https://www.commcarehq.org/a/demo-18/api/form/attachment/6e2d9c7b-fea9-47c8-b43b-fe2095f50725/1578296586070.jpg</v>
      </c>
      <c r="O33" t="str">
        <f>HYPERLINK("https://www.commcarehq.org/a/demo-18/api/form/attachment/6e2d9c7b-fea9-47c8-b43b-fe2095f50725/1578296631619.jpg")</f>
        <v>https://www.commcarehq.org/a/demo-18/api/form/attachment/6e2d9c7b-fea9-47c8-b43b-fe2095f50725/1578296631619.jpg</v>
      </c>
      <c r="P33" t="str">
        <f>HYPERLINK("https://www.commcarehq.org/a/demo-18/api/form/attachment/6e2d9c7b-fea9-47c8-b43b-fe2095f50725/1578296646150.jpg")</f>
        <v>https://www.commcarehq.org/a/demo-18/api/form/attachment/6e2d9c7b-fea9-47c8-b43b-fe2095f50725/1578296646150.jpg</v>
      </c>
      <c r="Q33" t="str">
        <f>HYPERLINK("https://www.commcarehq.org/a/demo-18/api/form/attachment/6e2d9c7b-fea9-47c8-b43b-fe2095f50725/1578296656315.jpg")</f>
        <v>https://www.commcarehq.org/a/demo-18/api/form/attachment/6e2d9c7b-fea9-47c8-b43b-fe2095f50725/1578296656315.jpg</v>
      </c>
      <c r="R33" s="2">
        <v>43836.322430555556</v>
      </c>
      <c r="S33" s="2">
        <v>43836.320520833331</v>
      </c>
      <c r="T33" t="s">
        <v>32</v>
      </c>
      <c r="U33" s="2">
        <v>43836.329780092594</v>
      </c>
      <c r="V33" t="s">
        <v>1009</v>
      </c>
      <c r="W33" t="s">
        <v>1010</v>
      </c>
    </row>
    <row r="34" spans="1:23" x14ac:dyDescent="0.45">
      <c r="A34" t="s">
        <v>818</v>
      </c>
      <c r="B34">
        <v>7.7</v>
      </c>
      <c r="C34" s="1">
        <v>43875</v>
      </c>
      <c r="D34" s="1">
        <v>43845</v>
      </c>
      <c r="E34" t="s">
        <v>428</v>
      </c>
      <c r="F34" t="s">
        <v>429</v>
      </c>
      <c r="G34" t="s">
        <v>429</v>
      </c>
      <c r="H34" t="s">
        <v>429</v>
      </c>
      <c r="I34" t="s">
        <v>447</v>
      </c>
      <c r="J34" t="s">
        <v>428</v>
      </c>
      <c r="K34" t="s">
        <v>429</v>
      </c>
      <c r="L34" t="str">
        <f>HYPERLINK("https://www.commcarehq.org/a/demo-18/api/form/attachment/7a958ab4-3e4b-4f2b-9dbe-ff30b59adb87/1579071621032.jpg")</f>
        <v>https://www.commcarehq.org/a/demo-18/api/form/attachment/7a958ab4-3e4b-4f2b-9dbe-ff30b59adb87/1579071621032.jpg</v>
      </c>
      <c r="M34" t="str">
        <f>HYPERLINK("https://www.commcarehq.org/a/demo-18/api/form/attachment/7a958ab4-3e4b-4f2b-9dbe-ff30b59adb87/1579071646337.jpg")</f>
        <v>https://www.commcarehq.org/a/demo-18/api/form/attachment/7a958ab4-3e4b-4f2b-9dbe-ff30b59adb87/1579071646337.jpg</v>
      </c>
      <c r="N34" t="str">
        <f>HYPERLINK("https://www.commcarehq.org/a/demo-18/api/form/attachment/7a958ab4-3e4b-4f2b-9dbe-ff30b59adb87/1579071698211.jpg")</f>
        <v>https://www.commcarehq.org/a/demo-18/api/form/attachment/7a958ab4-3e4b-4f2b-9dbe-ff30b59adb87/1579071698211.jpg</v>
      </c>
      <c r="O34" t="str">
        <f>HYPERLINK("https://www.commcarehq.org/a/demo-18/api/form/attachment/7a958ab4-3e4b-4f2b-9dbe-ff30b59adb87/1579071709284.jpg")</f>
        <v>https://www.commcarehq.org/a/demo-18/api/form/attachment/7a958ab4-3e4b-4f2b-9dbe-ff30b59adb87/1579071709284.jpg</v>
      </c>
      <c r="P34" t="str">
        <f>HYPERLINK("https://www.commcarehq.org/a/demo-18/api/form/attachment/7a958ab4-3e4b-4f2b-9dbe-ff30b59adb87/1579071725298.jpg")</f>
        <v>https://www.commcarehq.org/a/demo-18/api/form/attachment/7a958ab4-3e4b-4f2b-9dbe-ff30b59adb87/1579071725298.jpg</v>
      </c>
      <c r="Q34" t="str">
        <f>HYPERLINK("https://www.commcarehq.org/a/demo-18/api/form/attachment/7a958ab4-3e4b-4f2b-9dbe-ff30b59adb87/1579071734822.jpg")</f>
        <v>https://www.commcarehq.org/a/demo-18/api/form/attachment/7a958ab4-3e4b-4f2b-9dbe-ff30b59adb87/1579071734822.jpg</v>
      </c>
      <c r="R34" s="2">
        <v>43845.293263888889</v>
      </c>
      <c r="S34" s="2">
        <v>43845.291388888887</v>
      </c>
      <c r="T34" t="s">
        <v>32</v>
      </c>
      <c r="U34" s="2">
        <v>43845.293495370373</v>
      </c>
      <c r="V34" t="s">
        <v>1084</v>
      </c>
      <c r="W34" t="s">
        <v>1085</v>
      </c>
    </row>
    <row r="35" spans="1:23" x14ac:dyDescent="0.45">
      <c r="A35" t="s">
        <v>718</v>
      </c>
      <c r="B35">
        <v>6.2</v>
      </c>
      <c r="C35" s="1">
        <v>43897</v>
      </c>
      <c r="D35" s="1">
        <v>43867</v>
      </c>
      <c r="E35" t="s">
        <v>428</v>
      </c>
      <c r="F35" t="s">
        <v>429</v>
      </c>
      <c r="G35" t="s">
        <v>429</v>
      </c>
      <c r="H35" t="s">
        <v>429</v>
      </c>
      <c r="I35" t="s">
        <v>447</v>
      </c>
      <c r="J35" t="s">
        <v>428</v>
      </c>
      <c r="K35" t="s">
        <v>429</v>
      </c>
      <c r="L35" t="str">
        <f>HYPERLINK("https://www.commcarehq.org/a/demo-18/api/form/attachment/e8da5d8e-2b65-427e-8bcd-7561ec2500a6/1580970278621.jpg")</f>
        <v>https://www.commcarehq.org/a/demo-18/api/form/attachment/e8da5d8e-2b65-427e-8bcd-7561ec2500a6/1580970278621.jpg</v>
      </c>
      <c r="M35" t="str">
        <f>HYPERLINK("https://www.commcarehq.org/a/demo-18/api/form/attachment/e8da5d8e-2b65-427e-8bcd-7561ec2500a6/1580970294314.jpg")</f>
        <v>https://www.commcarehq.org/a/demo-18/api/form/attachment/e8da5d8e-2b65-427e-8bcd-7561ec2500a6/1580970294314.jpg</v>
      </c>
      <c r="N35" t="str">
        <f>HYPERLINK("https://www.commcarehq.org/a/demo-18/api/form/attachment/e8da5d8e-2b65-427e-8bcd-7561ec2500a6/1580970356629.jpg")</f>
        <v>https://www.commcarehq.org/a/demo-18/api/form/attachment/e8da5d8e-2b65-427e-8bcd-7561ec2500a6/1580970356629.jpg</v>
      </c>
      <c r="O35" t="str">
        <f>HYPERLINK("https://www.commcarehq.org/a/demo-18/api/form/attachment/e8da5d8e-2b65-427e-8bcd-7561ec2500a6/1580970365849.jpg")</f>
        <v>https://www.commcarehq.org/a/demo-18/api/form/attachment/e8da5d8e-2b65-427e-8bcd-7561ec2500a6/1580970365849.jpg</v>
      </c>
      <c r="P35" t="str">
        <f>HYPERLINK("https://www.commcarehq.org/a/demo-18/api/form/attachment/e8da5d8e-2b65-427e-8bcd-7561ec2500a6/1580970378619.jpg")</f>
        <v>https://www.commcarehq.org/a/demo-18/api/form/attachment/e8da5d8e-2b65-427e-8bcd-7561ec2500a6/1580970378619.jpg</v>
      </c>
      <c r="Q35" t="str">
        <f>HYPERLINK("https://www.commcarehq.org/a/demo-18/api/form/attachment/e8da5d8e-2b65-427e-8bcd-7561ec2500a6/1580970387938.jpg")</f>
        <v>https://www.commcarehq.org/a/demo-18/api/form/attachment/e8da5d8e-2b65-427e-8bcd-7561ec2500a6/1580970387938.jpg</v>
      </c>
      <c r="R35" s="2">
        <v>43867.26840277778</v>
      </c>
      <c r="S35" s="2">
        <v>43867.266608796293</v>
      </c>
      <c r="T35" t="s">
        <v>32</v>
      </c>
      <c r="U35" s="2">
        <v>43867.268599537034</v>
      </c>
      <c r="V35" t="s">
        <v>1330</v>
      </c>
      <c r="W35" t="s">
        <v>1331</v>
      </c>
    </row>
    <row r="36" spans="1:23" x14ac:dyDescent="0.45">
      <c r="A36" t="s">
        <v>685</v>
      </c>
      <c r="B36">
        <v>7.8</v>
      </c>
      <c r="C36" s="1">
        <v>43905</v>
      </c>
      <c r="D36" s="1">
        <v>43875</v>
      </c>
      <c r="E36" t="s">
        <v>428</v>
      </c>
      <c r="F36" t="s">
        <v>429</v>
      </c>
      <c r="G36" t="s">
        <v>429</v>
      </c>
      <c r="H36" t="s">
        <v>429</v>
      </c>
      <c r="I36" t="s">
        <v>569</v>
      </c>
      <c r="J36" t="s">
        <v>428</v>
      </c>
      <c r="K36" t="s">
        <v>429</v>
      </c>
      <c r="L36" t="str">
        <f>HYPERLINK("https://www.commcarehq.org/a/demo-18/api/form/attachment/1c07bf5d-5f69-4686-9e97-dd37a3fc7fca/1581666686848.jpg")</f>
        <v>https://www.commcarehq.org/a/demo-18/api/form/attachment/1c07bf5d-5f69-4686-9e97-dd37a3fc7fca/1581666686848.jpg</v>
      </c>
      <c r="M36" t="str">
        <f>HYPERLINK("https://www.commcarehq.org/a/demo-18/api/form/attachment/1c07bf5d-5f69-4686-9e97-dd37a3fc7fca/1581666700439.jpg")</f>
        <v>https://www.commcarehq.org/a/demo-18/api/form/attachment/1c07bf5d-5f69-4686-9e97-dd37a3fc7fca/1581666700439.jpg</v>
      </c>
      <c r="N36" t="str">
        <f>HYPERLINK("https://www.commcarehq.org/a/demo-18/api/form/attachment/1c07bf5d-5f69-4686-9e97-dd37a3fc7fca/1581666759955.jpg")</f>
        <v>https://www.commcarehq.org/a/demo-18/api/form/attachment/1c07bf5d-5f69-4686-9e97-dd37a3fc7fca/1581666759955.jpg</v>
      </c>
      <c r="O36" t="str">
        <f>HYPERLINK("https://www.commcarehq.org/a/demo-18/api/form/attachment/1c07bf5d-5f69-4686-9e97-dd37a3fc7fca/1581666769417.jpg")</f>
        <v>https://www.commcarehq.org/a/demo-18/api/form/attachment/1c07bf5d-5f69-4686-9e97-dd37a3fc7fca/1581666769417.jpg</v>
      </c>
      <c r="P36" t="str">
        <f>HYPERLINK("https://www.commcarehq.org/a/demo-18/api/form/attachment/1c07bf5d-5f69-4686-9e97-dd37a3fc7fca/1581666794144.jpg")</f>
        <v>https://www.commcarehq.org/a/demo-18/api/form/attachment/1c07bf5d-5f69-4686-9e97-dd37a3fc7fca/1581666794144.jpg</v>
      </c>
      <c r="Q36" t="str">
        <f>HYPERLINK("https://www.commcarehq.org/a/demo-18/api/form/attachment/1c07bf5d-5f69-4686-9e97-dd37a3fc7fca/1581666803388.jpg")</f>
        <v>https://www.commcarehq.org/a/demo-18/api/form/attachment/1c07bf5d-5f69-4686-9e97-dd37a3fc7fca/1581666803388.jpg</v>
      </c>
      <c r="R36" s="2">
        <v>43875.328761574077</v>
      </c>
      <c r="S36" s="2">
        <v>43875.326643518521</v>
      </c>
      <c r="T36" t="s">
        <v>32</v>
      </c>
      <c r="U36" s="2">
        <v>43875.329050925924</v>
      </c>
      <c r="V36" t="s">
        <v>1332</v>
      </c>
      <c r="W36" t="s">
        <v>1333</v>
      </c>
    </row>
    <row r="37" spans="1:23" x14ac:dyDescent="0.45">
      <c r="A37" t="s">
        <v>778</v>
      </c>
      <c r="B37">
        <v>8.3000000000000007</v>
      </c>
      <c r="C37" s="1">
        <v>43905</v>
      </c>
      <c r="D37" s="1">
        <v>43875</v>
      </c>
      <c r="E37" t="s">
        <v>428</v>
      </c>
      <c r="F37" t="s">
        <v>429</v>
      </c>
      <c r="G37" t="s">
        <v>429</v>
      </c>
      <c r="H37" t="s">
        <v>429</v>
      </c>
      <c r="I37" t="s">
        <v>1310</v>
      </c>
      <c r="J37" t="s">
        <v>428</v>
      </c>
      <c r="K37" t="s">
        <v>429</v>
      </c>
      <c r="L37" t="str">
        <f>HYPERLINK("https://www.commcarehq.org/a/demo-18/api/form/attachment/526c37cd-8c92-4acd-9aad-a75cc9dc0692/1581667072126.jpg")</f>
        <v>https://www.commcarehq.org/a/demo-18/api/form/attachment/526c37cd-8c92-4acd-9aad-a75cc9dc0692/1581667072126.jpg</v>
      </c>
      <c r="M37" t="str">
        <f>HYPERLINK("https://www.commcarehq.org/a/demo-18/api/form/attachment/526c37cd-8c92-4acd-9aad-a75cc9dc0692/1581667087361.jpg")</f>
        <v>https://www.commcarehq.org/a/demo-18/api/form/attachment/526c37cd-8c92-4acd-9aad-a75cc9dc0692/1581667087361.jpg</v>
      </c>
      <c r="N37" t="str">
        <f>HYPERLINK("https://www.commcarehq.org/a/demo-18/api/form/attachment/526c37cd-8c92-4acd-9aad-a75cc9dc0692/1581667154542.jpg")</f>
        <v>https://www.commcarehq.org/a/demo-18/api/form/attachment/526c37cd-8c92-4acd-9aad-a75cc9dc0692/1581667154542.jpg</v>
      </c>
      <c r="O37" t="str">
        <f>HYPERLINK("https://www.commcarehq.org/a/demo-18/api/form/attachment/526c37cd-8c92-4acd-9aad-a75cc9dc0692/1581667165986.jpg")</f>
        <v>https://www.commcarehq.org/a/demo-18/api/form/attachment/526c37cd-8c92-4acd-9aad-a75cc9dc0692/1581667165986.jpg</v>
      </c>
      <c r="P37" t="str">
        <f>HYPERLINK("https://www.commcarehq.org/a/demo-18/api/form/attachment/526c37cd-8c92-4acd-9aad-a75cc9dc0692/1581667189770.jpg")</f>
        <v>https://www.commcarehq.org/a/demo-18/api/form/attachment/526c37cd-8c92-4acd-9aad-a75cc9dc0692/1581667189770.jpg</v>
      </c>
      <c r="Q37" t="str">
        <f>HYPERLINK("https://www.commcarehq.org/a/demo-18/api/form/attachment/526c37cd-8c92-4acd-9aad-a75cc9dc0692/1581667199733.jpg")</f>
        <v>https://www.commcarehq.org/a/demo-18/api/form/attachment/526c37cd-8c92-4acd-9aad-a75cc9dc0692/1581667199733.jpg</v>
      </c>
      <c r="R37" s="2">
        <v>43875.333368055559</v>
      </c>
      <c r="S37" s="2">
        <v>43875.331574074073</v>
      </c>
      <c r="T37" t="s">
        <v>32</v>
      </c>
      <c r="U37" s="2">
        <v>43875.333587962959</v>
      </c>
      <c r="V37" t="s">
        <v>1311</v>
      </c>
      <c r="W37" t="s">
        <v>1312</v>
      </c>
    </row>
    <row r="38" spans="1:23" x14ac:dyDescent="0.45">
      <c r="A38" t="s">
        <v>775</v>
      </c>
      <c r="B38">
        <v>7.2</v>
      </c>
      <c r="C38" s="1">
        <v>43897</v>
      </c>
      <c r="D38" s="1">
        <v>43867</v>
      </c>
      <c r="E38" t="s">
        <v>428</v>
      </c>
      <c r="F38" t="s">
        <v>429</v>
      </c>
      <c r="G38" t="s">
        <v>429</v>
      </c>
      <c r="H38" t="s">
        <v>429</v>
      </c>
      <c r="I38" t="s">
        <v>447</v>
      </c>
      <c r="J38" t="s">
        <v>428</v>
      </c>
      <c r="K38" t="s">
        <v>429</v>
      </c>
      <c r="L38" t="str">
        <f>HYPERLINK("https://www.commcarehq.org/a/demo-18/api/form/attachment/977b9ec0-1f73-4279-8b45-79ec006d8a72/1580981407552.jpg")</f>
        <v>https://www.commcarehq.org/a/demo-18/api/form/attachment/977b9ec0-1f73-4279-8b45-79ec006d8a72/1580981407552.jpg</v>
      </c>
      <c r="M38" t="str">
        <f>HYPERLINK("https://www.commcarehq.org/a/demo-18/api/form/attachment/977b9ec0-1f73-4279-8b45-79ec006d8a72/1580981426268.jpg")</f>
        <v>https://www.commcarehq.org/a/demo-18/api/form/attachment/977b9ec0-1f73-4279-8b45-79ec006d8a72/1580981426268.jpg</v>
      </c>
      <c r="N38" t="str">
        <f>HYPERLINK("https://www.commcarehq.org/a/demo-18/api/form/attachment/977b9ec0-1f73-4279-8b45-79ec006d8a72/1580981676424.jpg")</f>
        <v>https://www.commcarehq.org/a/demo-18/api/form/attachment/977b9ec0-1f73-4279-8b45-79ec006d8a72/1580981676424.jpg</v>
      </c>
      <c r="O38" t="str">
        <f>HYPERLINK("https://www.commcarehq.org/a/demo-18/api/form/attachment/977b9ec0-1f73-4279-8b45-79ec006d8a72/1580981684482.jpg")</f>
        <v>https://www.commcarehq.org/a/demo-18/api/form/attachment/977b9ec0-1f73-4279-8b45-79ec006d8a72/1580981684482.jpg</v>
      </c>
      <c r="P38" t="str">
        <f>HYPERLINK("https://www.commcarehq.org/a/demo-18/api/form/attachment/977b9ec0-1f73-4279-8b45-79ec006d8a72/1580981704579.jpg")</f>
        <v>https://www.commcarehq.org/a/demo-18/api/form/attachment/977b9ec0-1f73-4279-8b45-79ec006d8a72/1580981704579.jpg</v>
      </c>
      <c r="Q38" t="str">
        <f>HYPERLINK("https://www.commcarehq.org/a/demo-18/api/form/attachment/977b9ec0-1f73-4279-8b45-79ec006d8a72/1580981712409.jpg")</f>
        <v>https://www.commcarehq.org/a/demo-18/api/form/attachment/977b9ec0-1f73-4279-8b45-79ec006d8a72/1580981712409.jpg</v>
      </c>
      <c r="R38" s="2">
        <v>43867.399467592593</v>
      </c>
      <c r="S38" s="2">
        <v>43867.395381944443</v>
      </c>
      <c r="T38" t="s">
        <v>32</v>
      </c>
      <c r="U38" s="2">
        <v>43868.208483796298</v>
      </c>
      <c r="V38" t="s">
        <v>1328</v>
      </c>
      <c r="W38" t="s">
        <v>1329</v>
      </c>
    </row>
    <row r="39" spans="1:23" x14ac:dyDescent="0.45">
      <c r="A39" t="s">
        <v>635</v>
      </c>
      <c r="B39">
        <v>8.5</v>
      </c>
      <c r="C39" s="1">
        <v>43898</v>
      </c>
      <c r="D39" s="1">
        <v>43868</v>
      </c>
      <c r="E39" t="s">
        <v>428</v>
      </c>
      <c r="F39" t="s">
        <v>429</v>
      </c>
      <c r="G39" t="s">
        <v>429</v>
      </c>
      <c r="H39" t="s">
        <v>429</v>
      </c>
      <c r="I39" t="s">
        <v>498</v>
      </c>
      <c r="J39" t="s">
        <v>428</v>
      </c>
      <c r="K39" t="s">
        <v>429</v>
      </c>
      <c r="L39" t="str">
        <f>HYPERLINK("https://www.commcarehq.org/a/demo-18/api/form/attachment/6f9f41c2-f560-4d91-a1ad-758709ce1f08/1581062419139.jpg")</f>
        <v>https://www.commcarehq.org/a/demo-18/api/form/attachment/6f9f41c2-f560-4d91-a1ad-758709ce1f08/1581062419139.jpg</v>
      </c>
      <c r="M39" t="str">
        <f>HYPERLINK("https://www.commcarehq.org/a/demo-18/api/form/attachment/6f9f41c2-f560-4d91-a1ad-758709ce1f08/1581062436301.jpg")</f>
        <v>https://www.commcarehq.org/a/demo-18/api/form/attachment/6f9f41c2-f560-4d91-a1ad-758709ce1f08/1581062436301.jpg</v>
      </c>
      <c r="N39" t="str">
        <f>HYPERLINK("https://www.commcarehq.org/a/demo-18/api/form/attachment/6f9f41c2-f560-4d91-a1ad-758709ce1f08/1581062488202.jpg")</f>
        <v>https://www.commcarehq.org/a/demo-18/api/form/attachment/6f9f41c2-f560-4d91-a1ad-758709ce1f08/1581062488202.jpg</v>
      </c>
      <c r="O39" t="str">
        <f>HYPERLINK("https://www.commcarehq.org/a/demo-18/api/form/attachment/6f9f41c2-f560-4d91-a1ad-758709ce1f08/1581062498618.jpg")</f>
        <v>https://www.commcarehq.org/a/demo-18/api/form/attachment/6f9f41c2-f560-4d91-a1ad-758709ce1f08/1581062498618.jpg</v>
      </c>
      <c r="P39" t="str">
        <f>HYPERLINK("https://www.commcarehq.org/a/demo-18/api/form/attachment/6f9f41c2-f560-4d91-a1ad-758709ce1f08/1581062519988.jpg")</f>
        <v>https://www.commcarehq.org/a/demo-18/api/form/attachment/6f9f41c2-f560-4d91-a1ad-758709ce1f08/1581062519988.jpg</v>
      </c>
      <c r="Q39" t="str">
        <f>HYPERLINK("https://www.commcarehq.org/a/demo-18/api/form/attachment/6f9f41c2-f560-4d91-a1ad-758709ce1f08/1581062529815.jpg")</f>
        <v>https://www.commcarehq.org/a/demo-18/api/form/attachment/6f9f41c2-f560-4d91-a1ad-758709ce1f08/1581062529815.jpg</v>
      </c>
      <c r="R39" s="2">
        <v>43868.334849537037</v>
      </c>
      <c r="S39" s="2">
        <v>43868.332997685182</v>
      </c>
      <c r="T39" t="s">
        <v>32</v>
      </c>
      <c r="U39" s="2">
        <v>43868.335289351853</v>
      </c>
      <c r="V39" t="s">
        <v>1297</v>
      </c>
      <c r="W39" t="s">
        <v>1298</v>
      </c>
    </row>
    <row r="40" spans="1:23" x14ac:dyDescent="0.45">
      <c r="A40" t="s">
        <v>565</v>
      </c>
      <c r="B40">
        <v>7</v>
      </c>
      <c r="C40" s="1">
        <v>43901</v>
      </c>
      <c r="D40" s="1">
        <v>43871</v>
      </c>
      <c r="E40" t="s">
        <v>428</v>
      </c>
      <c r="F40" t="s">
        <v>429</v>
      </c>
      <c r="G40" t="s">
        <v>429</v>
      </c>
      <c r="H40" t="s">
        <v>429</v>
      </c>
      <c r="I40" t="s">
        <v>498</v>
      </c>
      <c r="J40" t="s">
        <v>428</v>
      </c>
      <c r="K40" t="s">
        <v>429</v>
      </c>
      <c r="L40" t="str">
        <f>HYPERLINK("https://www.commcarehq.org/a/demo-18/api/form/attachment/0fc1fd0d-8ea0-48ab-89cb-f8ef24e6eea5/1581328716455.jpg")</f>
        <v>https://www.commcarehq.org/a/demo-18/api/form/attachment/0fc1fd0d-8ea0-48ab-89cb-f8ef24e6eea5/1581328716455.jpg</v>
      </c>
      <c r="M40" t="str">
        <f>HYPERLINK("https://www.commcarehq.org/a/demo-18/api/form/attachment/0fc1fd0d-8ea0-48ab-89cb-f8ef24e6eea5/1581328736892.jpg")</f>
        <v>https://www.commcarehq.org/a/demo-18/api/form/attachment/0fc1fd0d-8ea0-48ab-89cb-f8ef24e6eea5/1581328736892.jpg</v>
      </c>
      <c r="N40" t="str">
        <f>HYPERLINK("https://www.commcarehq.org/a/demo-18/api/form/attachment/0fc1fd0d-8ea0-48ab-89cb-f8ef24e6eea5/1581328843245.jpg")</f>
        <v>https://www.commcarehq.org/a/demo-18/api/form/attachment/0fc1fd0d-8ea0-48ab-89cb-f8ef24e6eea5/1581328843245.jpg</v>
      </c>
      <c r="O40" t="str">
        <f>HYPERLINK("https://www.commcarehq.org/a/demo-18/api/form/attachment/0fc1fd0d-8ea0-48ab-89cb-f8ef24e6eea5/1581328850927.jpg")</f>
        <v>https://www.commcarehq.org/a/demo-18/api/form/attachment/0fc1fd0d-8ea0-48ab-89cb-f8ef24e6eea5/1581328850927.jpg</v>
      </c>
      <c r="P40" t="str">
        <f>HYPERLINK("https://www.commcarehq.org/a/demo-18/api/form/attachment/0fc1fd0d-8ea0-48ab-89cb-f8ef24e6eea5/1581328869803.jpg")</f>
        <v>https://www.commcarehq.org/a/demo-18/api/form/attachment/0fc1fd0d-8ea0-48ab-89cb-f8ef24e6eea5/1581328869803.jpg</v>
      </c>
      <c r="Q40" t="str">
        <f>HYPERLINK("https://www.commcarehq.org/a/demo-18/api/form/attachment/0fc1fd0d-8ea0-48ab-89cb-f8ef24e6eea5/1581328879481.jpg")</f>
        <v>https://www.commcarehq.org/a/demo-18/api/form/attachment/0fc1fd0d-8ea0-48ab-89cb-f8ef24e6eea5/1581328879481.jpg</v>
      </c>
      <c r="R40" s="2">
        <v>43871.417615740742</v>
      </c>
      <c r="S40" s="2">
        <v>43871.415312500001</v>
      </c>
      <c r="T40" t="s">
        <v>32</v>
      </c>
      <c r="U40" s="2">
        <v>43871.417858796296</v>
      </c>
      <c r="V40" t="s">
        <v>1299</v>
      </c>
      <c r="W40" t="s">
        <v>1300</v>
      </c>
    </row>
    <row r="41" spans="1:23" x14ac:dyDescent="0.45">
      <c r="A41" t="s">
        <v>705</v>
      </c>
      <c r="B41">
        <v>8</v>
      </c>
      <c r="C41" s="1">
        <v>43875</v>
      </c>
      <c r="D41" s="1">
        <v>43845</v>
      </c>
      <c r="E41" t="s">
        <v>428</v>
      </c>
      <c r="F41" t="s">
        <v>429</v>
      </c>
      <c r="G41" t="s">
        <v>429</v>
      </c>
      <c r="H41" t="s">
        <v>429</v>
      </c>
      <c r="I41" t="s">
        <v>601</v>
      </c>
      <c r="J41" t="s">
        <v>428</v>
      </c>
      <c r="K41" t="s">
        <v>429</v>
      </c>
      <c r="L41" t="str">
        <f>HYPERLINK("https://www.commcarehq.org/a/demo-18/api/form/attachment/3a8202e9-8e8a-4f1e-968e-58cc21a5522c/1579071296691.jpg")</f>
        <v>https://www.commcarehq.org/a/demo-18/api/form/attachment/3a8202e9-8e8a-4f1e-968e-58cc21a5522c/1579071296691.jpg</v>
      </c>
      <c r="M41" t="str">
        <f>HYPERLINK("https://www.commcarehq.org/a/demo-18/api/form/attachment/3a8202e9-8e8a-4f1e-968e-58cc21a5522c/1579071320318.jpg")</f>
        <v>https://www.commcarehq.org/a/demo-18/api/form/attachment/3a8202e9-8e8a-4f1e-968e-58cc21a5522c/1579071320318.jpg</v>
      </c>
      <c r="N41" t="str">
        <f>HYPERLINK("https://www.commcarehq.org/a/demo-18/api/form/attachment/3a8202e9-8e8a-4f1e-968e-58cc21a5522c/1579071443337.jpg")</f>
        <v>https://www.commcarehq.org/a/demo-18/api/form/attachment/3a8202e9-8e8a-4f1e-968e-58cc21a5522c/1579071443337.jpg</v>
      </c>
      <c r="O41" t="str">
        <f>HYPERLINK("https://www.commcarehq.org/a/demo-18/api/form/attachment/3a8202e9-8e8a-4f1e-968e-58cc21a5522c/1579071453822.jpg")</f>
        <v>https://www.commcarehq.org/a/demo-18/api/form/attachment/3a8202e9-8e8a-4f1e-968e-58cc21a5522c/1579071453822.jpg</v>
      </c>
      <c r="P41" t="str">
        <f>HYPERLINK("https://www.commcarehq.org/a/demo-18/api/form/attachment/3a8202e9-8e8a-4f1e-968e-58cc21a5522c/1579071475448.jpg")</f>
        <v>https://www.commcarehq.org/a/demo-18/api/form/attachment/3a8202e9-8e8a-4f1e-968e-58cc21a5522c/1579071475448.jpg</v>
      </c>
      <c r="Q41" t="str">
        <f>HYPERLINK("https://www.commcarehq.org/a/demo-18/api/form/attachment/3a8202e9-8e8a-4f1e-968e-58cc21a5522c/1579071487431.jpg")</f>
        <v>https://www.commcarehq.org/a/demo-18/api/form/attachment/3a8202e9-8e8a-4f1e-968e-58cc21a5522c/1579071487431.jpg</v>
      </c>
      <c r="R41" s="2">
        <v>43845.290451388886</v>
      </c>
      <c r="S41" s="2">
        <v>43845.287499999999</v>
      </c>
      <c r="T41" t="s">
        <v>32</v>
      </c>
      <c r="U41" s="2">
        <v>43845.290694444448</v>
      </c>
      <c r="V41" t="s">
        <v>1082</v>
      </c>
      <c r="W41" t="s">
        <v>1083</v>
      </c>
    </row>
    <row r="42" spans="1:23" x14ac:dyDescent="0.45">
      <c r="A42" t="s">
        <v>659</v>
      </c>
      <c r="B42">
        <v>7</v>
      </c>
      <c r="C42" s="1">
        <v>43898</v>
      </c>
      <c r="D42" s="1">
        <v>43868</v>
      </c>
      <c r="E42" t="s">
        <v>428</v>
      </c>
      <c r="F42" t="s">
        <v>429</v>
      </c>
      <c r="G42" t="s">
        <v>429</v>
      </c>
      <c r="H42" t="s">
        <v>429</v>
      </c>
      <c r="I42" t="s">
        <v>569</v>
      </c>
      <c r="J42" t="s">
        <v>428</v>
      </c>
      <c r="K42" t="s">
        <v>429</v>
      </c>
      <c r="L42" t="str">
        <f>HYPERLINK("https://www.commcarehq.org/a/demo-18/api/form/attachment/08208155-9cd6-464f-b59e-d8094e351039/1581062893070.jpg")</f>
        <v>https://www.commcarehq.org/a/demo-18/api/form/attachment/08208155-9cd6-464f-b59e-d8094e351039/1581062893070.jpg</v>
      </c>
      <c r="M42" t="str">
        <f>HYPERLINK("https://www.commcarehq.org/a/demo-18/api/form/attachment/08208155-9cd6-464f-b59e-d8094e351039/1581062908908.jpg")</f>
        <v>https://www.commcarehq.org/a/demo-18/api/form/attachment/08208155-9cd6-464f-b59e-d8094e351039/1581062908908.jpg</v>
      </c>
      <c r="N42" t="str">
        <f>HYPERLINK("https://www.commcarehq.org/a/demo-18/api/form/attachment/08208155-9cd6-464f-b59e-d8094e351039/1581062967929.jpg")</f>
        <v>https://www.commcarehq.org/a/demo-18/api/form/attachment/08208155-9cd6-464f-b59e-d8094e351039/1581062967929.jpg</v>
      </c>
      <c r="O42" t="str">
        <f>HYPERLINK("https://www.commcarehq.org/a/demo-18/api/form/attachment/08208155-9cd6-464f-b59e-d8094e351039/1581062979647.jpg")</f>
        <v>https://www.commcarehq.org/a/demo-18/api/form/attachment/08208155-9cd6-464f-b59e-d8094e351039/1581062979647.jpg</v>
      </c>
      <c r="P42" t="str">
        <f>HYPERLINK("https://www.commcarehq.org/a/demo-18/api/form/attachment/08208155-9cd6-464f-b59e-d8094e351039/1581063000634.jpg")</f>
        <v>https://www.commcarehq.org/a/demo-18/api/form/attachment/08208155-9cd6-464f-b59e-d8094e351039/1581063000634.jpg</v>
      </c>
      <c r="Q42" t="str">
        <f>HYPERLINK("https://www.commcarehq.org/a/demo-18/api/form/attachment/08208155-9cd6-464f-b59e-d8094e351039/1581063009654.jpg")</f>
        <v>https://www.commcarehq.org/a/demo-18/api/form/attachment/08208155-9cd6-464f-b59e-d8094e351039/1581063009654.jpg</v>
      </c>
      <c r="R42" s="2">
        <v>43868.340416666666</v>
      </c>
      <c r="S42" s="2">
        <v>43868.338703703703</v>
      </c>
      <c r="T42" t="s">
        <v>32</v>
      </c>
      <c r="U42" s="2">
        <v>43868.340694444443</v>
      </c>
      <c r="V42" t="s">
        <v>1306</v>
      </c>
      <c r="W42" t="s">
        <v>1307</v>
      </c>
    </row>
    <row r="43" spans="1:23" x14ac:dyDescent="0.45">
      <c r="A43" t="s">
        <v>831</v>
      </c>
      <c r="B43">
        <v>7.6</v>
      </c>
      <c r="C43" s="1">
        <v>43828</v>
      </c>
      <c r="D43" s="1">
        <v>43798</v>
      </c>
      <c r="E43" t="s">
        <v>428</v>
      </c>
      <c r="F43" t="s">
        <v>429</v>
      </c>
      <c r="G43" t="s">
        <v>429</v>
      </c>
      <c r="H43" t="s">
        <v>429</v>
      </c>
      <c r="I43" t="s">
        <v>430</v>
      </c>
      <c r="J43" t="s">
        <v>428</v>
      </c>
      <c r="K43" t="s">
        <v>429</v>
      </c>
      <c r="L43" t="str">
        <f>HYPERLINK("https://www.commcarehq.org/a/demo-18/api/form/attachment/03ba184d-2dc9-4564-b38a-7ce65295014b/1575011391008.jpg")</f>
        <v>https://www.commcarehq.org/a/demo-18/api/form/attachment/03ba184d-2dc9-4564-b38a-7ce65295014b/1575011391008.jpg</v>
      </c>
      <c r="M43" t="str">
        <f>HYPERLINK("https://www.commcarehq.org/a/demo-18/api/form/attachment/03ba184d-2dc9-4564-b38a-7ce65295014b/1575011411998.jpg")</f>
        <v>https://www.commcarehq.org/a/demo-18/api/form/attachment/03ba184d-2dc9-4564-b38a-7ce65295014b/1575011411998.jpg</v>
      </c>
      <c r="N43" t="str">
        <f>HYPERLINK("https://www.commcarehq.org/a/demo-18/api/form/attachment/03ba184d-2dc9-4564-b38a-7ce65295014b/1575011463859.jpg")</f>
        <v>https://www.commcarehq.org/a/demo-18/api/form/attachment/03ba184d-2dc9-4564-b38a-7ce65295014b/1575011463859.jpg</v>
      </c>
      <c r="O43" t="str">
        <f>HYPERLINK("https://www.commcarehq.org/a/demo-18/api/form/attachment/03ba184d-2dc9-4564-b38a-7ce65295014b/1575011474845.jpg")</f>
        <v>https://www.commcarehq.org/a/demo-18/api/form/attachment/03ba184d-2dc9-4564-b38a-7ce65295014b/1575011474845.jpg</v>
      </c>
      <c r="P43" t="str">
        <f>HYPERLINK("https://www.commcarehq.org/a/demo-18/api/form/attachment/03ba184d-2dc9-4564-b38a-7ce65295014b/1575011499064.jpg")</f>
        <v>https://www.commcarehq.org/a/demo-18/api/form/attachment/03ba184d-2dc9-4564-b38a-7ce65295014b/1575011499064.jpg</v>
      </c>
      <c r="Q43" t="str">
        <f>HYPERLINK("https://www.commcarehq.org/a/demo-18/api/form/attachment/03ba184d-2dc9-4564-b38a-7ce65295014b/1575011511314.jpg")</f>
        <v>https://www.commcarehq.org/a/demo-18/api/form/attachment/03ba184d-2dc9-4564-b38a-7ce65295014b/1575011511314.jpg</v>
      </c>
      <c r="R43" s="2">
        <v>43798.299930555557</v>
      </c>
      <c r="S43" s="2">
        <v>43798.2968287037</v>
      </c>
      <c r="T43" t="s">
        <v>32</v>
      </c>
      <c r="U43" s="2">
        <v>43798.365729166668</v>
      </c>
      <c r="V43" t="s">
        <v>832</v>
      </c>
      <c r="W43" t="s">
        <v>833</v>
      </c>
    </row>
    <row r="44" spans="1:23" x14ac:dyDescent="0.45">
      <c r="A44" t="s">
        <v>662</v>
      </c>
      <c r="B44">
        <v>7.1</v>
      </c>
      <c r="C44" s="1">
        <v>43898</v>
      </c>
      <c r="D44" s="1">
        <v>43868</v>
      </c>
      <c r="E44" t="s">
        <v>428</v>
      </c>
      <c r="F44" t="s">
        <v>429</v>
      </c>
      <c r="G44" t="s">
        <v>429</v>
      </c>
      <c r="H44" t="s">
        <v>429</v>
      </c>
      <c r="I44" t="s">
        <v>569</v>
      </c>
      <c r="J44" t="s">
        <v>428</v>
      </c>
      <c r="K44" t="s">
        <v>429</v>
      </c>
      <c r="L44" t="str">
        <f>HYPERLINK("https://www.commcarehq.org/a/demo-18/api/form/attachment/8cc3d570-0cd8-4b53-a23d-afbf6222ca25/1581058856393.jpg")</f>
        <v>https://www.commcarehq.org/a/demo-18/api/form/attachment/8cc3d570-0cd8-4b53-a23d-afbf6222ca25/1581058856393.jpg</v>
      </c>
      <c r="M44" t="str">
        <f>HYPERLINK("https://www.commcarehq.org/a/demo-18/api/form/attachment/8cc3d570-0cd8-4b53-a23d-afbf6222ca25/1581058869593.jpg")</f>
        <v>https://www.commcarehq.org/a/demo-18/api/form/attachment/8cc3d570-0cd8-4b53-a23d-afbf6222ca25/1581058869593.jpg</v>
      </c>
      <c r="N44" t="str">
        <f>HYPERLINK("https://www.commcarehq.org/a/demo-18/api/form/attachment/8cc3d570-0cd8-4b53-a23d-afbf6222ca25/1581058901881.jpg")</f>
        <v>https://www.commcarehq.org/a/demo-18/api/form/attachment/8cc3d570-0cd8-4b53-a23d-afbf6222ca25/1581058901881.jpg</v>
      </c>
      <c r="O44" t="str">
        <f>HYPERLINK("https://www.commcarehq.org/a/demo-18/api/form/attachment/8cc3d570-0cd8-4b53-a23d-afbf6222ca25/1581058919859.jpg")</f>
        <v>https://www.commcarehq.org/a/demo-18/api/form/attachment/8cc3d570-0cd8-4b53-a23d-afbf6222ca25/1581058919859.jpg</v>
      </c>
      <c r="P44" t="str">
        <f>HYPERLINK("https://www.commcarehq.org/a/demo-18/api/form/attachment/8cc3d570-0cd8-4b53-a23d-afbf6222ca25/1581058937734.jpg")</f>
        <v>https://www.commcarehq.org/a/demo-18/api/form/attachment/8cc3d570-0cd8-4b53-a23d-afbf6222ca25/1581058937734.jpg</v>
      </c>
      <c r="Q44" t="str">
        <f>HYPERLINK("https://www.commcarehq.org/a/demo-18/api/form/attachment/8cc3d570-0cd8-4b53-a23d-afbf6222ca25/1581058948117.jpg")</f>
        <v>https://www.commcarehq.org/a/demo-18/api/form/attachment/8cc3d570-0cd8-4b53-a23d-afbf6222ca25/1581058948117.jpg</v>
      </c>
      <c r="R44" s="2">
        <v>43868.293391203704</v>
      </c>
      <c r="S44" s="2">
        <v>43868.289710648147</v>
      </c>
      <c r="T44" t="s">
        <v>32</v>
      </c>
      <c r="U44" s="2">
        <v>43868.293668981481</v>
      </c>
      <c r="V44" t="s">
        <v>1308</v>
      </c>
      <c r="W44" t="s">
        <v>1309</v>
      </c>
    </row>
    <row r="45" spans="1:23" x14ac:dyDescent="0.45">
      <c r="A45" t="s">
        <v>813</v>
      </c>
      <c r="B45">
        <v>7.2</v>
      </c>
      <c r="C45" s="1">
        <v>43868</v>
      </c>
      <c r="D45" s="1">
        <v>43838</v>
      </c>
      <c r="E45" t="s">
        <v>428</v>
      </c>
      <c r="F45" t="s">
        <v>429</v>
      </c>
      <c r="G45" t="s">
        <v>429</v>
      </c>
      <c r="H45" t="s">
        <v>429</v>
      </c>
      <c r="I45" t="s">
        <v>430</v>
      </c>
      <c r="J45" t="s">
        <v>428</v>
      </c>
      <c r="K45" t="s">
        <v>429</v>
      </c>
      <c r="L45" t="str">
        <f>HYPERLINK("https://www.commcarehq.org/a/demo-18/api/form/attachment/8b204a3b-149c-4bd9-a93f-163be5537416/1578467773389.jpg")</f>
        <v>https://www.commcarehq.org/a/demo-18/api/form/attachment/8b204a3b-149c-4bd9-a93f-163be5537416/1578467773389.jpg</v>
      </c>
      <c r="M45" t="str">
        <f>HYPERLINK("https://www.commcarehq.org/a/demo-18/api/form/attachment/8b204a3b-149c-4bd9-a93f-163be5537416/1578467795056.jpg")</f>
        <v>https://www.commcarehq.org/a/demo-18/api/form/attachment/8b204a3b-149c-4bd9-a93f-163be5537416/1578467795056.jpg</v>
      </c>
      <c r="N45" t="str">
        <f>HYPERLINK("https://www.commcarehq.org/a/demo-18/api/form/attachment/8b204a3b-149c-4bd9-a93f-163be5537416/1578467840796.jpg")</f>
        <v>https://www.commcarehq.org/a/demo-18/api/form/attachment/8b204a3b-149c-4bd9-a93f-163be5537416/1578467840796.jpg</v>
      </c>
      <c r="O45" t="str">
        <f>HYPERLINK("https://www.commcarehq.org/a/demo-18/api/form/attachment/8b204a3b-149c-4bd9-a93f-163be5537416/1578467853605.jpg")</f>
        <v>https://www.commcarehq.org/a/demo-18/api/form/attachment/8b204a3b-149c-4bd9-a93f-163be5537416/1578467853605.jpg</v>
      </c>
      <c r="P45" t="str">
        <f>HYPERLINK("https://www.commcarehq.org/a/demo-18/api/form/attachment/8b204a3b-149c-4bd9-a93f-163be5537416/1578467874185.jpg")</f>
        <v>https://www.commcarehq.org/a/demo-18/api/form/attachment/8b204a3b-149c-4bd9-a93f-163be5537416/1578467874185.jpg</v>
      </c>
      <c r="Q45" t="str">
        <f>HYPERLINK("https://www.commcarehq.org/a/demo-18/api/form/attachment/8b204a3b-149c-4bd9-a93f-163be5537416/1578467885533.jpg")</f>
        <v>https://www.commcarehq.org/a/demo-18/api/form/attachment/8b204a3b-149c-4bd9-a93f-163be5537416/1578467885533.jpg</v>
      </c>
      <c r="R45" s="2">
        <v>43838.304247685184</v>
      </c>
      <c r="S45" s="2">
        <v>43838.302499999998</v>
      </c>
      <c r="T45" t="s">
        <v>32</v>
      </c>
      <c r="U45" s="2">
        <v>43838.304467592592</v>
      </c>
      <c r="V45" t="s">
        <v>1001</v>
      </c>
      <c r="W45" t="s">
        <v>1002</v>
      </c>
    </row>
    <row r="46" spans="1:23" x14ac:dyDescent="0.45">
      <c r="A46" t="s">
        <v>822</v>
      </c>
      <c r="B46">
        <v>6.5</v>
      </c>
      <c r="C46" s="1">
        <v>43868</v>
      </c>
      <c r="D46" s="1">
        <v>43838</v>
      </c>
      <c r="E46" t="s">
        <v>428</v>
      </c>
      <c r="F46" t="s">
        <v>429</v>
      </c>
      <c r="G46" t="s">
        <v>429</v>
      </c>
      <c r="H46" t="s">
        <v>429</v>
      </c>
      <c r="I46" t="s">
        <v>447</v>
      </c>
      <c r="J46" t="s">
        <v>428</v>
      </c>
      <c r="K46" t="s">
        <v>429</v>
      </c>
      <c r="L46" t="str">
        <f>HYPERLINK("https://www.commcarehq.org/a/demo-18/api/form/attachment/05783d3b-3e96-44d5-9a10-8edcadf16926/1578467384691.jpg")</f>
        <v>https://www.commcarehq.org/a/demo-18/api/form/attachment/05783d3b-3e96-44d5-9a10-8edcadf16926/1578467384691.jpg</v>
      </c>
      <c r="M46" t="str">
        <f>HYPERLINK("https://www.commcarehq.org/a/demo-18/api/form/attachment/05783d3b-3e96-44d5-9a10-8edcadf16926/1578467409695.jpg")</f>
        <v>https://www.commcarehq.org/a/demo-18/api/form/attachment/05783d3b-3e96-44d5-9a10-8edcadf16926/1578467409695.jpg</v>
      </c>
      <c r="N46" t="str">
        <f>HYPERLINK("https://www.commcarehq.org/a/demo-18/api/form/attachment/05783d3b-3e96-44d5-9a10-8edcadf16926/1578467491822.jpg")</f>
        <v>https://www.commcarehq.org/a/demo-18/api/form/attachment/05783d3b-3e96-44d5-9a10-8edcadf16926/1578467491822.jpg</v>
      </c>
      <c r="O46" t="str">
        <f>HYPERLINK("https://www.commcarehq.org/a/demo-18/api/form/attachment/05783d3b-3e96-44d5-9a10-8edcadf16926/1578467501472.jpg")</f>
        <v>https://www.commcarehq.org/a/demo-18/api/form/attachment/05783d3b-3e96-44d5-9a10-8edcadf16926/1578467501472.jpg</v>
      </c>
      <c r="P46" t="str">
        <f>HYPERLINK("https://www.commcarehq.org/a/demo-18/api/form/attachment/05783d3b-3e96-44d5-9a10-8edcadf16926/1578467516281.jpg")</f>
        <v>https://www.commcarehq.org/a/demo-18/api/form/attachment/05783d3b-3e96-44d5-9a10-8edcadf16926/1578467516281.jpg</v>
      </c>
      <c r="Q46" t="str">
        <f>HYPERLINK("https://www.commcarehq.org/a/demo-18/api/form/attachment/05783d3b-3e96-44d5-9a10-8edcadf16926/1578467528526.jpg")</f>
        <v>https://www.commcarehq.org/a/demo-18/api/form/attachment/05783d3b-3e96-44d5-9a10-8edcadf16926/1578467528526.jpg</v>
      </c>
      <c r="R46" s="2">
        <v>43838.300127314818</v>
      </c>
      <c r="S46" s="2">
        <v>43838.297997685186</v>
      </c>
      <c r="T46" t="s">
        <v>32</v>
      </c>
      <c r="U46" s="2">
        <v>43838.300509259258</v>
      </c>
      <c r="V46" t="s">
        <v>1005</v>
      </c>
      <c r="W46" t="s">
        <v>1006</v>
      </c>
    </row>
    <row r="47" spans="1:23" x14ac:dyDescent="0.45">
      <c r="A47" t="s">
        <v>819</v>
      </c>
      <c r="B47">
        <v>7</v>
      </c>
      <c r="C47" s="1">
        <v>43835</v>
      </c>
      <c r="D47" s="1">
        <v>43805</v>
      </c>
      <c r="E47" t="s">
        <v>428</v>
      </c>
      <c r="F47" t="s">
        <v>429</v>
      </c>
      <c r="G47" t="s">
        <v>429</v>
      </c>
      <c r="H47" t="s">
        <v>429</v>
      </c>
      <c r="I47" t="s">
        <v>447</v>
      </c>
      <c r="J47" t="s">
        <v>428</v>
      </c>
      <c r="K47" t="s">
        <v>429</v>
      </c>
      <c r="L47" t="str">
        <f>HYPERLINK("https://www.commcarehq.org/a/demo-18/api/form/attachment/ab798861-1596-4aa6-b63c-2397b511dc66/1575619970057.jpg")</f>
        <v>https://www.commcarehq.org/a/demo-18/api/form/attachment/ab798861-1596-4aa6-b63c-2397b511dc66/1575619970057.jpg</v>
      </c>
      <c r="M47" t="str">
        <f>HYPERLINK("https://www.commcarehq.org/a/demo-18/api/form/attachment/ab798861-1596-4aa6-b63c-2397b511dc66/1575619989418.jpg")</f>
        <v>https://www.commcarehq.org/a/demo-18/api/form/attachment/ab798861-1596-4aa6-b63c-2397b511dc66/1575619989418.jpg</v>
      </c>
      <c r="N47" t="str">
        <f>HYPERLINK("https://www.commcarehq.org/a/demo-18/api/form/attachment/ab798861-1596-4aa6-b63c-2397b511dc66/1575620066697.jpg")</f>
        <v>https://www.commcarehq.org/a/demo-18/api/form/attachment/ab798861-1596-4aa6-b63c-2397b511dc66/1575620066697.jpg</v>
      </c>
      <c r="O47" t="str">
        <f>HYPERLINK("https://www.commcarehq.org/a/demo-18/api/form/attachment/ab798861-1596-4aa6-b63c-2397b511dc66/1575620077943.jpg")</f>
        <v>https://www.commcarehq.org/a/demo-18/api/form/attachment/ab798861-1596-4aa6-b63c-2397b511dc66/1575620077943.jpg</v>
      </c>
      <c r="P47" t="str">
        <f>HYPERLINK("https://www.commcarehq.org/a/demo-18/api/form/attachment/ab798861-1596-4aa6-b63c-2397b511dc66/1575620115591.jpg")</f>
        <v>https://www.commcarehq.org/a/demo-18/api/form/attachment/ab798861-1596-4aa6-b63c-2397b511dc66/1575620115591.jpg</v>
      </c>
      <c r="Q47" t="str">
        <f>HYPERLINK("https://www.commcarehq.org/a/demo-18/api/form/attachment/ab798861-1596-4aa6-b63c-2397b511dc66/1575620136281.jpg")</f>
        <v>https://www.commcarehq.org/a/demo-18/api/form/attachment/ab798861-1596-4aa6-b63c-2397b511dc66/1575620136281.jpg</v>
      </c>
      <c r="R47" s="2">
        <v>43805.344189814816</v>
      </c>
      <c r="S47" s="2">
        <v>43805.341643518521</v>
      </c>
      <c r="T47" t="s">
        <v>32</v>
      </c>
      <c r="U47" s="2">
        <v>43805.344444444447</v>
      </c>
      <c r="V47" t="s">
        <v>836</v>
      </c>
      <c r="W47" t="s">
        <v>837</v>
      </c>
    </row>
    <row r="48" spans="1:23" x14ac:dyDescent="0.45">
      <c r="A48" t="s">
        <v>682</v>
      </c>
      <c r="B48">
        <v>7.6</v>
      </c>
      <c r="C48" s="1">
        <v>43868</v>
      </c>
      <c r="D48" s="1">
        <v>43838</v>
      </c>
      <c r="E48" t="s">
        <v>428</v>
      </c>
      <c r="F48" t="s">
        <v>429</v>
      </c>
      <c r="G48" t="s">
        <v>429</v>
      </c>
      <c r="H48" t="s">
        <v>429</v>
      </c>
      <c r="I48" t="s">
        <v>544</v>
      </c>
      <c r="J48" t="s">
        <v>428</v>
      </c>
      <c r="K48" t="s">
        <v>429</v>
      </c>
      <c r="L48" t="str">
        <f>HYPERLINK("https://www.commcarehq.org/a/demo-18/api/form/attachment/15750c0f-5702-4b1b-b98c-cce14ea694b9/1578468318020.jpg")</f>
        <v>https://www.commcarehq.org/a/demo-18/api/form/attachment/15750c0f-5702-4b1b-b98c-cce14ea694b9/1578468318020.jpg</v>
      </c>
      <c r="M48" t="str">
        <f>HYPERLINK("https://www.commcarehq.org/a/demo-18/api/form/attachment/15750c0f-5702-4b1b-b98c-cce14ea694b9/1578468342966.jpg")</f>
        <v>https://www.commcarehq.org/a/demo-18/api/form/attachment/15750c0f-5702-4b1b-b98c-cce14ea694b9/1578468342966.jpg</v>
      </c>
      <c r="N48" t="str">
        <f>HYPERLINK("https://www.commcarehq.org/a/demo-18/api/form/attachment/15750c0f-5702-4b1b-b98c-cce14ea694b9/1578468491383.jpg")</f>
        <v>https://www.commcarehq.org/a/demo-18/api/form/attachment/15750c0f-5702-4b1b-b98c-cce14ea694b9/1578468491383.jpg</v>
      </c>
      <c r="O48" t="str">
        <f>HYPERLINK("https://www.commcarehq.org/a/demo-18/api/form/attachment/15750c0f-5702-4b1b-b98c-cce14ea694b9/1578468501231.jpg")</f>
        <v>https://www.commcarehq.org/a/demo-18/api/form/attachment/15750c0f-5702-4b1b-b98c-cce14ea694b9/1578468501231.jpg</v>
      </c>
      <c r="P48" t="str">
        <f>HYPERLINK("https://www.commcarehq.org/a/demo-18/api/form/attachment/15750c0f-5702-4b1b-b98c-cce14ea694b9/1578468518139.jpg")</f>
        <v>https://www.commcarehq.org/a/demo-18/api/form/attachment/15750c0f-5702-4b1b-b98c-cce14ea694b9/1578468518139.jpg</v>
      </c>
      <c r="Q48" t="str">
        <f>HYPERLINK("https://www.commcarehq.org/a/demo-18/api/form/attachment/15750c0f-5702-4b1b-b98c-cce14ea694b9/1578468529867.jpg")</f>
        <v>https://www.commcarehq.org/a/demo-18/api/form/attachment/15750c0f-5702-4b1b-b98c-cce14ea694b9/1578468529867.jpg</v>
      </c>
      <c r="R48" s="2">
        <v>43838.311712962961</v>
      </c>
      <c r="S48" s="2">
        <v>43838.308541666665</v>
      </c>
      <c r="T48" t="s">
        <v>32</v>
      </c>
      <c r="U48" s="2">
        <v>43838.311909722222</v>
      </c>
      <c r="V48" t="s">
        <v>1011</v>
      </c>
      <c r="W48" t="s">
        <v>1012</v>
      </c>
    </row>
    <row r="49" spans="1:23" x14ac:dyDescent="0.45">
      <c r="A49" t="s">
        <v>712</v>
      </c>
      <c r="B49">
        <v>5.8</v>
      </c>
      <c r="C49" s="1">
        <v>43901</v>
      </c>
      <c r="D49" s="1">
        <v>43871</v>
      </c>
      <c r="E49" t="s">
        <v>428</v>
      </c>
      <c r="F49" t="s">
        <v>429</v>
      </c>
      <c r="G49" t="s">
        <v>429</v>
      </c>
      <c r="H49" t="s">
        <v>429</v>
      </c>
      <c r="I49" t="s">
        <v>1110</v>
      </c>
      <c r="J49" t="s">
        <v>428</v>
      </c>
      <c r="K49" t="s">
        <v>429</v>
      </c>
      <c r="L49" t="str">
        <f>HYPERLINK("https://www.commcarehq.org/a/demo-18/api/form/attachment/6d6d5732-19f9-4f80-8d9b-78a45366442a/1581327799770.jpg")</f>
        <v>https://www.commcarehq.org/a/demo-18/api/form/attachment/6d6d5732-19f9-4f80-8d9b-78a45366442a/1581327799770.jpg</v>
      </c>
      <c r="M49" t="str">
        <f>HYPERLINK("https://www.commcarehq.org/a/demo-18/api/form/attachment/6d6d5732-19f9-4f80-8d9b-78a45366442a/1581327816386.jpg")</f>
        <v>https://www.commcarehq.org/a/demo-18/api/form/attachment/6d6d5732-19f9-4f80-8d9b-78a45366442a/1581327816386.jpg</v>
      </c>
      <c r="N49" t="str">
        <f>HYPERLINK("https://www.commcarehq.org/a/demo-18/api/form/attachment/6d6d5732-19f9-4f80-8d9b-78a45366442a/1581327853332.jpg")</f>
        <v>https://www.commcarehq.org/a/demo-18/api/form/attachment/6d6d5732-19f9-4f80-8d9b-78a45366442a/1581327853332.jpg</v>
      </c>
      <c r="O49" t="str">
        <f>HYPERLINK("https://www.commcarehq.org/a/demo-18/api/form/attachment/6d6d5732-19f9-4f80-8d9b-78a45366442a/1581327862690.jpg")</f>
        <v>https://www.commcarehq.org/a/demo-18/api/form/attachment/6d6d5732-19f9-4f80-8d9b-78a45366442a/1581327862690.jpg</v>
      </c>
      <c r="P49" t="str">
        <f>HYPERLINK("https://www.commcarehq.org/a/demo-18/api/form/attachment/6d6d5732-19f9-4f80-8d9b-78a45366442a/1581327877612.jpg")</f>
        <v>https://www.commcarehq.org/a/demo-18/api/form/attachment/6d6d5732-19f9-4f80-8d9b-78a45366442a/1581327877612.jpg</v>
      </c>
      <c r="Q49" t="str">
        <f>HYPERLINK("https://www.commcarehq.org/a/demo-18/api/form/attachment/6d6d5732-19f9-4f80-8d9b-78a45366442a/1581327887687.jpg")</f>
        <v>https://www.commcarehq.org/a/demo-18/api/form/attachment/6d6d5732-19f9-4f80-8d9b-78a45366442a/1581327887687.jpg</v>
      </c>
      <c r="R49" s="2">
        <v>43871.406122685185</v>
      </c>
      <c r="S49" s="2">
        <v>43871.404606481483</v>
      </c>
      <c r="T49" t="s">
        <v>32</v>
      </c>
      <c r="U49" s="2">
        <v>43871.406446759262</v>
      </c>
      <c r="V49" t="s">
        <v>1324</v>
      </c>
      <c r="W49" t="s">
        <v>1325</v>
      </c>
    </row>
    <row r="50" spans="1:23" x14ac:dyDescent="0.45">
      <c r="A50" t="s">
        <v>594</v>
      </c>
      <c r="B50">
        <v>8.1999999999999993</v>
      </c>
      <c r="C50" s="1">
        <v>43901</v>
      </c>
      <c r="D50" s="1">
        <v>43871</v>
      </c>
      <c r="E50" t="s">
        <v>428</v>
      </c>
      <c r="F50" t="s">
        <v>429</v>
      </c>
      <c r="G50" t="s">
        <v>429</v>
      </c>
      <c r="H50" t="s">
        <v>429</v>
      </c>
      <c r="I50" t="s">
        <v>579</v>
      </c>
      <c r="J50" t="s">
        <v>428</v>
      </c>
      <c r="K50" t="s">
        <v>429</v>
      </c>
      <c r="L50" t="str">
        <f>HYPERLINK("https://www.commcarehq.org/a/demo-18/api/form/attachment/eb5f7188-6f3f-44ee-bebd-0fb30f643280/1581326611679.jpg")</f>
        <v>https://www.commcarehq.org/a/demo-18/api/form/attachment/eb5f7188-6f3f-44ee-bebd-0fb30f643280/1581326611679.jpg</v>
      </c>
      <c r="M50" t="str">
        <f>HYPERLINK("https://www.commcarehq.org/a/demo-18/api/form/attachment/eb5f7188-6f3f-44ee-bebd-0fb30f643280/1581326628195.jpg")</f>
        <v>https://www.commcarehq.org/a/demo-18/api/form/attachment/eb5f7188-6f3f-44ee-bebd-0fb30f643280/1581326628195.jpg</v>
      </c>
      <c r="N50" t="str">
        <f>HYPERLINK("https://www.commcarehq.org/a/demo-18/api/form/attachment/eb5f7188-6f3f-44ee-bebd-0fb30f643280/1581326678213.jpg")</f>
        <v>https://www.commcarehq.org/a/demo-18/api/form/attachment/eb5f7188-6f3f-44ee-bebd-0fb30f643280/1581326678213.jpg</v>
      </c>
      <c r="O50" t="str">
        <f>HYPERLINK("https://www.commcarehq.org/a/demo-18/api/form/attachment/eb5f7188-6f3f-44ee-bebd-0fb30f643280/1581326686799.jpg")</f>
        <v>https://www.commcarehq.org/a/demo-18/api/form/attachment/eb5f7188-6f3f-44ee-bebd-0fb30f643280/1581326686799.jpg</v>
      </c>
      <c r="P50" t="str">
        <f>HYPERLINK("https://www.commcarehq.org/a/demo-18/api/form/attachment/eb5f7188-6f3f-44ee-bebd-0fb30f643280/1581326698531.jpg")</f>
        <v>https://www.commcarehq.org/a/demo-18/api/form/attachment/eb5f7188-6f3f-44ee-bebd-0fb30f643280/1581326698531.jpg</v>
      </c>
      <c r="Q50" t="str">
        <f>HYPERLINK("https://www.commcarehq.org/a/demo-18/api/form/attachment/eb5f7188-6f3f-44ee-bebd-0fb30f643280/1581326706618.jpg")</f>
        <v>https://www.commcarehq.org/a/demo-18/api/form/attachment/eb5f7188-6f3f-44ee-bebd-0fb30f643280/1581326706618.jpg</v>
      </c>
      <c r="R50" s="2">
        <v>43871.392453703702</v>
      </c>
      <c r="S50" s="2">
        <v>43871.390925925924</v>
      </c>
      <c r="T50" t="s">
        <v>32</v>
      </c>
      <c r="U50" s="2">
        <v>43871.392766203702</v>
      </c>
      <c r="V50" t="s">
        <v>1313</v>
      </c>
      <c r="W50" t="s">
        <v>1314</v>
      </c>
    </row>
    <row r="51" spans="1:23" x14ac:dyDescent="0.45">
      <c r="A51" t="s">
        <v>750</v>
      </c>
      <c r="B51">
        <v>8.1999999999999993</v>
      </c>
      <c r="C51" s="1">
        <v>43905</v>
      </c>
      <c r="D51" s="1">
        <v>43875</v>
      </c>
      <c r="E51" t="s">
        <v>428</v>
      </c>
      <c r="F51" t="s">
        <v>429</v>
      </c>
      <c r="G51" t="s">
        <v>429</v>
      </c>
      <c r="H51" t="s">
        <v>429</v>
      </c>
      <c r="I51" t="s">
        <v>498</v>
      </c>
      <c r="J51" t="s">
        <v>428</v>
      </c>
      <c r="K51" t="s">
        <v>429</v>
      </c>
      <c r="L51" t="str">
        <f>HYPERLINK("https://www.commcarehq.org/a/demo-18/api/form/attachment/82a55fd7-7701-46e5-ac4c-a7d45311fb4b/1581672016886.jpg")</f>
        <v>https://www.commcarehq.org/a/demo-18/api/form/attachment/82a55fd7-7701-46e5-ac4c-a7d45311fb4b/1581672016886.jpg</v>
      </c>
      <c r="M51" t="str">
        <f>HYPERLINK("https://www.commcarehq.org/a/demo-18/api/form/attachment/82a55fd7-7701-46e5-ac4c-a7d45311fb4b/1581672030462.jpg")</f>
        <v>https://www.commcarehq.org/a/demo-18/api/form/attachment/82a55fd7-7701-46e5-ac4c-a7d45311fb4b/1581672030462.jpg</v>
      </c>
      <c r="N51" t="str">
        <f>HYPERLINK("https://www.commcarehq.org/a/demo-18/api/form/attachment/82a55fd7-7701-46e5-ac4c-a7d45311fb4b/1581672060203.jpg")</f>
        <v>https://www.commcarehq.org/a/demo-18/api/form/attachment/82a55fd7-7701-46e5-ac4c-a7d45311fb4b/1581672060203.jpg</v>
      </c>
      <c r="O51" t="str">
        <f>HYPERLINK("https://www.commcarehq.org/a/demo-18/api/form/attachment/82a55fd7-7701-46e5-ac4c-a7d45311fb4b/1581672068883.jpg")</f>
        <v>https://www.commcarehq.org/a/demo-18/api/form/attachment/82a55fd7-7701-46e5-ac4c-a7d45311fb4b/1581672068883.jpg</v>
      </c>
      <c r="P51" t="str">
        <f>HYPERLINK("https://www.commcarehq.org/a/demo-18/api/form/attachment/82a55fd7-7701-46e5-ac4c-a7d45311fb4b/1581672086597.jpg")</f>
        <v>https://www.commcarehq.org/a/demo-18/api/form/attachment/82a55fd7-7701-46e5-ac4c-a7d45311fb4b/1581672086597.jpg</v>
      </c>
      <c r="Q51" t="str">
        <f>HYPERLINK("https://www.commcarehq.org/a/demo-18/api/form/attachment/82a55fd7-7701-46e5-ac4c-a7d45311fb4b/1581672096534.jpg")</f>
        <v>https://www.commcarehq.org/a/demo-18/api/form/attachment/82a55fd7-7701-46e5-ac4c-a7d45311fb4b/1581672096534.jpg</v>
      </c>
      <c r="R51" s="2">
        <v>43875.390023148146</v>
      </c>
      <c r="S51" s="2">
        <v>43875.388668981483</v>
      </c>
      <c r="T51" t="s">
        <v>32</v>
      </c>
      <c r="U51" s="2">
        <v>43875.390300925923</v>
      </c>
      <c r="V51" t="s">
        <v>1295</v>
      </c>
      <c r="W51" t="s">
        <v>1296</v>
      </c>
    </row>
    <row r="52" spans="1:23" x14ac:dyDescent="0.45">
      <c r="A52" t="s">
        <v>641</v>
      </c>
      <c r="B52">
        <v>4.8</v>
      </c>
      <c r="C52" s="1">
        <v>43875</v>
      </c>
      <c r="D52" s="1">
        <v>43845</v>
      </c>
      <c r="E52" t="s">
        <v>428</v>
      </c>
      <c r="F52" t="s">
        <v>429</v>
      </c>
      <c r="G52" t="s">
        <v>429</v>
      </c>
      <c r="H52" t="s">
        <v>429</v>
      </c>
      <c r="I52" t="s">
        <v>484</v>
      </c>
      <c r="J52" t="s">
        <v>428</v>
      </c>
      <c r="K52" t="s">
        <v>429</v>
      </c>
      <c r="L52" t="str">
        <f>HYPERLINK("https://www.commcarehq.org/a/demo-18/api/form/attachment/85a814a4-42f4-49bb-b42b-e028c36dc893/1579079891729.jpg")</f>
        <v>https://www.commcarehq.org/a/demo-18/api/form/attachment/85a814a4-42f4-49bb-b42b-e028c36dc893/1579079891729.jpg</v>
      </c>
      <c r="M52" t="str">
        <f>HYPERLINK("https://www.commcarehq.org/a/demo-18/api/form/attachment/85a814a4-42f4-49bb-b42b-e028c36dc893/1579079908751.jpg")</f>
        <v>https://www.commcarehq.org/a/demo-18/api/form/attachment/85a814a4-42f4-49bb-b42b-e028c36dc893/1579079908751.jpg</v>
      </c>
      <c r="N52" t="str">
        <f>HYPERLINK("https://www.commcarehq.org/a/demo-18/api/form/attachment/85a814a4-42f4-49bb-b42b-e028c36dc893/1579079973379.jpg")</f>
        <v>https://www.commcarehq.org/a/demo-18/api/form/attachment/85a814a4-42f4-49bb-b42b-e028c36dc893/1579079973379.jpg</v>
      </c>
      <c r="O52" t="str">
        <f>HYPERLINK("https://www.commcarehq.org/a/demo-18/api/form/attachment/85a814a4-42f4-49bb-b42b-e028c36dc893/1579079983713.jpg")</f>
        <v>https://www.commcarehq.org/a/demo-18/api/form/attachment/85a814a4-42f4-49bb-b42b-e028c36dc893/1579079983713.jpg</v>
      </c>
      <c r="P52" t="str">
        <f>HYPERLINK("https://www.commcarehq.org/a/demo-18/api/form/attachment/85a814a4-42f4-49bb-b42b-e028c36dc893/1579080011881.jpg")</f>
        <v>https://www.commcarehq.org/a/demo-18/api/form/attachment/85a814a4-42f4-49bb-b42b-e028c36dc893/1579080011881.jpg</v>
      </c>
      <c r="Q52" t="str">
        <f>HYPERLINK("https://www.commcarehq.org/a/demo-18/api/form/attachment/85a814a4-42f4-49bb-b42b-e028c36dc893/1579080023122.jpg")</f>
        <v>https://www.commcarehq.org/a/demo-18/api/form/attachment/85a814a4-42f4-49bb-b42b-e028c36dc893/1579080023122.jpg</v>
      </c>
      <c r="R52" s="2">
        <v>43845.389178240737</v>
      </c>
      <c r="S52" s="2">
        <v>43845.385833333334</v>
      </c>
      <c r="T52" t="s">
        <v>32</v>
      </c>
      <c r="U52" s="2">
        <v>43845.389363425929</v>
      </c>
      <c r="V52" t="s">
        <v>1076</v>
      </c>
      <c r="W52" t="s">
        <v>1077</v>
      </c>
    </row>
    <row r="53" spans="1:23" x14ac:dyDescent="0.45">
      <c r="A53" t="s">
        <v>674</v>
      </c>
      <c r="B53">
        <v>8</v>
      </c>
      <c r="C53" s="1">
        <v>43911</v>
      </c>
      <c r="D53" s="1">
        <v>43881</v>
      </c>
      <c r="E53" t="s">
        <v>428</v>
      </c>
      <c r="F53" t="s">
        <v>429</v>
      </c>
      <c r="G53" t="s">
        <v>429</v>
      </c>
      <c r="H53" t="s">
        <v>429</v>
      </c>
      <c r="I53" t="s">
        <v>447</v>
      </c>
      <c r="J53" t="s">
        <v>428</v>
      </c>
      <c r="K53" t="s">
        <v>429</v>
      </c>
      <c r="L53" t="str">
        <f>HYPERLINK("https://www.commcarehq.org/a/demo-18/api/form/attachment/6cf71d63-d034-4b95-9b17-2732b9f3d6a7/1582188747812.jpg")</f>
        <v>https://www.commcarehq.org/a/demo-18/api/form/attachment/6cf71d63-d034-4b95-9b17-2732b9f3d6a7/1582188747812.jpg</v>
      </c>
      <c r="M53" t="str">
        <f>HYPERLINK("https://www.commcarehq.org/a/demo-18/api/form/attachment/6cf71d63-d034-4b95-9b17-2732b9f3d6a7/1582188761842.jpg")</f>
        <v>https://www.commcarehq.org/a/demo-18/api/form/attachment/6cf71d63-d034-4b95-9b17-2732b9f3d6a7/1582188761842.jpg</v>
      </c>
      <c r="N53" t="str">
        <f>HYPERLINK("https://www.commcarehq.org/a/demo-18/api/form/attachment/6cf71d63-d034-4b95-9b17-2732b9f3d6a7/1582188821295.jpg")</f>
        <v>https://www.commcarehq.org/a/demo-18/api/form/attachment/6cf71d63-d034-4b95-9b17-2732b9f3d6a7/1582188821295.jpg</v>
      </c>
      <c r="O53" t="str">
        <f>HYPERLINK("https://www.commcarehq.org/a/demo-18/api/form/attachment/6cf71d63-d034-4b95-9b17-2732b9f3d6a7/1582188830601.jpg")</f>
        <v>https://www.commcarehq.org/a/demo-18/api/form/attachment/6cf71d63-d034-4b95-9b17-2732b9f3d6a7/1582188830601.jpg</v>
      </c>
      <c r="P53" t="str">
        <f>HYPERLINK("https://www.commcarehq.org/a/demo-18/api/form/attachment/6cf71d63-d034-4b95-9b17-2732b9f3d6a7/1582188855168.jpg")</f>
        <v>https://www.commcarehq.org/a/demo-18/api/form/attachment/6cf71d63-d034-4b95-9b17-2732b9f3d6a7/1582188855168.jpg</v>
      </c>
      <c r="Q53" t="str">
        <f>HYPERLINK("https://www.commcarehq.org/a/demo-18/api/form/attachment/6cf71d63-d034-4b95-9b17-2732b9f3d6a7/1582188863797.jpg")</f>
        <v>https://www.commcarehq.org/a/demo-18/api/form/attachment/6cf71d63-d034-4b95-9b17-2732b9f3d6a7/1582188863797.jpg</v>
      </c>
      <c r="R53" s="2">
        <v>43881.371134259258</v>
      </c>
      <c r="S53" s="2">
        <v>43881.369421296295</v>
      </c>
      <c r="T53" t="s">
        <v>32</v>
      </c>
      <c r="U53" s="2">
        <v>43881.371423611112</v>
      </c>
      <c r="V53" t="s">
        <v>1317</v>
      </c>
      <c r="W53" t="s">
        <v>1318</v>
      </c>
    </row>
    <row r="54" spans="1:23" x14ac:dyDescent="0.45">
      <c r="A54" t="s">
        <v>691</v>
      </c>
      <c r="B54">
        <v>6.6</v>
      </c>
      <c r="C54" s="1">
        <v>43912</v>
      </c>
      <c r="D54" s="1">
        <v>43882</v>
      </c>
      <c r="E54" t="s">
        <v>428</v>
      </c>
      <c r="F54" t="s">
        <v>429</v>
      </c>
      <c r="G54" t="s">
        <v>429</v>
      </c>
      <c r="H54" t="s">
        <v>429</v>
      </c>
      <c r="I54" t="s">
        <v>447</v>
      </c>
      <c r="J54" t="s">
        <v>428</v>
      </c>
      <c r="K54" t="s">
        <v>429</v>
      </c>
      <c r="L54" t="str">
        <f>HYPERLINK("https://www.commcarehq.org/a/demo-18/api/form/attachment/fdd938ab-d506-44f4-8d80-cd4cab586d7e/1582276627180.jpg")</f>
        <v>https://www.commcarehq.org/a/demo-18/api/form/attachment/fdd938ab-d506-44f4-8d80-cd4cab586d7e/1582276627180.jpg</v>
      </c>
      <c r="M54" t="str">
        <f>HYPERLINK("https://www.commcarehq.org/a/demo-18/api/form/attachment/fdd938ab-d506-44f4-8d80-cd4cab586d7e/1582276646661.jpg")</f>
        <v>https://www.commcarehq.org/a/demo-18/api/form/attachment/fdd938ab-d506-44f4-8d80-cd4cab586d7e/1582276646661.jpg</v>
      </c>
      <c r="N54" t="str">
        <f>HYPERLINK("https://www.commcarehq.org/a/demo-18/api/form/attachment/fdd938ab-d506-44f4-8d80-cd4cab586d7e/1582276687806.jpg")</f>
        <v>https://www.commcarehq.org/a/demo-18/api/form/attachment/fdd938ab-d506-44f4-8d80-cd4cab586d7e/1582276687806.jpg</v>
      </c>
      <c r="O54" t="str">
        <f>HYPERLINK("https://www.commcarehq.org/a/demo-18/api/form/attachment/fdd938ab-d506-44f4-8d80-cd4cab586d7e/1582276696726.jpg")</f>
        <v>https://www.commcarehq.org/a/demo-18/api/form/attachment/fdd938ab-d506-44f4-8d80-cd4cab586d7e/1582276696726.jpg</v>
      </c>
      <c r="P54" t="str">
        <f>HYPERLINK("https://www.commcarehq.org/a/demo-18/api/form/attachment/fdd938ab-d506-44f4-8d80-cd4cab586d7e/1582276723208.jpg")</f>
        <v>https://www.commcarehq.org/a/demo-18/api/form/attachment/fdd938ab-d506-44f4-8d80-cd4cab586d7e/1582276723208.jpg</v>
      </c>
      <c r="Q54" t="str">
        <f>HYPERLINK("https://www.commcarehq.org/a/demo-18/api/form/attachment/fdd938ab-d506-44f4-8d80-cd4cab586d7e/1582276732708.jpg")</f>
        <v>https://www.commcarehq.org/a/demo-18/api/form/attachment/fdd938ab-d506-44f4-8d80-cd4cab586d7e/1582276732708.jpg</v>
      </c>
      <c r="R54" s="2">
        <v>43882.388124999998</v>
      </c>
      <c r="S54" s="2">
        <v>43882.386516203704</v>
      </c>
      <c r="T54" t="s">
        <v>32</v>
      </c>
      <c r="U54" s="2">
        <v>43882.388368055559</v>
      </c>
      <c r="V54" t="s">
        <v>1326</v>
      </c>
      <c r="W54" t="s">
        <v>1327</v>
      </c>
    </row>
    <row r="55" spans="1:23" x14ac:dyDescent="0.45">
      <c r="A55" t="s">
        <v>591</v>
      </c>
      <c r="B55">
        <v>6.2</v>
      </c>
      <c r="C55" s="1">
        <v>43911</v>
      </c>
      <c r="D55" s="1">
        <v>43881</v>
      </c>
      <c r="E55" t="s">
        <v>428</v>
      </c>
      <c r="F55" t="s">
        <v>429</v>
      </c>
      <c r="G55" t="s">
        <v>429</v>
      </c>
      <c r="H55" t="s">
        <v>429</v>
      </c>
      <c r="I55" t="s">
        <v>498</v>
      </c>
      <c r="J55" t="s">
        <v>428</v>
      </c>
      <c r="K55" t="s">
        <v>429</v>
      </c>
      <c r="L55" t="str">
        <f>HYPERLINK("https://www.commcarehq.org/a/demo-18/api/form/attachment/8fbc670e-b70b-4d39-ad9c-1ad5c479e183/1582186268503.jpg")</f>
        <v>https://www.commcarehq.org/a/demo-18/api/form/attachment/8fbc670e-b70b-4d39-ad9c-1ad5c479e183/1582186268503.jpg</v>
      </c>
      <c r="M55" t="str">
        <f>HYPERLINK("https://www.commcarehq.org/a/demo-18/api/form/attachment/8fbc670e-b70b-4d39-ad9c-1ad5c479e183/1582186280681.jpg")</f>
        <v>https://www.commcarehq.org/a/demo-18/api/form/attachment/8fbc670e-b70b-4d39-ad9c-1ad5c479e183/1582186280681.jpg</v>
      </c>
      <c r="N55" t="str">
        <f>HYPERLINK("https://www.commcarehq.org/a/demo-18/api/form/attachment/8fbc670e-b70b-4d39-ad9c-1ad5c479e183/1582186323056.jpg")</f>
        <v>https://www.commcarehq.org/a/demo-18/api/form/attachment/8fbc670e-b70b-4d39-ad9c-1ad5c479e183/1582186323056.jpg</v>
      </c>
      <c r="O55" t="str">
        <f>HYPERLINK("https://www.commcarehq.org/a/demo-18/api/form/attachment/8fbc670e-b70b-4d39-ad9c-1ad5c479e183/1582186332944.jpg")</f>
        <v>https://www.commcarehq.org/a/demo-18/api/form/attachment/8fbc670e-b70b-4d39-ad9c-1ad5c479e183/1582186332944.jpg</v>
      </c>
      <c r="P55" t="str">
        <f>HYPERLINK("https://www.commcarehq.org/a/demo-18/api/form/attachment/8fbc670e-b70b-4d39-ad9c-1ad5c479e183/1582186361950.jpg")</f>
        <v>https://www.commcarehq.org/a/demo-18/api/form/attachment/8fbc670e-b70b-4d39-ad9c-1ad5c479e183/1582186361950.jpg</v>
      </c>
      <c r="Q55" t="str">
        <f>HYPERLINK("https://www.commcarehq.org/a/demo-18/api/form/attachment/8fbc670e-b70b-4d39-ad9c-1ad5c479e183/1582186373038.jpg")</f>
        <v>https://www.commcarehq.org/a/demo-18/api/form/attachment/8fbc670e-b70b-4d39-ad9c-1ad5c479e183/1582186373038.jpg</v>
      </c>
      <c r="R55" s="2">
        <v>43881.342291666668</v>
      </c>
      <c r="S55" s="2">
        <v>43881.340567129628</v>
      </c>
      <c r="T55" t="s">
        <v>32</v>
      </c>
      <c r="U55" s="2">
        <v>43881.342534722222</v>
      </c>
      <c r="V55" t="s">
        <v>1315</v>
      </c>
      <c r="W55" t="s">
        <v>1316</v>
      </c>
    </row>
    <row r="56" spans="1:23" x14ac:dyDescent="0.45">
      <c r="A56" t="s">
        <v>721</v>
      </c>
      <c r="B56">
        <v>6.2</v>
      </c>
      <c r="C56" s="1">
        <v>43911</v>
      </c>
      <c r="D56" s="1">
        <v>43881</v>
      </c>
      <c r="E56" t="s">
        <v>428</v>
      </c>
      <c r="F56" t="s">
        <v>429</v>
      </c>
      <c r="G56" t="s">
        <v>429</v>
      </c>
      <c r="H56" t="s">
        <v>429</v>
      </c>
      <c r="I56" t="s">
        <v>1334</v>
      </c>
      <c r="J56" t="s">
        <v>428</v>
      </c>
      <c r="K56" t="s">
        <v>429</v>
      </c>
      <c r="L56" t="str">
        <f>HYPERLINK("https://www.commcarehq.org/a/demo-18/api/form/attachment/a8300ede-931a-49b3-a8c5-4b955d7f6a2c/1582189821695.jpg")</f>
        <v>https://www.commcarehq.org/a/demo-18/api/form/attachment/a8300ede-931a-49b3-a8c5-4b955d7f6a2c/1582189821695.jpg</v>
      </c>
      <c r="M56" t="str">
        <f>HYPERLINK("https://www.commcarehq.org/a/demo-18/api/form/attachment/a8300ede-931a-49b3-a8c5-4b955d7f6a2c/1582189837043.jpg")</f>
        <v>https://www.commcarehq.org/a/demo-18/api/form/attachment/a8300ede-931a-49b3-a8c5-4b955d7f6a2c/1582189837043.jpg</v>
      </c>
      <c r="N56" t="str">
        <f>HYPERLINK("https://www.commcarehq.org/a/demo-18/api/form/attachment/a8300ede-931a-49b3-a8c5-4b955d7f6a2c/1582189876612.jpg")</f>
        <v>https://www.commcarehq.org/a/demo-18/api/form/attachment/a8300ede-931a-49b3-a8c5-4b955d7f6a2c/1582189876612.jpg</v>
      </c>
      <c r="O56" t="str">
        <f>HYPERLINK("https://www.commcarehq.org/a/demo-18/api/form/attachment/a8300ede-931a-49b3-a8c5-4b955d7f6a2c/1582189885628.jpg")</f>
        <v>https://www.commcarehq.org/a/demo-18/api/form/attachment/a8300ede-931a-49b3-a8c5-4b955d7f6a2c/1582189885628.jpg</v>
      </c>
      <c r="P56" t="str">
        <f>HYPERLINK("https://www.commcarehq.org/a/demo-18/api/form/attachment/a8300ede-931a-49b3-a8c5-4b955d7f6a2c/1582189903323.jpg")</f>
        <v>https://www.commcarehq.org/a/demo-18/api/form/attachment/a8300ede-931a-49b3-a8c5-4b955d7f6a2c/1582189903323.jpg</v>
      </c>
      <c r="Q56" t="str">
        <f>HYPERLINK("https://www.commcarehq.org/a/demo-18/api/form/attachment/a8300ede-931a-49b3-a8c5-4b955d7f6a2c/1582189912295.jpg")</f>
        <v>https://www.commcarehq.org/a/demo-18/api/form/attachment/a8300ede-931a-49b3-a8c5-4b955d7f6a2c/1582189912295.jpg</v>
      </c>
      <c r="R56" s="2">
        <v>43881.383263888885</v>
      </c>
      <c r="S56" s="2">
        <v>43881.381643518522</v>
      </c>
      <c r="T56" t="s">
        <v>32</v>
      </c>
      <c r="U56" s="2">
        <v>43881.383634259262</v>
      </c>
      <c r="V56" t="s">
        <v>1335</v>
      </c>
      <c r="W56" t="s">
        <v>1336</v>
      </c>
    </row>
    <row r="57" spans="1:23" x14ac:dyDescent="0.45">
      <c r="A57" t="s">
        <v>607</v>
      </c>
      <c r="B57">
        <v>7.2</v>
      </c>
      <c r="C57" s="1">
        <v>43912</v>
      </c>
      <c r="D57" s="1">
        <v>43882</v>
      </c>
      <c r="E57" t="s">
        <v>428</v>
      </c>
      <c r="F57" t="s">
        <v>429</v>
      </c>
      <c r="G57" t="s">
        <v>429</v>
      </c>
      <c r="H57" t="s">
        <v>429</v>
      </c>
      <c r="I57" t="s">
        <v>447</v>
      </c>
      <c r="J57" t="s">
        <v>428</v>
      </c>
      <c r="K57" t="s">
        <v>429</v>
      </c>
      <c r="L57" t="str">
        <f>HYPERLINK("https://www.commcarehq.org/a/demo-18/api/form/attachment/edd64b78-e04e-4f90-ba37-5dc55cb26818/1582270718931.jpg")</f>
        <v>https://www.commcarehq.org/a/demo-18/api/form/attachment/edd64b78-e04e-4f90-ba37-5dc55cb26818/1582270718931.jpg</v>
      </c>
      <c r="M57" t="str">
        <f>HYPERLINK("https://www.commcarehq.org/a/demo-18/api/form/attachment/edd64b78-e04e-4f90-ba37-5dc55cb26818/1582270735610.jpg")</f>
        <v>https://www.commcarehq.org/a/demo-18/api/form/attachment/edd64b78-e04e-4f90-ba37-5dc55cb26818/1582270735610.jpg</v>
      </c>
      <c r="N57" t="str">
        <f>HYPERLINK("https://www.commcarehq.org/a/demo-18/api/form/attachment/edd64b78-e04e-4f90-ba37-5dc55cb26818/1582270798265.jpg")</f>
        <v>https://www.commcarehq.org/a/demo-18/api/form/attachment/edd64b78-e04e-4f90-ba37-5dc55cb26818/1582270798265.jpg</v>
      </c>
      <c r="O57" t="str">
        <f>HYPERLINK("https://www.commcarehq.org/a/demo-18/api/form/attachment/edd64b78-e04e-4f90-ba37-5dc55cb26818/1582270808261.jpg")</f>
        <v>https://www.commcarehq.org/a/demo-18/api/form/attachment/edd64b78-e04e-4f90-ba37-5dc55cb26818/1582270808261.jpg</v>
      </c>
      <c r="P57" t="str">
        <f>HYPERLINK("https://www.commcarehq.org/a/demo-18/api/form/attachment/edd64b78-e04e-4f90-ba37-5dc55cb26818/1582270840103.jpg")</f>
        <v>https://www.commcarehq.org/a/demo-18/api/form/attachment/edd64b78-e04e-4f90-ba37-5dc55cb26818/1582270840103.jpg</v>
      </c>
      <c r="Q57" t="str">
        <f>HYPERLINK("https://www.commcarehq.org/a/demo-18/api/form/attachment/edd64b78-e04e-4f90-ba37-5dc55cb26818/1582270849030.jpg")</f>
        <v>https://www.commcarehq.org/a/demo-18/api/form/attachment/edd64b78-e04e-4f90-ba37-5dc55cb26818/1582270849030.jpg</v>
      </c>
      <c r="R57" s="2">
        <v>43882.320034722223</v>
      </c>
      <c r="S57" s="2">
        <v>43882.318194444444</v>
      </c>
      <c r="T57" t="s">
        <v>32</v>
      </c>
      <c r="U57" s="2">
        <v>43882.320277777777</v>
      </c>
      <c r="V57" t="s">
        <v>1319</v>
      </c>
      <c r="W57" t="s">
        <v>1320</v>
      </c>
    </row>
    <row r="58" spans="1:23" x14ac:dyDescent="0.45">
      <c r="A58" t="s">
        <v>531</v>
      </c>
      <c r="B58">
        <v>6.9</v>
      </c>
      <c r="C58" s="1">
        <v>43917</v>
      </c>
      <c r="D58" s="1">
        <v>43887</v>
      </c>
      <c r="E58" t="s">
        <v>428</v>
      </c>
      <c r="F58" t="s">
        <v>429</v>
      </c>
      <c r="G58" t="s">
        <v>429</v>
      </c>
      <c r="H58" t="s">
        <v>429</v>
      </c>
      <c r="I58" t="s">
        <v>579</v>
      </c>
      <c r="J58" t="s">
        <v>428</v>
      </c>
      <c r="K58" t="s">
        <v>429</v>
      </c>
      <c r="L58" t="str">
        <f>HYPERLINK("https://www.commcarehq.org/a/demo-18/api/form/attachment/06ef3e81-ec19-4ba6-bc53-fd0d8f8a87cc/1582705242806.jpg")</f>
        <v>https://www.commcarehq.org/a/demo-18/api/form/attachment/06ef3e81-ec19-4ba6-bc53-fd0d8f8a87cc/1582705242806.jpg</v>
      </c>
      <c r="M58" t="str">
        <f>HYPERLINK("https://www.commcarehq.org/a/demo-18/api/form/attachment/06ef3e81-ec19-4ba6-bc53-fd0d8f8a87cc/1582705256230.jpg")</f>
        <v>https://www.commcarehq.org/a/demo-18/api/form/attachment/06ef3e81-ec19-4ba6-bc53-fd0d8f8a87cc/1582705256230.jpg</v>
      </c>
      <c r="N58" t="str">
        <f>HYPERLINK("https://www.commcarehq.org/a/demo-18/api/form/attachment/06ef3e81-ec19-4ba6-bc53-fd0d8f8a87cc/1582705331279.jpg")</f>
        <v>https://www.commcarehq.org/a/demo-18/api/form/attachment/06ef3e81-ec19-4ba6-bc53-fd0d8f8a87cc/1582705331279.jpg</v>
      </c>
      <c r="O58" t="str">
        <f>HYPERLINK("https://www.commcarehq.org/a/demo-18/api/form/attachment/06ef3e81-ec19-4ba6-bc53-fd0d8f8a87cc/1582705340363.jpg")</f>
        <v>https://www.commcarehq.org/a/demo-18/api/form/attachment/06ef3e81-ec19-4ba6-bc53-fd0d8f8a87cc/1582705340363.jpg</v>
      </c>
      <c r="P58" t="str">
        <f>HYPERLINK("https://www.commcarehq.org/a/demo-18/api/form/attachment/06ef3e81-ec19-4ba6-bc53-fd0d8f8a87cc/1582705352701.jpg")</f>
        <v>https://www.commcarehq.org/a/demo-18/api/form/attachment/06ef3e81-ec19-4ba6-bc53-fd0d8f8a87cc/1582705352701.jpg</v>
      </c>
      <c r="Q58" t="str">
        <f>HYPERLINK("https://www.commcarehq.org/a/demo-18/api/form/attachment/06ef3e81-ec19-4ba6-bc53-fd0d8f8a87cc/1582705363180.jpg")</f>
        <v>https://www.commcarehq.org/a/demo-18/api/form/attachment/06ef3e81-ec19-4ba6-bc53-fd0d8f8a87cc/1582705363180.jpg</v>
      </c>
      <c r="R58" s="2">
        <v>43887.349131944444</v>
      </c>
      <c r="S58" s="2">
        <v>43887.34710648148</v>
      </c>
      <c r="T58" t="s">
        <v>32</v>
      </c>
      <c r="U58" s="2">
        <v>43887.472430555557</v>
      </c>
      <c r="V58" t="s">
        <v>1548</v>
      </c>
      <c r="W58" t="s">
        <v>1549</v>
      </c>
    </row>
    <row r="59" spans="1:23" x14ac:dyDescent="0.45">
      <c r="A59" t="s">
        <v>677</v>
      </c>
      <c r="B59">
        <v>8</v>
      </c>
      <c r="C59" s="1">
        <v>43919</v>
      </c>
      <c r="D59" s="1">
        <v>43889</v>
      </c>
      <c r="E59" t="s">
        <v>428</v>
      </c>
      <c r="F59" t="s">
        <v>429</v>
      </c>
      <c r="G59" t="s">
        <v>429</v>
      </c>
      <c r="H59" t="s">
        <v>429</v>
      </c>
      <c r="I59" t="s">
        <v>484</v>
      </c>
      <c r="J59" t="s">
        <v>428</v>
      </c>
      <c r="K59" t="s">
        <v>429</v>
      </c>
      <c r="L59" t="str">
        <f>HYPERLINK("https://www.commcarehq.org/a/demo-18/api/form/attachment/ac5fcbc3-e59f-4f8a-bb15-726752fd1fe0/1582876724526.jpg")</f>
        <v>https://www.commcarehq.org/a/demo-18/api/form/attachment/ac5fcbc3-e59f-4f8a-bb15-726752fd1fe0/1582876724526.jpg</v>
      </c>
      <c r="M59" t="str">
        <f>HYPERLINK("https://www.commcarehq.org/a/demo-18/api/form/attachment/ac5fcbc3-e59f-4f8a-bb15-726752fd1fe0/1582876740262.jpg")</f>
        <v>https://www.commcarehq.org/a/demo-18/api/form/attachment/ac5fcbc3-e59f-4f8a-bb15-726752fd1fe0/1582876740262.jpg</v>
      </c>
      <c r="N59" t="str">
        <f>HYPERLINK("https://www.commcarehq.org/a/demo-18/api/form/attachment/ac5fcbc3-e59f-4f8a-bb15-726752fd1fe0/1582876830353.jpg")</f>
        <v>https://www.commcarehq.org/a/demo-18/api/form/attachment/ac5fcbc3-e59f-4f8a-bb15-726752fd1fe0/1582876830353.jpg</v>
      </c>
      <c r="O59" t="str">
        <f>HYPERLINK("https://www.commcarehq.org/a/demo-18/api/form/attachment/ac5fcbc3-e59f-4f8a-bb15-726752fd1fe0/1582876839796.jpg")</f>
        <v>https://www.commcarehq.org/a/demo-18/api/form/attachment/ac5fcbc3-e59f-4f8a-bb15-726752fd1fe0/1582876839796.jpg</v>
      </c>
      <c r="P59" t="str">
        <f>HYPERLINK("https://www.commcarehq.org/a/demo-18/api/form/attachment/ac5fcbc3-e59f-4f8a-bb15-726752fd1fe0/1582876858194.jpg")</f>
        <v>https://www.commcarehq.org/a/demo-18/api/form/attachment/ac5fcbc3-e59f-4f8a-bb15-726752fd1fe0/1582876858194.jpg</v>
      </c>
      <c r="Q59" t="str">
        <f>HYPERLINK("https://www.commcarehq.org/a/demo-18/api/form/attachment/ac5fcbc3-e59f-4f8a-bb15-726752fd1fe0/1582876867801.jpg")</f>
        <v>https://www.commcarehq.org/a/demo-18/api/form/attachment/ac5fcbc3-e59f-4f8a-bb15-726752fd1fe0/1582876867801.jpg</v>
      </c>
      <c r="R59" s="2">
        <v>43889.334131944444</v>
      </c>
      <c r="S59" s="2">
        <v>43889.330821759257</v>
      </c>
      <c r="T59" t="s">
        <v>32</v>
      </c>
      <c r="U59" s="2">
        <v>43889.334398148145</v>
      </c>
      <c r="V59" t="s">
        <v>1783</v>
      </c>
      <c r="W59" t="s">
        <v>1784</v>
      </c>
    </row>
    <row r="60" spans="1:23" x14ac:dyDescent="0.45">
      <c r="A60" t="s">
        <v>585</v>
      </c>
      <c r="B60">
        <v>7.5</v>
      </c>
      <c r="C60" s="1">
        <v>43915</v>
      </c>
      <c r="D60" s="1">
        <v>43885</v>
      </c>
      <c r="E60" t="s">
        <v>428</v>
      </c>
      <c r="F60" t="s">
        <v>429</v>
      </c>
      <c r="G60" t="s">
        <v>429</v>
      </c>
      <c r="H60" t="s">
        <v>429</v>
      </c>
      <c r="I60" t="s">
        <v>498</v>
      </c>
      <c r="J60" t="s">
        <v>428</v>
      </c>
      <c r="K60" t="s">
        <v>429</v>
      </c>
      <c r="L60" t="str">
        <f>HYPERLINK("https://www.commcarehq.org/a/demo-18/api/form/attachment/e2ffeadc-b8af-42b2-b3a0-b1596d4c8782/1582527997503.jpg")</f>
        <v>https://www.commcarehq.org/a/demo-18/api/form/attachment/e2ffeadc-b8af-42b2-b3a0-b1596d4c8782/1582527997503.jpg</v>
      </c>
      <c r="M60" t="str">
        <f>HYPERLINK("https://www.commcarehq.org/a/demo-18/api/form/attachment/e2ffeadc-b8af-42b2-b3a0-b1596d4c8782/1582528013330.jpg")</f>
        <v>https://www.commcarehq.org/a/demo-18/api/form/attachment/e2ffeadc-b8af-42b2-b3a0-b1596d4c8782/1582528013330.jpg</v>
      </c>
      <c r="N60" t="str">
        <f>HYPERLINK("https://www.commcarehq.org/a/demo-18/api/form/attachment/e2ffeadc-b8af-42b2-b3a0-b1596d4c8782/1582528061401.jpg")</f>
        <v>https://www.commcarehq.org/a/demo-18/api/form/attachment/e2ffeadc-b8af-42b2-b3a0-b1596d4c8782/1582528061401.jpg</v>
      </c>
      <c r="O60" t="str">
        <f>HYPERLINK("https://www.commcarehq.org/a/demo-18/api/form/attachment/e2ffeadc-b8af-42b2-b3a0-b1596d4c8782/1582528079234.jpg")</f>
        <v>https://www.commcarehq.org/a/demo-18/api/form/attachment/e2ffeadc-b8af-42b2-b3a0-b1596d4c8782/1582528079234.jpg</v>
      </c>
      <c r="P60" t="str">
        <f>HYPERLINK("https://www.commcarehq.org/a/demo-18/api/form/attachment/e2ffeadc-b8af-42b2-b3a0-b1596d4c8782/1582528092827.jpg")</f>
        <v>https://www.commcarehq.org/a/demo-18/api/form/attachment/e2ffeadc-b8af-42b2-b3a0-b1596d4c8782/1582528092827.jpg</v>
      </c>
      <c r="Q60" t="str">
        <f>HYPERLINK("https://www.commcarehq.org/a/demo-18/api/form/attachment/e2ffeadc-b8af-42b2-b3a0-b1596d4c8782/1582528102843.jpg")</f>
        <v>https://www.commcarehq.org/a/demo-18/api/form/attachment/e2ffeadc-b8af-42b2-b3a0-b1596d4c8782/1582528102843.jpg</v>
      </c>
      <c r="R60" s="2">
        <v>43885.297500000001</v>
      </c>
      <c r="S60" s="2">
        <v>43885.295775462961</v>
      </c>
      <c r="T60" t="s">
        <v>32</v>
      </c>
      <c r="U60" s="2">
        <v>43885.297708333332</v>
      </c>
      <c r="V60" t="s">
        <v>1337</v>
      </c>
      <c r="W60" t="s">
        <v>1338</v>
      </c>
    </row>
    <row r="61" spans="1:23" x14ac:dyDescent="0.45">
      <c r="A61" t="s">
        <v>588</v>
      </c>
      <c r="B61">
        <v>7.1</v>
      </c>
      <c r="C61" s="1">
        <v>43915</v>
      </c>
      <c r="D61" s="1">
        <v>43885</v>
      </c>
      <c r="E61" t="s">
        <v>428</v>
      </c>
      <c r="F61" t="s">
        <v>429</v>
      </c>
      <c r="G61" t="s">
        <v>429</v>
      </c>
      <c r="H61" t="s">
        <v>429</v>
      </c>
      <c r="I61" t="s">
        <v>498</v>
      </c>
      <c r="J61" t="s">
        <v>428</v>
      </c>
      <c r="K61" t="s">
        <v>429</v>
      </c>
      <c r="L61" t="str">
        <f>HYPERLINK("https://www.commcarehq.org/a/demo-18/api/form/attachment/72e7a26f-fbc7-4c78-a3dc-fa11be4faf41/1582537831485.jpg")</f>
        <v>https://www.commcarehq.org/a/demo-18/api/form/attachment/72e7a26f-fbc7-4c78-a3dc-fa11be4faf41/1582537831485.jpg</v>
      </c>
      <c r="M61" t="str">
        <f>HYPERLINK("https://www.commcarehq.org/a/demo-18/api/form/attachment/72e7a26f-fbc7-4c78-a3dc-fa11be4faf41/1582537846534.jpg")</f>
        <v>https://www.commcarehq.org/a/demo-18/api/form/attachment/72e7a26f-fbc7-4c78-a3dc-fa11be4faf41/1582537846534.jpg</v>
      </c>
      <c r="N61" t="str">
        <f>HYPERLINK("https://www.commcarehq.org/a/demo-18/api/form/attachment/72e7a26f-fbc7-4c78-a3dc-fa11be4faf41/1582537878843.jpg")</f>
        <v>https://www.commcarehq.org/a/demo-18/api/form/attachment/72e7a26f-fbc7-4c78-a3dc-fa11be4faf41/1582537878843.jpg</v>
      </c>
      <c r="O61" t="str">
        <f>HYPERLINK("https://www.commcarehq.org/a/demo-18/api/form/attachment/72e7a26f-fbc7-4c78-a3dc-fa11be4faf41/1582537887970.jpg")</f>
        <v>https://www.commcarehq.org/a/demo-18/api/form/attachment/72e7a26f-fbc7-4c78-a3dc-fa11be4faf41/1582537887970.jpg</v>
      </c>
      <c r="P61" t="str">
        <f>HYPERLINK("https://www.commcarehq.org/a/demo-18/api/form/attachment/72e7a26f-fbc7-4c78-a3dc-fa11be4faf41/1582537909171.jpg")</f>
        <v>https://www.commcarehq.org/a/demo-18/api/form/attachment/72e7a26f-fbc7-4c78-a3dc-fa11be4faf41/1582537909171.jpg</v>
      </c>
      <c r="Q61" t="str">
        <f>HYPERLINK("https://www.commcarehq.org/a/demo-18/api/form/attachment/72e7a26f-fbc7-4c78-a3dc-fa11be4faf41/1582537926768.jpg")</f>
        <v>https://www.commcarehq.org/a/demo-18/api/form/attachment/72e7a26f-fbc7-4c78-a3dc-fa11be4faf41/1582537926768.jpg</v>
      </c>
      <c r="R61" s="2">
        <v>43885.411203703705</v>
      </c>
      <c r="S61" s="2">
        <v>43885.409594907411</v>
      </c>
      <c r="T61" t="s">
        <v>32</v>
      </c>
      <c r="U61" s="2">
        <v>43885.411423611113</v>
      </c>
      <c r="V61" t="s">
        <v>1339</v>
      </c>
      <c r="W61" t="s">
        <v>1340</v>
      </c>
    </row>
    <row r="62" spans="1:23" x14ac:dyDescent="0.45">
      <c r="A62" t="s">
        <v>810</v>
      </c>
      <c r="B62">
        <v>6</v>
      </c>
      <c r="C62" s="1">
        <v>43883</v>
      </c>
      <c r="D62" s="1">
        <v>43853</v>
      </c>
      <c r="E62" t="s">
        <v>428</v>
      </c>
      <c r="F62" t="s">
        <v>429</v>
      </c>
      <c r="G62" t="s">
        <v>429</v>
      </c>
      <c r="H62" t="s">
        <v>429</v>
      </c>
      <c r="I62" t="s">
        <v>626</v>
      </c>
      <c r="J62" t="s">
        <v>428</v>
      </c>
      <c r="K62" t="s">
        <v>429</v>
      </c>
      <c r="L62" t="str">
        <f>HYPERLINK("https://www.commcarehq.org/a/demo-18/api/form/attachment/cc7c3397-0306-4de6-895f-be47deb292f5/1579763119238.jpg")</f>
        <v>https://www.commcarehq.org/a/demo-18/api/form/attachment/cc7c3397-0306-4de6-895f-be47deb292f5/1579763119238.jpg</v>
      </c>
      <c r="M62" t="str">
        <f>HYPERLINK("https://www.commcarehq.org/a/demo-18/api/form/attachment/cc7c3397-0306-4de6-895f-be47deb292f5/1579763138248.jpg")</f>
        <v>https://www.commcarehq.org/a/demo-18/api/form/attachment/cc7c3397-0306-4de6-895f-be47deb292f5/1579763138248.jpg</v>
      </c>
      <c r="N62" t="str">
        <f>HYPERLINK("https://www.commcarehq.org/a/demo-18/api/form/attachment/cc7c3397-0306-4de6-895f-be47deb292f5/1579763205908.jpg")</f>
        <v>https://www.commcarehq.org/a/demo-18/api/form/attachment/cc7c3397-0306-4de6-895f-be47deb292f5/1579763205908.jpg</v>
      </c>
      <c r="O62" t="str">
        <f>HYPERLINK("https://www.commcarehq.org/a/demo-18/api/form/attachment/cc7c3397-0306-4de6-895f-be47deb292f5/1579763215754.jpg")</f>
        <v>https://www.commcarehq.org/a/demo-18/api/form/attachment/cc7c3397-0306-4de6-895f-be47deb292f5/1579763215754.jpg</v>
      </c>
      <c r="P62" t="str">
        <f>HYPERLINK("https://www.commcarehq.org/a/demo-18/api/form/attachment/cc7c3397-0306-4de6-895f-be47deb292f5/1579763238413.jpg")</f>
        <v>https://www.commcarehq.org/a/demo-18/api/form/attachment/cc7c3397-0306-4de6-895f-be47deb292f5/1579763238413.jpg</v>
      </c>
      <c r="Q62" t="str">
        <f>HYPERLINK("https://www.commcarehq.org/a/demo-18/api/form/attachment/cc7c3397-0306-4de6-895f-be47deb292f5/1579763250126.jpg")</f>
        <v>https://www.commcarehq.org/a/demo-18/api/form/attachment/cc7c3397-0306-4de6-895f-be47deb292f5/1579763250126.jpg</v>
      </c>
      <c r="R62" s="2">
        <v>43853.296886574077</v>
      </c>
      <c r="S62" s="2">
        <v>43853.295081018521</v>
      </c>
      <c r="T62" t="s">
        <v>32</v>
      </c>
      <c r="U62" s="2">
        <v>43853.358171296299</v>
      </c>
      <c r="V62" t="s">
        <v>1258</v>
      </c>
      <c r="W62" t="s">
        <v>1259</v>
      </c>
    </row>
    <row r="63" spans="1:23" x14ac:dyDescent="0.45">
      <c r="A63" t="s">
        <v>540</v>
      </c>
      <c r="B63">
        <v>6</v>
      </c>
      <c r="C63" s="1">
        <v>43915</v>
      </c>
      <c r="D63" s="1">
        <v>43885</v>
      </c>
      <c r="E63" t="s">
        <v>428</v>
      </c>
      <c r="F63" t="s">
        <v>429</v>
      </c>
      <c r="G63" t="s">
        <v>429</v>
      </c>
      <c r="H63" t="s">
        <v>429</v>
      </c>
      <c r="I63" t="s">
        <v>1321</v>
      </c>
      <c r="J63" t="s">
        <v>428</v>
      </c>
      <c r="K63" t="s">
        <v>429</v>
      </c>
      <c r="L63" t="str">
        <f>HYPERLINK("https://www.commcarehq.org/a/demo-18/api/form/attachment/312044be-619b-4406-8f88-592930eb611c/1582535978131.jpg")</f>
        <v>https://www.commcarehq.org/a/demo-18/api/form/attachment/312044be-619b-4406-8f88-592930eb611c/1582535978131.jpg</v>
      </c>
      <c r="M63" t="str">
        <f>HYPERLINK("https://www.commcarehq.org/a/demo-18/api/form/attachment/312044be-619b-4406-8f88-592930eb611c/1582535991468.jpg")</f>
        <v>https://www.commcarehq.org/a/demo-18/api/form/attachment/312044be-619b-4406-8f88-592930eb611c/1582535991468.jpg</v>
      </c>
      <c r="N63" t="str">
        <f>HYPERLINK("https://www.commcarehq.org/a/demo-18/api/form/attachment/312044be-619b-4406-8f88-592930eb611c/1582536018528.jpg")</f>
        <v>https://www.commcarehq.org/a/demo-18/api/form/attachment/312044be-619b-4406-8f88-592930eb611c/1582536018528.jpg</v>
      </c>
      <c r="O63" t="str">
        <f>HYPERLINK("https://www.commcarehq.org/a/demo-18/api/form/attachment/312044be-619b-4406-8f88-592930eb611c/1582536027707.jpg")</f>
        <v>https://www.commcarehq.org/a/demo-18/api/form/attachment/312044be-619b-4406-8f88-592930eb611c/1582536027707.jpg</v>
      </c>
      <c r="P63" t="str">
        <f>HYPERLINK("https://www.commcarehq.org/a/demo-18/api/form/attachment/312044be-619b-4406-8f88-592930eb611c/1582536043030.jpg")</f>
        <v>https://www.commcarehq.org/a/demo-18/api/form/attachment/312044be-619b-4406-8f88-592930eb611c/1582536043030.jpg</v>
      </c>
      <c r="Q63" t="str">
        <f>HYPERLINK("https://www.commcarehq.org/a/demo-18/api/form/attachment/312044be-619b-4406-8f88-592930eb611c/1582536052099.jpg")</f>
        <v>https://www.commcarehq.org/a/demo-18/api/form/attachment/312044be-619b-4406-8f88-592930eb611c/1582536052099.jpg</v>
      </c>
      <c r="R63" s="2">
        <v>43885.389513888891</v>
      </c>
      <c r="S63" s="2">
        <v>43885.388252314813</v>
      </c>
      <c r="T63" t="s">
        <v>32</v>
      </c>
      <c r="U63" s="2">
        <v>43885.389791666668</v>
      </c>
      <c r="V63" t="s">
        <v>1322</v>
      </c>
      <c r="W63" t="s">
        <v>1323</v>
      </c>
    </row>
    <row r="64" spans="1:23" x14ac:dyDescent="0.45">
      <c r="A64" t="s">
        <v>568</v>
      </c>
      <c r="B64">
        <v>8</v>
      </c>
      <c r="C64" s="1">
        <v>43915</v>
      </c>
      <c r="D64" s="1">
        <v>43885</v>
      </c>
      <c r="E64" t="s">
        <v>1211</v>
      </c>
      <c r="F64" t="s">
        <v>1301</v>
      </c>
      <c r="G64" t="s">
        <v>1302</v>
      </c>
      <c r="H64" t="s">
        <v>1303</v>
      </c>
      <c r="I64" t="s">
        <v>429</v>
      </c>
      <c r="J64" t="s">
        <v>1211</v>
      </c>
      <c r="K64" t="s">
        <v>1212</v>
      </c>
      <c r="L64" t="str">
        <f>HYPERLINK("https://www.commcarehq.org/a/demo-18/api/form/attachment/fa404d60-6f6d-4e65-849e-b9583cdbe831/1582536266522.jpg")</f>
        <v>https://www.commcarehq.org/a/demo-18/api/form/attachment/fa404d60-6f6d-4e65-849e-b9583cdbe831/1582536266522.jpg</v>
      </c>
      <c r="M64" t="str">
        <f>HYPERLINK("https://www.commcarehq.org/a/demo-18/api/form/attachment/fa404d60-6f6d-4e65-849e-b9583cdbe831/1582536286337.jpg")</f>
        <v>https://www.commcarehq.org/a/demo-18/api/form/attachment/fa404d60-6f6d-4e65-849e-b9583cdbe831/1582536286337.jpg</v>
      </c>
      <c r="N64" t="str">
        <f>HYPERLINK("https://www.commcarehq.org/a/demo-18/api/form/attachment/fa404d60-6f6d-4e65-849e-b9583cdbe831/1582536312288.jpg")</f>
        <v>https://www.commcarehq.org/a/demo-18/api/form/attachment/fa404d60-6f6d-4e65-849e-b9583cdbe831/1582536312288.jpg</v>
      </c>
      <c r="O64" t="str">
        <f>HYPERLINK("https://www.commcarehq.org/a/demo-18/api/form/attachment/fa404d60-6f6d-4e65-849e-b9583cdbe831/1582536320222.jpg")</f>
        <v>https://www.commcarehq.org/a/demo-18/api/form/attachment/fa404d60-6f6d-4e65-849e-b9583cdbe831/1582536320222.jpg</v>
      </c>
      <c r="P64" t="str">
        <f>HYPERLINK("https://www.commcarehq.org/a/demo-18/api/form/attachment/fa404d60-6f6d-4e65-849e-b9583cdbe831/1582536373896.jpg")</f>
        <v>https://www.commcarehq.org/a/demo-18/api/form/attachment/fa404d60-6f6d-4e65-849e-b9583cdbe831/1582536373896.jpg</v>
      </c>
      <c r="Q64" t="str">
        <f>HYPERLINK("https://www.commcarehq.org/a/demo-18/api/form/attachment/fa404d60-6f6d-4e65-849e-b9583cdbe831/1582536383471.jpg")</f>
        <v>https://www.commcarehq.org/a/demo-18/api/form/attachment/fa404d60-6f6d-4e65-849e-b9583cdbe831/1582536383471.jpg</v>
      </c>
      <c r="R64" s="2">
        <v>43885.39334490741</v>
      </c>
      <c r="S64" s="2">
        <v>43885.390567129631</v>
      </c>
      <c r="T64" t="s">
        <v>32</v>
      </c>
      <c r="U64" s="2">
        <v>43885.393622685187</v>
      </c>
      <c r="V64" t="s">
        <v>1304</v>
      </c>
      <c r="W64" t="s">
        <v>1305</v>
      </c>
    </row>
    <row r="65" spans="1:23" x14ac:dyDescent="0.45">
      <c r="A65" t="s">
        <v>232</v>
      </c>
      <c r="B65">
        <v>7.3</v>
      </c>
      <c r="C65" s="1">
        <v>43996</v>
      </c>
      <c r="D65" s="1">
        <v>43966</v>
      </c>
      <c r="E65" t="s">
        <v>428</v>
      </c>
      <c r="F65" t="s">
        <v>429</v>
      </c>
      <c r="G65" t="s">
        <v>429</v>
      </c>
      <c r="H65" t="s">
        <v>429</v>
      </c>
      <c r="I65" t="s">
        <v>1321</v>
      </c>
      <c r="J65" t="s">
        <v>428</v>
      </c>
      <c r="K65" t="s">
        <v>429</v>
      </c>
      <c r="L65" t="str">
        <f>HYPERLINK("https://www.commcarehq.org/a/demo-18/api/form/attachment/c6072725-c5d0-4cc1-96b5-b0e440a7cf9b/1589526452043.jpg")</f>
        <v>https://www.commcarehq.org/a/demo-18/api/form/attachment/c6072725-c5d0-4cc1-96b5-b0e440a7cf9b/1589526452043.jpg</v>
      </c>
      <c r="M65" t="str">
        <f>HYPERLINK("https://www.commcarehq.org/a/demo-18/api/form/attachment/c6072725-c5d0-4cc1-96b5-b0e440a7cf9b/1589526467490.jpg")</f>
        <v>https://www.commcarehq.org/a/demo-18/api/form/attachment/c6072725-c5d0-4cc1-96b5-b0e440a7cf9b/1589526467490.jpg</v>
      </c>
      <c r="N65" t="str">
        <f>HYPERLINK("https://www.commcarehq.org/a/demo-18/api/form/attachment/c6072725-c5d0-4cc1-96b5-b0e440a7cf9b/1589526506687.jpg")</f>
        <v>https://www.commcarehq.org/a/demo-18/api/form/attachment/c6072725-c5d0-4cc1-96b5-b0e440a7cf9b/1589526506687.jpg</v>
      </c>
      <c r="O65" t="str">
        <f>HYPERLINK("https://www.commcarehq.org/a/demo-18/api/form/attachment/c6072725-c5d0-4cc1-96b5-b0e440a7cf9b/1589526516251.jpg")</f>
        <v>https://www.commcarehq.org/a/demo-18/api/form/attachment/c6072725-c5d0-4cc1-96b5-b0e440a7cf9b/1589526516251.jpg</v>
      </c>
      <c r="P65" t="str">
        <f>HYPERLINK("https://www.commcarehq.org/a/demo-18/api/form/attachment/c6072725-c5d0-4cc1-96b5-b0e440a7cf9b/1589526539481.jpg")</f>
        <v>https://www.commcarehq.org/a/demo-18/api/form/attachment/c6072725-c5d0-4cc1-96b5-b0e440a7cf9b/1589526539481.jpg</v>
      </c>
      <c r="Q65" t="str">
        <f>HYPERLINK("https://www.commcarehq.org/a/demo-18/api/form/attachment/c6072725-c5d0-4cc1-96b5-b0e440a7cf9b/1589526550186.jpg")</f>
        <v>https://www.commcarehq.org/a/demo-18/api/form/attachment/c6072725-c5d0-4cc1-96b5-b0e440a7cf9b/1589526550186.jpg</v>
      </c>
      <c r="R65" s="2">
        <v>43966.298055555555</v>
      </c>
      <c r="S65" s="2">
        <v>43966.296319444446</v>
      </c>
      <c r="T65" t="s">
        <v>32</v>
      </c>
      <c r="U65" s="2">
        <v>43966.300995370373</v>
      </c>
      <c r="V65" t="s">
        <v>1794</v>
      </c>
      <c r="W65" t="s">
        <v>1795</v>
      </c>
    </row>
    <row r="66" spans="1:23" x14ac:dyDescent="0.45">
      <c r="A66" t="s">
        <v>158</v>
      </c>
      <c r="B66">
        <v>8</v>
      </c>
      <c r="C66" s="1">
        <v>44020</v>
      </c>
      <c r="D66" s="1">
        <v>43990</v>
      </c>
      <c r="E66" t="s">
        <v>428</v>
      </c>
      <c r="F66" t="s">
        <v>429</v>
      </c>
      <c r="G66" t="s">
        <v>429</v>
      </c>
      <c r="H66" t="s">
        <v>429</v>
      </c>
      <c r="I66" t="s">
        <v>1321</v>
      </c>
      <c r="J66" t="s">
        <v>428</v>
      </c>
      <c r="K66" t="s">
        <v>429</v>
      </c>
      <c r="L66" t="str">
        <f>HYPERLINK("https://www.commcarehq.org/a/demo-18/api/form/attachment/00e17bfe-6f78-435c-bc09-b944b5be25c3/1591601607874.jpg")</f>
        <v>https://www.commcarehq.org/a/demo-18/api/form/attachment/00e17bfe-6f78-435c-bc09-b944b5be25c3/1591601607874.jpg</v>
      </c>
      <c r="M66" t="str">
        <f>HYPERLINK("https://www.commcarehq.org/a/demo-18/api/form/attachment/00e17bfe-6f78-435c-bc09-b944b5be25c3/1591601625350.jpg")</f>
        <v>https://www.commcarehq.org/a/demo-18/api/form/attachment/00e17bfe-6f78-435c-bc09-b944b5be25c3/1591601625350.jpg</v>
      </c>
      <c r="N66" t="str">
        <f>HYPERLINK("https://www.commcarehq.org/a/demo-18/api/form/attachment/00e17bfe-6f78-435c-bc09-b944b5be25c3/1591601693151.jpg")</f>
        <v>https://www.commcarehq.org/a/demo-18/api/form/attachment/00e17bfe-6f78-435c-bc09-b944b5be25c3/1591601693151.jpg</v>
      </c>
      <c r="O66" t="str">
        <f>HYPERLINK("https://www.commcarehq.org/a/demo-18/api/form/attachment/00e17bfe-6f78-435c-bc09-b944b5be25c3/1591601704192.jpg")</f>
        <v>https://www.commcarehq.org/a/demo-18/api/form/attachment/00e17bfe-6f78-435c-bc09-b944b5be25c3/1591601704192.jpg</v>
      </c>
      <c r="P66" t="str">
        <f>HYPERLINK("https://www.commcarehq.org/a/demo-18/api/form/attachment/00e17bfe-6f78-435c-bc09-b944b5be25c3/1591601727502.jpg")</f>
        <v>https://www.commcarehq.org/a/demo-18/api/form/attachment/00e17bfe-6f78-435c-bc09-b944b5be25c3/1591601727502.jpg</v>
      </c>
      <c r="Q66" t="str">
        <f>HYPERLINK("https://www.commcarehq.org/a/demo-18/api/form/attachment/00e17bfe-6f78-435c-bc09-b944b5be25c3/1591601737320.jpg")</f>
        <v>https://www.commcarehq.org/a/demo-18/api/form/attachment/00e17bfe-6f78-435c-bc09-b944b5be25c3/1591601737320.jpg</v>
      </c>
      <c r="R66" s="2">
        <v>43990.316423611112</v>
      </c>
      <c r="S66" s="2">
        <v>43990.314270833333</v>
      </c>
      <c r="T66" t="s">
        <v>32</v>
      </c>
      <c r="U66" s="2">
        <v>43990.318645833337</v>
      </c>
      <c r="V66" t="s">
        <v>1790</v>
      </c>
      <c r="W66" t="s">
        <v>1791</v>
      </c>
    </row>
    <row r="67" spans="1:23" x14ac:dyDescent="0.45">
      <c r="A67" t="s">
        <v>238</v>
      </c>
      <c r="B67">
        <v>7.3</v>
      </c>
      <c r="C67" s="1">
        <v>44020</v>
      </c>
      <c r="D67" s="1">
        <v>43990</v>
      </c>
      <c r="E67" t="s">
        <v>428</v>
      </c>
      <c r="F67" t="s">
        <v>429</v>
      </c>
      <c r="G67" t="s">
        <v>429</v>
      </c>
      <c r="H67" t="s">
        <v>429</v>
      </c>
      <c r="I67" t="s">
        <v>1321</v>
      </c>
      <c r="J67" t="s">
        <v>428</v>
      </c>
      <c r="K67" t="s">
        <v>429</v>
      </c>
      <c r="L67" t="str">
        <f>HYPERLINK("https://www.commcarehq.org/a/demo-18/api/form/attachment/ed884cea-0b60-4942-a3ee-ab79ed3c5ff5/1591599270346.jpg")</f>
        <v>https://www.commcarehq.org/a/demo-18/api/form/attachment/ed884cea-0b60-4942-a3ee-ab79ed3c5ff5/1591599270346.jpg</v>
      </c>
      <c r="M67" t="str">
        <f>HYPERLINK("https://www.commcarehq.org/a/demo-18/api/form/attachment/ed884cea-0b60-4942-a3ee-ab79ed3c5ff5/1591599289096.jpg")</f>
        <v>https://www.commcarehq.org/a/demo-18/api/form/attachment/ed884cea-0b60-4942-a3ee-ab79ed3c5ff5/1591599289096.jpg</v>
      </c>
      <c r="N67" t="str">
        <f>HYPERLINK("https://www.commcarehq.org/a/demo-18/api/form/attachment/ed884cea-0b60-4942-a3ee-ab79ed3c5ff5/1591599318866.jpg")</f>
        <v>https://www.commcarehq.org/a/demo-18/api/form/attachment/ed884cea-0b60-4942-a3ee-ab79ed3c5ff5/1591599318866.jpg</v>
      </c>
      <c r="O67" t="str">
        <f>HYPERLINK("https://www.commcarehq.org/a/demo-18/api/form/attachment/ed884cea-0b60-4942-a3ee-ab79ed3c5ff5/1591599326512.jpg")</f>
        <v>https://www.commcarehq.org/a/demo-18/api/form/attachment/ed884cea-0b60-4942-a3ee-ab79ed3c5ff5/1591599326512.jpg</v>
      </c>
      <c r="P67" t="str">
        <f>HYPERLINK("https://www.commcarehq.org/a/demo-18/api/form/attachment/ed884cea-0b60-4942-a3ee-ab79ed3c5ff5/1591599341529.jpg")</f>
        <v>https://www.commcarehq.org/a/demo-18/api/form/attachment/ed884cea-0b60-4942-a3ee-ab79ed3c5ff5/1591599341529.jpg</v>
      </c>
      <c r="Q67" t="str">
        <f>HYPERLINK("https://www.commcarehq.org/a/demo-18/api/form/attachment/ed884cea-0b60-4942-a3ee-ab79ed3c5ff5/1591599352224.jpg")</f>
        <v>https://www.commcarehq.org/a/demo-18/api/form/attachment/ed884cea-0b60-4942-a3ee-ab79ed3c5ff5/1591599352224.jpg</v>
      </c>
      <c r="R67" s="2">
        <v>43990.288807870369</v>
      </c>
      <c r="S67" s="2">
        <v>43990.287407407406</v>
      </c>
      <c r="T67" t="s">
        <v>32</v>
      </c>
      <c r="U67" s="2">
        <v>43990.289814814816</v>
      </c>
      <c r="V67" t="s">
        <v>1800</v>
      </c>
      <c r="W67" t="s">
        <v>1801</v>
      </c>
    </row>
    <row r="68" spans="1:23" x14ac:dyDescent="0.45">
      <c r="A68" t="s">
        <v>152</v>
      </c>
      <c r="B68">
        <v>8.1</v>
      </c>
      <c r="C68" s="1">
        <v>44020</v>
      </c>
      <c r="D68" s="1">
        <v>43990</v>
      </c>
      <c r="E68" t="s">
        <v>428</v>
      </c>
      <c r="F68" t="s">
        <v>429</v>
      </c>
      <c r="G68" t="s">
        <v>429</v>
      </c>
      <c r="H68" t="s">
        <v>429</v>
      </c>
      <c r="I68" t="s">
        <v>579</v>
      </c>
      <c r="J68" t="s">
        <v>428</v>
      </c>
      <c r="K68" t="s">
        <v>429</v>
      </c>
      <c r="L68" t="str">
        <f>HYPERLINK("https://www.commcarehq.org/a/demo-18/api/form/attachment/85f072c5-8b5e-4dcc-a48d-a286bdc55adf/1591600215612.jpg")</f>
        <v>https://www.commcarehq.org/a/demo-18/api/form/attachment/85f072c5-8b5e-4dcc-a48d-a286bdc55adf/1591600215612.jpg</v>
      </c>
      <c r="M68" t="str">
        <f>HYPERLINK("https://www.commcarehq.org/a/demo-18/api/form/attachment/85f072c5-8b5e-4dcc-a48d-a286bdc55adf/1591600230208.jpg")</f>
        <v>https://www.commcarehq.org/a/demo-18/api/form/attachment/85f072c5-8b5e-4dcc-a48d-a286bdc55adf/1591600230208.jpg</v>
      </c>
      <c r="N68" t="str">
        <f>HYPERLINK("https://www.commcarehq.org/a/demo-18/api/form/attachment/85f072c5-8b5e-4dcc-a48d-a286bdc55adf/1591600275830.jpg")</f>
        <v>https://www.commcarehq.org/a/demo-18/api/form/attachment/85f072c5-8b5e-4dcc-a48d-a286bdc55adf/1591600275830.jpg</v>
      </c>
      <c r="O68" t="str">
        <f>HYPERLINK("https://www.commcarehq.org/a/demo-18/api/form/attachment/85f072c5-8b5e-4dcc-a48d-a286bdc55adf/1591600284425.jpg")</f>
        <v>https://www.commcarehq.org/a/demo-18/api/form/attachment/85f072c5-8b5e-4dcc-a48d-a286bdc55adf/1591600284425.jpg</v>
      </c>
      <c r="P68" t="str">
        <f>HYPERLINK("https://www.commcarehq.org/a/demo-18/api/form/attachment/85f072c5-8b5e-4dcc-a48d-a286bdc55adf/1591600297056.jpg")</f>
        <v>https://www.commcarehq.org/a/demo-18/api/form/attachment/85f072c5-8b5e-4dcc-a48d-a286bdc55adf/1591600297056.jpg</v>
      </c>
      <c r="Q68" t="str">
        <f>HYPERLINK("https://www.commcarehq.org/a/demo-18/api/form/attachment/85f072c5-8b5e-4dcc-a48d-a286bdc55adf/1591600307558.jpg")</f>
        <v>https://www.commcarehq.org/a/demo-18/api/form/attachment/85f072c5-8b5e-4dcc-a48d-a286bdc55adf/1591600307558.jpg</v>
      </c>
      <c r="R68" s="2">
        <v>43990.299872685187</v>
      </c>
      <c r="S68" s="2">
        <v>43990.298530092594</v>
      </c>
      <c r="T68" t="s">
        <v>32</v>
      </c>
      <c r="U68" s="2">
        <v>43990.300821759258</v>
      </c>
      <c r="V68" t="s">
        <v>1796</v>
      </c>
      <c r="W68" t="s">
        <v>1797</v>
      </c>
    </row>
    <row r="69" spans="1:23" x14ac:dyDescent="0.45">
      <c r="A69" t="s">
        <v>86</v>
      </c>
      <c r="B69">
        <v>8.9</v>
      </c>
      <c r="C69" s="1">
        <v>44020</v>
      </c>
      <c r="D69" s="1">
        <v>43990</v>
      </c>
      <c r="E69" t="s">
        <v>428</v>
      </c>
      <c r="F69" t="s">
        <v>429</v>
      </c>
      <c r="G69" t="s">
        <v>429</v>
      </c>
      <c r="H69" t="s">
        <v>429</v>
      </c>
      <c r="I69" t="s">
        <v>1321</v>
      </c>
      <c r="J69" t="s">
        <v>428</v>
      </c>
      <c r="K69" t="s">
        <v>429</v>
      </c>
      <c r="L69" t="str">
        <f>HYPERLINK("https://www.commcarehq.org/a/demo-18/api/form/attachment/86c232f4-efb9-43d0-a9ed-9209464d1b04/1591598972962.jpg")</f>
        <v>https://www.commcarehq.org/a/demo-18/api/form/attachment/86c232f4-efb9-43d0-a9ed-9209464d1b04/1591598972962.jpg</v>
      </c>
      <c r="M69" t="str">
        <f>HYPERLINK("https://www.commcarehq.org/a/demo-18/api/form/attachment/86c232f4-efb9-43d0-a9ed-9209464d1b04/1591598988683.jpg")</f>
        <v>https://www.commcarehq.org/a/demo-18/api/form/attachment/86c232f4-efb9-43d0-a9ed-9209464d1b04/1591598988683.jpg</v>
      </c>
      <c r="N69" t="str">
        <f>HYPERLINK("https://www.commcarehq.org/a/demo-18/api/form/attachment/86c232f4-efb9-43d0-a9ed-9209464d1b04/1591599020522.jpg")</f>
        <v>https://www.commcarehq.org/a/demo-18/api/form/attachment/86c232f4-efb9-43d0-a9ed-9209464d1b04/1591599020522.jpg</v>
      </c>
      <c r="O69" t="str">
        <f>HYPERLINK("https://www.commcarehq.org/a/demo-18/api/form/attachment/86c232f4-efb9-43d0-a9ed-9209464d1b04/1591599028745.jpg")</f>
        <v>https://www.commcarehq.org/a/demo-18/api/form/attachment/86c232f4-efb9-43d0-a9ed-9209464d1b04/1591599028745.jpg</v>
      </c>
      <c r="P69" t="str">
        <f>HYPERLINK("https://www.commcarehq.org/a/demo-18/api/form/attachment/86c232f4-efb9-43d0-a9ed-9209464d1b04/1591599047423.jpg")</f>
        <v>https://www.commcarehq.org/a/demo-18/api/form/attachment/86c232f4-efb9-43d0-a9ed-9209464d1b04/1591599047423.jpg</v>
      </c>
      <c r="Q69" t="str">
        <f>HYPERLINK("https://www.commcarehq.org/a/demo-18/api/form/attachment/86c232f4-efb9-43d0-a9ed-9209464d1b04/1591599057146.jpg")</f>
        <v>https://www.commcarehq.org/a/demo-18/api/form/attachment/86c232f4-efb9-43d0-a9ed-9209464d1b04/1591599057146.jpg</v>
      </c>
      <c r="R69" s="2">
        <v>43990.285486111112</v>
      </c>
      <c r="S69" s="2">
        <v>43990.283935185187</v>
      </c>
      <c r="T69" t="s">
        <v>32</v>
      </c>
      <c r="U69" s="2">
        <v>43990.286481481482</v>
      </c>
      <c r="V69" t="s">
        <v>1798</v>
      </c>
      <c r="W69" t="s">
        <v>1799</v>
      </c>
    </row>
    <row r="70" spans="1:23" x14ac:dyDescent="0.45">
      <c r="A70" t="s">
        <v>166</v>
      </c>
      <c r="B70">
        <v>8.5</v>
      </c>
      <c r="C70" s="1">
        <v>44023</v>
      </c>
      <c r="D70" s="1">
        <v>43993</v>
      </c>
      <c r="E70" t="s">
        <v>428</v>
      </c>
      <c r="F70" t="s">
        <v>429</v>
      </c>
      <c r="G70" t="s">
        <v>429</v>
      </c>
      <c r="H70" t="s">
        <v>429</v>
      </c>
      <c r="I70" t="s">
        <v>1321</v>
      </c>
      <c r="J70" t="s">
        <v>428</v>
      </c>
      <c r="K70" t="s">
        <v>429</v>
      </c>
      <c r="L70" t="str">
        <f>HYPERLINK("https://www.commcarehq.org/a/demo-18/api/form/attachment/a390e7ee-91a7-4a7b-98d9-6017639d7e67/1591861898846.jpg")</f>
        <v>https://www.commcarehq.org/a/demo-18/api/form/attachment/a390e7ee-91a7-4a7b-98d9-6017639d7e67/1591861898846.jpg</v>
      </c>
      <c r="M70" t="str">
        <f>HYPERLINK("https://www.commcarehq.org/a/demo-18/api/form/attachment/a390e7ee-91a7-4a7b-98d9-6017639d7e67/1591861913799.jpg")</f>
        <v>https://www.commcarehq.org/a/demo-18/api/form/attachment/a390e7ee-91a7-4a7b-98d9-6017639d7e67/1591861913799.jpg</v>
      </c>
      <c r="N70" t="str">
        <f>HYPERLINK("https://www.commcarehq.org/a/demo-18/api/form/attachment/a390e7ee-91a7-4a7b-98d9-6017639d7e67/1591861947478.jpg")</f>
        <v>https://www.commcarehq.org/a/demo-18/api/form/attachment/a390e7ee-91a7-4a7b-98d9-6017639d7e67/1591861947478.jpg</v>
      </c>
      <c r="O70" t="str">
        <f>HYPERLINK("https://www.commcarehq.org/a/demo-18/api/form/attachment/a390e7ee-91a7-4a7b-98d9-6017639d7e67/1591861976139.jpg")</f>
        <v>https://www.commcarehq.org/a/demo-18/api/form/attachment/a390e7ee-91a7-4a7b-98d9-6017639d7e67/1591861976139.jpg</v>
      </c>
      <c r="P70" t="str">
        <f>HYPERLINK("https://www.commcarehq.org/a/demo-18/api/form/attachment/a390e7ee-91a7-4a7b-98d9-6017639d7e67/1591861992678.jpg")</f>
        <v>https://www.commcarehq.org/a/demo-18/api/form/attachment/a390e7ee-91a7-4a7b-98d9-6017639d7e67/1591861992678.jpg</v>
      </c>
      <c r="Q70" t="str">
        <f>HYPERLINK("https://www.commcarehq.org/a/demo-18/api/form/attachment/a390e7ee-91a7-4a7b-98d9-6017639d7e67/1591862000974.jpg")</f>
        <v>https://www.commcarehq.org/a/demo-18/api/form/attachment/a390e7ee-91a7-4a7b-98d9-6017639d7e67/1591862000974.jpg</v>
      </c>
      <c r="R70" s="2">
        <v>43993.328726851854</v>
      </c>
      <c r="S70" s="2">
        <v>43993.32707175926</v>
      </c>
      <c r="T70" t="s">
        <v>32</v>
      </c>
      <c r="U70" s="2">
        <v>43993.329733796294</v>
      </c>
      <c r="V70" t="s">
        <v>1808</v>
      </c>
      <c r="W70" t="s">
        <v>1809</v>
      </c>
    </row>
    <row r="71" spans="1:23" x14ac:dyDescent="0.45">
      <c r="A71" t="s">
        <v>256</v>
      </c>
      <c r="B71">
        <v>7.2</v>
      </c>
      <c r="C71" s="1">
        <v>44020</v>
      </c>
      <c r="D71" s="1">
        <v>43990</v>
      </c>
      <c r="E71" t="s">
        <v>428</v>
      </c>
      <c r="F71" t="s">
        <v>429</v>
      </c>
      <c r="G71" t="s">
        <v>429</v>
      </c>
      <c r="H71" t="s">
        <v>429</v>
      </c>
      <c r="I71" t="s">
        <v>579</v>
      </c>
      <c r="J71" t="s">
        <v>428</v>
      </c>
      <c r="K71" t="s">
        <v>429</v>
      </c>
      <c r="L71" t="str">
        <f>HYPERLINK("https://www.commcarehq.org/a/demo-18/api/form/attachment/a2924310-dc81-4d35-b3a7-2f247b19d1a0/1591599630461.jpg")</f>
        <v>https://www.commcarehq.org/a/demo-18/api/form/attachment/a2924310-dc81-4d35-b3a7-2f247b19d1a0/1591599630461.jpg</v>
      </c>
      <c r="M71" t="str">
        <f>HYPERLINK("https://www.commcarehq.org/a/demo-18/api/form/attachment/a2924310-dc81-4d35-b3a7-2f247b19d1a0/1591599645497.jpg")</f>
        <v>https://www.commcarehq.org/a/demo-18/api/form/attachment/a2924310-dc81-4d35-b3a7-2f247b19d1a0/1591599645497.jpg</v>
      </c>
      <c r="N71" t="str">
        <f>HYPERLINK("https://www.commcarehq.org/a/demo-18/api/form/attachment/a2924310-dc81-4d35-b3a7-2f247b19d1a0/1591599732834.jpg")</f>
        <v>https://www.commcarehq.org/a/demo-18/api/form/attachment/a2924310-dc81-4d35-b3a7-2f247b19d1a0/1591599732834.jpg</v>
      </c>
      <c r="O71" t="str">
        <f>HYPERLINK("https://www.commcarehq.org/a/demo-18/api/form/attachment/a2924310-dc81-4d35-b3a7-2f247b19d1a0/1591599742168.jpg")</f>
        <v>https://www.commcarehq.org/a/demo-18/api/form/attachment/a2924310-dc81-4d35-b3a7-2f247b19d1a0/1591599742168.jpg</v>
      </c>
      <c r="P71" t="str">
        <f>HYPERLINK("https://www.commcarehq.org/a/demo-18/api/form/attachment/a2924310-dc81-4d35-b3a7-2f247b19d1a0/1591599792631.jpg")</f>
        <v>https://www.commcarehq.org/a/demo-18/api/form/attachment/a2924310-dc81-4d35-b3a7-2f247b19d1a0/1591599792631.jpg</v>
      </c>
      <c r="Q71" t="str">
        <f>HYPERLINK("https://www.commcarehq.org/a/demo-18/api/form/attachment/a2924310-dc81-4d35-b3a7-2f247b19d1a0/1591599803862.jpg")</f>
        <v>https://www.commcarehq.org/a/demo-18/api/form/attachment/a2924310-dc81-4d35-b3a7-2f247b19d1a0/1591599803862.jpg</v>
      </c>
      <c r="R71" s="2">
        <v>43990.294039351851</v>
      </c>
      <c r="S71" s="2">
        <v>43990.291539351849</v>
      </c>
      <c r="T71" t="s">
        <v>32</v>
      </c>
      <c r="U71" s="2">
        <v>43990.294976851852</v>
      </c>
      <c r="V71" t="s">
        <v>1781</v>
      </c>
      <c r="W71" t="s">
        <v>1782</v>
      </c>
    </row>
    <row r="72" spans="1:23" x14ac:dyDescent="0.45">
      <c r="A72" t="s">
        <v>412</v>
      </c>
      <c r="B72">
        <v>7.1</v>
      </c>
      <c r="C72" s="1">
        <v>44027</v>
      </c>
      <c r="D72" s="1">
        <v>43997</v>
      </c>
      <c r="E72" t="s">
        <v>428</v>
      </c>
      <c r="F72" t="s">
        <v>429</v>
      </c>
      <c r="G72" t="s">
        <v>429</v>
      </c>
      <c r="H72" t="s">
        <v>429</v>
      </c>
      <c r="I72" t="s">
        <v>1321</v>
      </c>
      <c r="J72" t="s">
        <v>428</v>
      </c>
      <c r="K72" t="s">
        <v>429</v>
      </c>
      <c r="L72" t="str">
        <f>HYPERLINK("https://www.commcarehq.org/a/demo-18/api/form/attachment/bc98a61d-0e5c-45f5-a492-0116ee7e4705/1592205833446.jpg")</f>
        <v>https://www.commcarehq.org/a/demo-18/api/form/attachment/bc98a61d-0e5c-45f5-a492-0116ee7e4705/1592205833446.jpg</v>
      </c>
      <c r="M72" t="str">
        <f>HYPERLINK("https://www.commcarehq.org/a/demo-18/api/form/attachment/bc98a61d-0e5c-45f5-a492-0116ee7e4705/1592205846622.jpg")</f>
        <v>https://www.commcarehq.org/a/demo-18/api/form/attachment/bc98a61d-0e5c-45f5-a492-0116ee7e4705/1592205846622.jpg</v>
      </c>
      <c r="N72" t="str">
        <f>HYPERLINK("https://www.commcarehq.org/a/demo-18/api/form/attachment/bc98a61d-0e5c-45f5-a492-0116ee7e4705/1592205986900.jpg")</f>
        <v>https://www.commcarehq.org/a/demo-18/api/form/attachment/bc98a61d-0e5c-45f5-a492-0116ee7e4705/1592205986900.jpg</v>
      </c>
      <c r="O72" t="str">
        <f>HYPERLINK("https://www.commcarehq.org/a/demo-18/api/form/attachment/bc98a61d-0e5c-45f5-a492-0116ee7e4705/1592205997029.jpg")</f>
        <v>https://www.commcarehq.org/a/demo-18/api/form/attachment/bc98a61d-0e5c-45f5-a492-0116ee7e4705/1592205997029.jpg</v>
      </c>
      <c r="P72" t="str">
        <f>HYPERLINK("https://www.commcarehq.org/a/demo-18/api/form/attachment/bc98a61d-0e5c-45f5-a492-0116ee7e4705/1592206014788.jpg")</f>
        <v>https://www.commcarehq.org/a/demo-18/api/form/attachment/bc98a61d-0e5c-45f5-a492-0116ee7e4705/1592206014788.jpg</v>
      </c>
      <c r="Q72" t="str">
        <f>HYPERLINK("https://www.commcarehq.org/a/demo-18/api/form/attachment/bc98a61d-0e5c-45f5-a492-0116ee7e4705/1592206023510.jpg")</f>
        <v>https://www.commcarehq.org/a/demo-18/api/form/attachment/bc98a61d-0e5c-45f5-a492-0116ee7e4705/1592206023510.jpg</v>
      </c>
      <c r="R72" s="2">
        <v>43997.310474537036</v>
      </c>
      <c r="S72" s="2">
        <v>43997.307696759257</v>
      </c>
      <c r="T72" t="s">
        <v>32</v>
      </c>
      <c r="U72" s="2">
        <v>43997.31145833333</v>
      </c>
      <c r="V72" t="s">
        <v>1812</v>
      </c>
      <c r="W72" t="s">
        <v>1813</v>
      </c>
    </row>
    <row r="73" spans="1:23" x14ac:dyDescent="0.45">
      <c r="A73" t="s">
        <v>244</v>
      </c>
      <c r="B73">
        <v>8.3000000000000007</v>
      </c>
      <c r="C73" s="1">
        <v>44010</v>
      </c>
      <c r="D73" s="1">
        <v>43980</v>
      </c>
      <c r="E73" t="s">
        <v>428</v>
      </c>
      <c r="F73" t="s">
        <v>429</v>
      </c>
      <c r="G73" t="s">
        <v>429</v>
      </c>
      <c r="H73" t="s">
        <v>429</v>
      </c>
      <c r="I73" t="s">
        <v>579</v>
      </c>
      <c r="J73" t="s">
        <v>428</v>
      </c>
      <c r="K73" t="s">
        <v>429</v>
      </c>
      <c r="L73" t="str">
        <f>HYPERLINK("https://www.commcarehq.org/a/demo-18/api/form/attachment/9f8afcd1-7b2b-459a-89df-1a4b9a7af48a/1590737988596.jpg")</f>
        <v>https://www.commcarehq.org/a/demo-18/api/form/attachment/9f8afcd1-7b2b-459a-89df-1a4b9a7af48a/1590737988596.jpg</v>
      </c>
      <c r="M73" t="str">
        <f>HYPERLINK("https://www.commcarehq.org/a/demo-18/api/form/attachment/9f8afcd1-7b2b-459a-89df-1a4b9a7af48a/1590738003089.jpg")</f>
        <v>https://www.commcarehq.org/a/demo-18/api/form/attachment/9f8afcd1-7b2b-459a-89df-1a4b9a7af48a/1590738003089.jpg</v>
      </c>
      <c r="N73" t="str">
        <f>HYPERLINK("https://www.commcarehq.org/a/demo-18/api/form/attachment/9f8afcd1-7b2b-459a-89df-1a4b9a7af48a/1590738027621.jpg")</f>
        <v>https://www.commcarehq.org/a/demo-18/api/form/attachment/9f8afcd1-7b2b-459a-89df-1a4b9a7af48a/1590738027621.jpg</v>
      </c>
      <c r="O73" t="str">
        <f>HYPERLINK("https://www.commcarehq.org/a/demo-18/api/form/attachment/9f8afcd1-7b2b-459a-89df-1a4b9a7af48a/1590738038334.jpg")</f>
        <v>https://www.commcarehq.org/a/demo-18/api/form/attachment/9f8afcd1-7b2b-459a-89df-1a4b9a7af48a/1590738038334.jpg</v>
      </c>
      <c r="P73" t="str">
        <f>HYPERLINK("https://www.commcarehq.org/a/demo-18/api/form/attachment/9f8afcd1-7b2b-459a-89df-1a4b9a7af48a/1590738070294.jpg")</f>
        <v>https://www.commcarehq.org/a/demo-18/api/form/attachment/9f8afcd1-7b2b-459a-89df-1a4b9a7af48a/1590738070294.jpg</v>
      </c>
      <c r="Q73" t="str">
        <f>HYPERLINK("https://www.commcarehq.org/a/demo-18/api/form/attachment/9f8afcd1-7b2b-459a-89df-1a4b9a7af48a/1590738085689.jpg")</f>
        <v>https://www.commcarehq.org/a/demo-18/api/form/attachment/9f8afcd1-7b2b-459a-89df-1a4b9a7af48a/1590738085689.jpg</v>
      </c>
      <c r="R73" s="2">
        <v>43980.320451388892</v>
      </c>
      <c r="S73" s="2">
        <v>43980.318078703705</v>
      </c>
      <c r="T73" t="s">
        <v>32</v>
      </c>
      <c r="U73" s="2">
        <v>43980.321388888886</v>
      </c>
      <c r="V73" t="s">
        <v>1792</v>
      </c>
      <c r="W73" t="s">
        <v>1793</v>
      </c>
    </row>
    <row r="74" spans="1:23" x14ac:dyDescent="0.45">
      <c r="A74" t="s">
        <v>283</v>
      </c>
      <c r="B74">
        <v>6.1</v>
      </c>
      <c r="C74" s="1">
        <v>44027</v>
      </c>
      <c r="D74" s="1">
        <v>43997</v>
      </c>
      <c r="E74" t="s">
        <v>428</v>
      </c>
      <c r="F74" t="s">
        <v>429</v>
      </c>
      <c r="G74" t="s">
        <v>429</v>
      </c>
      <c r="H74" t="s">
        <v>429</v>
      </c>
      <c r="I74" t="s">
        <v>1321</v>
      </c>
      <c r="J74" t="s">
        <v>428</v>
      </c>
      <c r="K74" t="s">
        <v>429</v>
      </c>
      <c r="L74" t="str">
        <f>HYPERLINK("https://www.commcarehq.org/a/demo-18/api/form/attachment/be0d4690-8ed2-41d9-904b-f3685d47a4c6/1592206233074.jpg")</f>
        <v>https://www.commcarehq.org/a/demo-18/api/form/attachment/be0d4690-8ed2-41d9-904b-f3685d47a4c6/1592206233074.jpg</v>
      </c>
      <c r="M74" t="str">
        <f>HYPERLINK("https://www.commcarehq.org/a/demo-18/api/form/attachment/be0d4690-8ed2-41d9-904b-f3685d47a4c6/1592206247757.jpg")</f>
        <v>https://www.commcarehq.org/a/demo-18/api/form/attachment/be0d4690-8ed2-41d9-904b-f3685d47a4c6/1592206247757.jpg</v>
      </c>
      <c r="N74" t="str">
        <f>HYPERLINK("https://www.commcarehq.org/a/demo-18/api/form/attachment/be0d4690-8ed2-41d9-904b-f3685d47a4c6/1592206324097.jpg")</f>
        <v>https://www.commcarehq.org/a/demo-18/api/form/attachment/be0d4690-8ed2-41d9-904b-f3685d47a4c6/1592206324097.jpg</v>
      </c>
      <c r="O74" t="str">
        <f>HYPERLINK("https://www.commcarehq.org/a/demo-18/api/form/attachment/be0d4690-8ed2-41d9-904b-f3685d47a4c6/1592206333234.jpg")</f>
        <v>https://www.commcarehq.org/a/demo-18/api/form/attachment/be0d4690-8ed2-41d9-904b-f3685d47a4c6/1592206333234.jpg</v>
      </c>
      <c r="P74" t="str">
        <f>HYPERLINK("https://www.commcarehq.org/a/demo-18/api/form/attachment/be0d4690-8ed2-41d9-904b-f3685d47a4c6/1592206348544.jpg")</f>
        <v>https://www.commcarehq.org/a/demo-18/api/form/attachment/be0d4690-8ed2-41d9-904b-f3685d47a4c6/1592206348544.jpg</v>
      </c>
      <c r="Q74" t="str">
        <f>HYPERLINK("https://www.commcarehq.org/a/demo-18/api/form/attachment/be0d4690-8ed2-41d9-904b-f3685d47a4c6/1592206356962.jpg")</f>
        <v>https://www.commcarehq.org/a/demo-18/api/form/attachment/be0d4690-8ed2-41d9-904b-f3685d47a4c6/1592206356962.jpg</v>
      </c>
      <c r="R74" s="2">
        <v>43997.314340277779</v>
      </c>
      <c r="S74" s="2">
        <v>43997.312303240738</v>
      </c>
      <c r="T74" t="s">
        <v>32</v>
      </c>
      <c r="U74" s="2">
        <v>43997.31554398148</v>
      </c>
      <c r="V74" t="s">
        <v>1810</v>
      </c>
      <c r="W74" t="s">
        <v>1811</v>
      </c>
    </row>
    <row r="75" spans="1:23" x14ac:dyDescent="0.45">
      <c r="A75" t="s">
        <v>418</v>
      </c>
      <c r="B75">
        <v>5.9</v>
      </c>
      <c r="C75" s="1">
        <v>44020</v>
      </c>
      <c r="D75" s="1">
        <v>43989</v>
      </c>
      <c r="E75" t="s">
        <v>428</v>
      </c>
      <c r="F75" t="s">
        <v>429</v>
      </c>
      <c r="G75" t="s">
        <v>429</v>
      </c>
      <c r="H75" t="s">
        <v>429</v>
      </c>
      <c r="I75" t="s">
        <v>579</v>
      </c>
      <c r="J75" t="s">
        <v>428</v>
      </c>
      <c r="K75" t="s">
        <v>429</v>
      </c>
      <c r="L75" t="str">
        <f>HYPERLINK("https://www.commcarehq.org/a/demo-18/api/form/attachment/13bf22c4-9ef4-4094-90c9-d5d1f4047516/1591598258927.jpg")</f>
        <v>https://www.commcarehq.org/a/demo-18/api/form/attachment/13bf22c4-9ef4-4094-90c9-d5d1f4047516/1591598258927.jpg</v>
      </c>
      <c r="M75" t="str">
        <f>HYPERLINK("https://www.commcarehq.org/a/demo-18/api/form/attachment/13bf22c4-9ef4-4094-90c9-d5d1f4047516/1591598282892.jpg")</f>
        <v>https://www.commcarehq.org/a/demo-18/api/form/attachment/13bf22c4-9ef4-4094-90c9-d5d1f4047516/1591598282892.jpg</v>
      </c>
      <c r="N75" t="str">
        <f>HYPERLINK("https://www.commcarehq.org/a/demo-18/api/form/attachment/13bf22c4-9ef4-4094-90c9-d5d1f4047516/1591598318602.jpg")</f>
        <v>https://www.commcarehq.org/a/demo-18/api/form/attachment/13bf22c4-9ef4-4094-90c9-d5d1f4047516/1591598318602.jpg</v>
      </c>
      <c r="O75" t="str">
        <f>HYPERLINK("https://www.commcarehq.org/a/demo-18/api/form/attachment/13bf22c4-9ef4-4094-90c9-d5d1f4047516/1591598328019.jpg")</f>
        <v>https://www.commcarehq.org/a/demo-18/api/form/attachment/13bf22c4-9ef4-4094-90c9-d5d1f4047516/1591598328019.jpg</v>
      </c>
      <c r="P75" t="str">
        <f>HYPERLINK("https://www.commcarehq.org/a/demo-18/api/form/attachment/13bf22c4-9ef4-4094-90c9-d5d1f4047516/1591598342730.jpg")</f>
        <v>https://www.commcarehq.org/a/demo-18/api/form/attachment/13bf22c4-9ef4-4094-90c9-d5d1f4047516/1591598342730.jpg</v>
      </c>
      <c r="Q75" t="str">
        <f>HYPERLINK("https://www.commcarehq.org/a/demo-18/api/form/attachment/13bf22c4-9ef4-4094-90c9-d5d1f4047516/1591598351289.jpg")</f>
        <v>https://www.commcarehq.org/a/demo-18/api/form/attachment/13bf22c4-9ef4-4094-90c9-d5d1f4047516/1591598351289.jpg</v>
      </c>
      <c r="R75" s="2">
        <v>43990.277222222219</v>
      </c>
      <c r="S75" s="2">
        <v>43990.275393518517</v>
      </c>
      <c r="T75" t="s">
        <v>32</v>
      </c>
      <c r="U75" s="2">
        <v>43990.278229166666</v>
      </c>
      <c r="V75" t="s">
        <v>1779</v>
      </c>
      <c r="W75" t="s">
        <v>1780</v>
      </c>
    </row>
    <row r="76" spans="1:23" x14ac:dyDescent="0.45">
      <c r="A76" t="s">
        <v>343</v>
      </c>
      <c r="B76">
        <v>7.1</v>
      </c>
      <c r="C76" s="1">
        <v>43996</v>
      </c>
      <c r="D76" s="1">
        <v>43966</v>
      </c>
      <c r="E76" t="s">
        <v>428</v>
      </c>
      <c r="F76" t="s">
        <v>429</v>
      </c>
      <c r="G76" t="s">
        <v>429</v>
      </c>
      <c r="H76" t="s">
        <v>429</v>
      </c>
      <c r="I76" t="s">
        <v>1321</v>
      </c>
      <c r="J76" t="s">
        <v>428</v>
      </c>
      <c r="K76" t="s">
        <v>429</v>
      </c>
      <c r="L76" t="str">
        <f>HYPERLINK("https://www.commcarehq.org/a/demo-18/api/form/attachment/facef337-da87-49a3-9e59-8cfcb8e4c7d7/1589528533054.jpg")</f>
        <v>https://www.commcarehq.org/a/demo-18/api/form/attachment/facef337-da87-49a3-9e59-8cfcb8e4c7d7/1589528533054.jpg</v>
      </c>
      <c r="M76" t="str">
        <f>HYPERLINK("https://www.commcarehq.org/a/demo-18/api/form/attachment/facef337-da87-49a3-9e59-8cfcb8e4c7d7/1589528547672.jpg")</f>
        <v>https://www.commcarehq.org/a/demo-18/api/form/attachment/facef337-da87-49a3-9e59-8cfcb8e4c7d7/1589528547672.jpg</v>
      </c>
      <c r="N76" t="str">
        <f>HYPERLINK("https://www.commcarehq.org/a/demo-18/api/form/attachment/facef337-da87-49a3-9e59-8cfcb8e4c7d7/1589528648617.jpg")</f>
        <v>https://www.commcarehq.org/a/demo-18/api/form/attachment/facef337-da87-49a3-9e59-8cfcb8e4c7d7/1589528648617.jpg</v>
      </c>
      <c r="O76" t="str">
        <f>HYPERLINK("https://www.commcarehq.org/a/demo-18/api/form/attachment/facef337-da87-49a3-9e59-8cfcb8e4c7d7/1589528658312.jpg")</f>
        <v>https://www.commcarehq.org/a/demo-18/api/form/attachment/facef337-da87-49a3-9e59-8cfcb8e4c7d7/1589528658312.jpg</v>
      </c>
      <c r="P76" t="str">
        <f>HYPERLINK("https://www.commcarehq.org/a/demo-18/api/form/attachment/facef337-da87-49a3-9e59-8cfcb8e4c7d7/1589528676339.jpg")</f>
        <v>https://www.commcarehq.org/a/demo-18/api/form/attachment/facef337-da87-49a3-9e59-8cfcb8e4c7d7/1589528676339.jpg</v>
      </c>
      <c r="Q76" t="str">
        <f>HYPERLINK("https://www.commcarehq.org/a/demo-18/api/form/attachment/facef337-da87-49a3-9e59-8cfcb8e4c7d7/1589528684124.jpg")</f>
        <v>https://www.commcarehq.org/a/demo-18/api/form/attachment/facef337-da87-49a3-9e59-8cfcb8e4c7d7/1589528684124.jpg</v>
      </c>
      <c r="R76" s="2">
        <v>43966.322743055556</v>
      </c>
      <c r="S76" s="2">
        <v>43966.320104166669</v>
      </c>
      <c r="T76" t="s">
        <v>32</v>
      </c>
      <c r="U76" s="2">
        <v>43966.323148148149</v>
      </c>
      <c r="V76" t="s">
        <v>1777</v>
      </c>
      <c r="W76" t="s">
        <v>1778</v>
      </c>
    </row>
    <row r="77" spans="1:23" x14ac:dyDescent="0.45">
      <c r="A77" t="s">
        <v>220</v>
      </c>
      <c r="B77">
        <v>6.8</v>
      </c>
      <c r="C77" s="1">
        <v>43996</v>
      </c>
      <c r="D77" s="1">
        <v>43966</v>
      </c>
      <c r="E77" t="s">
        <v>428</v>
      </c>
      <c r="F77" t="s">
        <v>429</v>
      </c>
      <c r="G77" t="s">
        <v>429</v>
      </c>
      <c r="H77" t="s">
        <v>429</v>
      </c>
      <c r="I77" t="s">
        <v>498</v>
      </c>
      <c r="J77" t="s">
        <v>428</v>
      </c>
      <c r="K77" t="s">
        <v>429</v>
      </c>
      <c r="L77" t="str">
        <f>HYPERLINK("https://www.commcarehq.org/a/demo-18/api/form/attachment/da43925b-59e4-4297-aa7f-ddad3e5fe54b/1589524276132.jpg")</f>
        <v>https://www.commcarehq.org/a/demo-18/api/form/attachment/da43925b-59e4-4297-aa7f-ddad3e5fe54b/1589524276132.jpg</v>
      </c>
      <c r="M77" t="str">
        <f>HYPERLINK("https://www.commcarehq.org/a/demo-18/api/form/attachment/da43925b-59e4-4297-aa7f-ddad3e5fe54b/1589524289732.jpg")</f>
        <v>https://www.commcarehq.org/a/demo-18/api/form/attachment/da43925b-59e4-4297-aa7f-ddad3e5fe54b/1589524289732.jpg</v>
      </c>
      <c r="N77" t="str">
        <f>HYPERLINK("https://www.commcarehq.org/a/demo-18/api/form/attachment/da43925b-59e4-4297-aa7f-ddad3e5fe54b/1589524350534.jpg")</f>
        <v>https://www.commcarehq.org/a/demo-18/api/form/attachment/da43925b-59e4-4297-aa7f-ddad3e5fe54b/1589524350534.jpg</v>
      </c>
      <c r="O77" t="str">
        <f>HYPERLINK("https://www.commcarehq.org/a/demo-18/api/form/attachment/da43925b-59e4-4297-aa7f-ddad3e5fe54b/1589524362882.jpg")</f>
        <v>https://www.commcarehq.org/a/demo-18/api/form/attachment/da43925b-59e4-4297-aa7f-ddad3e5fe54b/1589524362882.jpg</v>
      </c>
      <c r="P77" t="str">
        <f>HYPERLINK("https://www.commcarehq.org/a/demo-18/api/form/attachment/da43925b-59e4-4297-aa7f-ddad3e5fe54b/1589524377834.jpg")</f>
        <v>https://www.commcarehq.org/a/demo-18/api/form/attachment/da43925b-59e4-4297-aa7f-ddad3e5fe54b/1589524377834.jpg</v>
      </c>
      <c r="Q77" t="str">
        <f>HYPERLINK("https://www.commcarehq.org/a/demo-18/api/form/attachment/da43925b-59e4-4297-aa7f-ddad3e5fe54b/1589524392464.jpg")</f>
        <v>https://www.commcarehq.org/a/demo-18/api/form/attachment/da43925b-59e4-4297-aa7f-ddad3e5fe54b/1589524392464.jpg</v>
      </c>
      <c r="R77" s="2">
        <v>43966.273078703707</v>
      </c>
      <c r="S77" s="2">
        <v>43966.271226851852</v>
      </c>
      <c r="T77" t="s">
        <v>32</v>
      </c>
      <c r="U77" s="2">
        <v>43966.299317129633</v>
      </c>
      <c r="V77" t="s">
        <v>1804</v>
      </c>
      <c r="W77" t="s">
        <v>1805</v>
      </c>
    </row>
    <row r="78" spans="1:23" x14ac:dyDescent="0.45">
      <c r="A78" t="s">
        <v>349</v>
      </c>
      <c r="B78">
        <v>6.5</v>
      </c>
      <c r="C78" s="1">
        <v>43996</v>
      </c>
      <c r="D78" s="1">
        <v>43966</v>
      </c>
      <c r="E78" t="s">
        <v>428</v>
      </c>
      <c r="F78" t="s">
        <v>429</v>
      </c>
      <c r="G78" t="s">
        <v>429</v>
      </c>
      <c r="H78" t="s">
        <v>429</v>
      </c>
      <c r="I78" t="s">
        <v>579</v>
      </c>
      <c r="J78" t="s">
        <v>428</v>
      </c>
      <c r="K78" t="s">
        <v>429</v>
      </c>
      <c r="L78" t="str">
        <f>HYPERLINK("https://www.commcarehq.org/a/demo-18/api/form/attachment/92302752-62b0-4efc-99fa-a560f017cf3a/1589523367958.jpg")</f>
        <v>https://www.commcarehq.org/a/demo-18/api/form/attachment/92302752-62b0-4efc-99fa-a560f017cf3a/1589523367958.jpg</v>
      </c>
      <c r="M78" t="str">
        <f>HYPERLINK("https://www.commcarehq.org/a/demo-18/api/form/attachment/92302752-62b0-4efc-99fa-a560f017cf3a/1589523383822.jpg")</f>
        <v>https://www.commcarehq.org/a/demo-18/api/form/attachment/92302752-62b0-4efc-99fa-a560f017cf3a/1589523383822.jpg</v>
      </c>
      <c r="N78" t="str">
        <f>HYPERLINK("https://www.commcarehq.org/a/demo-18/api/form/attachment/92302752-62b0-4efc-99fa-a560f017cf3a/1589523451299.jpg")</f>
        <v>https://www.commcarehq.org/a/demo-18/api/form/attachment/92302752-62b0-4efc-99fa-a560f017cf3a/1589523451299.jpg</v>
      </c>
      <c r="O78" t="str">
        <f>HYPERLINK("https://www.commcarehq.org/a/demo-18/api/form/attachment/92302752-62b0-4efc-99fa-a560f017cf3a/1589523459996.jpg")</f>
        <v>https://www.commcarehq.org/a/demo-18/api/form/attachment/92302752-62b0-4efc-99fa-a560f017cf3a/1589523459996.jpg</v>
      </c>
      <c r="P78" t="str">
        <f>HYPERLINK("https://www.commcarehq.org/a/demo-18/api/form/attachment/92302752-62b0-4efc-99fa-a560f017cf3a/1589523487594.jpg")</f>
        <v>https://www.commcarehq.org/a/demo-18/api/form/attachment/92302752-62b0-4efc-99fa-a560f017cf3a/1589523487594.jpg</v>
      </c>
      <c r="Q78" t="str">
        <f>HYPERLINK("https://www.commcarehq.org/a/demo-18/api/form/attachment/92302752-62b0-4efc-99fa-a560f017cf3a/1589523501756.jpg")</f>
        <v>https://www.commcarehq.org/a/demo-18/api/form/attachment/92302752-62b0-4efc-99fa-a560f017cf3a/1589523501756.jpg</v>
      </c>
      <c r="R78" s="2">
        <v>43966.262766203705</v>
      </c>
      <c r="S78" s="2">
        <v>43966.260613425926</v>
      </c>
      <c r="T78" t="s">
        <v>32</v>
      </c>
      <c r="U78" s="2">
        <v>43966.298784722225</v>
      </c>
      <c r="V78" t="s">
        <v>1775</v>
      </c>
      <c r="W78" t="s">
        <v>1776</v>
      </c>
    </row>
    <row r="79" spans="1:23" x14ac:dyDescent="0.45">
      <c r="A79" t="s">
        <v>334</v>
      </c>
      <c r="B79">
        <v>7.3</v>
      </c>
      <c r="C79" s="1">
        <v>43995</v>
      </c>
      <c r="D79" s="1">
        <v>43965</v>
      </c>
      <c r="E79" t="s">
        <v>428</v>
      </c>
      <c r="F79" t="s">
        <v>429</v>
      </c>
      <c r="G79" t="s">
        <v>429</v>
      </c>
      <c r="H79" t="s">
        <v>429</v>
      </c>
      <c r="I79" t="s">
        <v>1785</v>
      </c>
      <c r="J79" t="s">
        <v>428</v>
      </c>
      <c r="K79" t="s">
        <v>429</v>
      </c>
      <c r="L79" t="str">
        <f>HYPERLINK("https://www.commcarehq.org/a/demo-18/api/form/attachment/256c6860-8211-467c-87b1-7cdb26f8508d/1589435857100.jpg")</f>
        <v>https://www.commcarehq.org/a/demo-18/api/form/attachment/256c6860-8211-467c-87b1-7cdb26f8508d/1589435857100.jpg</v>
      </c>
      <c r="M79" t="str">
        <f>HYPERLINK("https://www.commcarehq.org/a/demo-18/api/form/attachment/256c6860-8211-467c-87b1-7cdb26f8508d/1589435873840.jpg")</f>
        <v>https://www.commcarehq.org/a/demo-18/api/form/attachment/256c6860-8211-467c-87b1-7cdb26f8508d/1589435873840.jpg</v>
      </c>
      <c r="N79" t="str">
        <f>HYPERLINK("https://www.commcarehq.org/a/demo-18/api/form/attachment/256c6860-8211-467c-87b1-7cdb26f8508d/1589436038664.jpg")</f>
        <v>https://www.commcarehq.org/a/demo-18/api/form/attachment/256c6860-8211-467c-87b1-7cdb26f8508d/1589436038664.jpg</v>
      </c>
      <c r="O79" t="str">
        <f>HYPERLINK("https://www.commcarehq.org/a/demo-18/api/form/attachment/256c6860-8211-467c-87b1-7cdb26f8508d/1589436052457.jpg")</f>
        <v>https://www.commcarehq.org/a/demo-18/api/form/attachment/256c6860-8211-467c-87b1-7cdb26f8508d/1589436052457.jpg</v>
      </c>
      <c r="P79" t="str">
        <f>HYPERLINK("https://www.commcarehq.org/a/demo-18/api/form/attachment/256c6860-8211-467c-87b1-7cdb26f8508d/1589436067503.jpg")</f>
        <v>https://www.commcarehq.org/a/demo-18/api/form/attachment/256c6860-8211-467c-87b1-7cdb26f8508d/1589436067503.jpg</v>
      </c>
      <c r="Q79" t="str">
        <f>HYPERLINK("https://www.commcarehq.org/a/demo-18/api/form/attachment/256c6860-8211-467c-87b1-7cdb26f8508d/1589436075761.jpg")</f>
        <v>https://www.commcarehq.org/a/demo-18/api/form/attachment/256c6860-8211-467c-87b1-7cdb26f8508d/1589436075761.jpg</v>
      </c>
      <c r="R79" s="2">
        <v>43965.250891203701</v>
      </c>
      <c r="S79" s="2">
        <v>43965.247615740744</v>
      </c>
      <c r="T79" t="s">
        <v>32</v>
      </c>
      <c r="U79" s="2">
        <v>43965.251296296294</v>
      </c>
      <c r="V79" t="s">
        <v>1786</v>
      </c>
      <c r="W79" t="s">
        <v>1787</v>
      </c>
    </row>
    <row r="80" spans="1:23" x14ac:dyDescent="0.45">
      <c r="A80" t="s">
        <v>41</v>
      </c>
      <c r="B80">
        <v>8.1999999999999993</v>
      </c>
      <c r="C80" s="1">
        <v>44003</v>
      </c>
      <c r="D80" s="1">
        <v>43973</v>
      </c>
      <c r="E80" t="s">
        <v>428</v>
      </c>
      <c r="F80" t="s">
        <v>429</v>
      </c>
      <c r="G80" t="s">
        <v>429</v>
      </c>
      <c r="H80" t="s">
        <v>429</v>
      </c>
      <c r="I80" t="s">
        <v>1321</v>
      </c>
      <c r="J80" t="s">
        <v>428</v>
      </c>
      <c r="K80" t="s">
        <v>429</v>
      </c>
      <c r="L80" t="str">
        <f>HYPERLINK("https://www.commcarehq.org/a/demo-18/api/form/attachment/91c14cd3-eae7-4d99-9169-968657224bd3/1590128686591.jpg")</f>
        <v>https://www.commcarehq.org/a/demo-18/api/form/attachment/91c14cd3-eae7-4d99-9169-968657224bd3/1590128686591.jpg</v>
      </c>
      <c r="M80" t="str">
        <f>HYPERLINK("https://www.commcarehq.org/a/demo-18/api/form/attachment/91c14cd3-eae7-4d99-9169-968657224bd3/1590128701983.jpg")</f>
        <v>https://www.commcarehq.org/a/demo-18/api/form/attachment/91c14cd3-eae7-4d99-9169-968657224bd3/1590128701983.jpg</v>
      </c>
      <c r="N80" t="str">
        <f>HYPERLINK("https://www.commcarehq.org/a/demo-18/api/form/attachment/91c14cd3-eae7-4d99-9169-968657224bd3/1590128772843.jpg")</f>
        <v>https://www.commcarehq.org/a/demo-18/api/form/attachment/91c14cd3-eae7-4d99-9169-968657224bd3/1590128772843.jpg</v>
      </c>
      <c r="O80" t="str">
        <f>HYPERLINK("https://www.commcarehq.org/a/demo-18/api/form/attachment/91c14cd3-eae7-4d99-9169-968657224bd3/1590128785397.jpg")</f>
        <v>https://www.commcarehq.org/a/demo-18/api/form/attachment/91c14cd3-eae7-4d99-9169-968657224bd3/1590128785397.jpg</v>
      </c>
      <c r="P80" t="str">
        <f>HYPERLINK("https://www.commcarehq.org/a/demo-18/api/form/attachment/91c14cd3-eae7-4d99-9169-968657224bd3/1590128799708.jpg")</f>
        <v>https://www.commcarehq.org/a/demo-18/api/form/attachment/91c14cd3-eae7-4d99-9169-968657224bd3/1590128799708.jpg</v>
      </c>
      <c r="Q80" t="str">
        <f>HYPERLINK("https://www.commcarehq.org/a/demo-18/api/form/attachment/91c14cd3-eae7-4d99-9169-968657224bd3/1590128809188.jpg")</f>
        <v>https://www.commcarehq.org/a/demo-18/api/form/attachment/91c14cd3-eae7-4d99-9169-968657224bd3/1590128809188.jpg</v>
      </c>
      <c r="R80" s="2">
        <v>43973.268692129626</v>
      </c>
      <c r="S80" s="2">
        <v>43973.266689814816</v>
      </c>
      <c r="T80" t="s">
        <v>32</v>
      </c>
      <c r="U80" s="2">
        <v>43973.268923611111</v>
      </c>
      <c r="V80" t="s">
        <v>1771</v>
      </c>
      <c r="W80" t="s">
        <v>1772</v>
      </c>
    </row>
    <row r="81" spans="1:23" x14ac:dyDescent="0.45">
      <c r="A81" t="s">
        <v>292</v>
      </c>
      <c r="B81">
        <v>13</v>
      </c>
      <c r="C81" s="1">
        <v>44002</v>
      </c>
      <c r="D81" s="1">
        <v>43972</v>
      </c>
      <c r="E81" t="s">
        <v>428</v>
      </c>
      <c r="F81" t="s">
        <v>429</v>
      </c>
      <c r="G81" t="s">
        <v>429</v>
      </c>
      <c r="H81" t="s">
        <v>429</v>
      </c>
      <c r="I81" t="s">
        <v>1321</v>
      </c>
      <c r="J81" t="s">
        <v>428</v>
      </c>
      <c r="K81" t="s">
        <v>429</v>
      </c>
      <c r="L81" t="str">
        <f>HYPERLINK("https://www.commcarehq.org/a/demo-18/api/form/attachment/2b8ac6cd-0041-4219-8cd7-ae157962905e/1590047440075.jpg")</f>
        <v>https://www.commcarehq.org/a/demo-18/api/form/attachment/2b8ac6cd-0041-4219-8cd7-ae157962905e/1590047440075.jpg</v>
      </c>
      <c r="M81" t="str">
        <f>HYPERLINK("https://www.commcarehq.org/a/demo-18/api/form/attachment/2b8ac6cd-0041-4219-8cd7-ae157962905e/1590047457622.jpg")</f>
        <v>https://www.commcarehq.org/a/demo-18/api/form/attachment/2b8ac6cd-0041-4219-8cd7-ae157962905e/1590047457622.jpg</v>
      </c>
      <c r="N81" t="str">
        <f>HYPERLINK("https://www.commcarehq.org/a/demo-18/api/form/attachment/2b8ac6cd-0041-4219-8cd7-ae157962905e/1590047530498.jpg")</f>
        <v>https://www.commcarehq.org/a/demo-18/api/form/attachment/2b8ac6cd-0041-4219-8cd7-ae157962905e/1590047530498.jpg</v>
      </c>
      <c r="O81" t="str">
        <f>HYPERLINK("https://www.commcarehq.org/a/demo-18/api/form/attachment/2b8ac6cd-0041-4219-8cd7-ae157962905e/1590047540335.jpg")</f>
        <v>https://www.commcarehq.org/a/demo-18/api/form/attachment/2b8ac6cd-0041-4219-8cd7-ae157962905e/1590047540335.jpg</v>
      </c>
      <c r="P81" t="str">
        <f>HYPERLINK("https://www.commcarehq.org/a/demo-18/api/form/attachment/2b8ac6cd-0041-4219-8cd7-ae157962905e/1590047556238.jpg")</f>
        <v>https://www.commcarehq.org/a/demo-18/api/form/attachment/2b8ac6cd-0041-4219-8cd7-ae157962905e/1590047556238.jpg</v>
      </c>
      <c r="Q81" t="str">
        <f>HYPERLINK("https://www.commcarehq.org/a/demo-18/api/form/attachment/2b8ac6cd-0041-4219-8cd7-ae157962905e/1590047570186.jpg")</f>
        <v>https://www.commcarehq.org/a/demo-18/api/form/attachment/2b8ac6cd-0041-4219-8cd7-ae157962905e/1590047570186.jpg</v>
      </c>
      <c r="R81" s="2">
        <v>43972.328368055554</v>
      </c>
      <c r="S81" s="2">
        <v>43972.32607638889</v>
      </c>
      <c r="T81" t="s">
        <v>32</v>
      </c>
      <c r="U81" s="2">
        <v>43972.328564814816</v>
      </c>
      <c r="V81" t="s">
        <v>1806</v>
      </c>
      <c r="W81" t="s">
        <v>1807</v>
      </c>
    </row>
    <row r="82" spans="1:23" x14ac:dyDescent="0.45">
      <c r="A82" t="s">
        <v>361</v>
      </c>
      <c r="B82">
        <v>7.1</v>
      </c>
      <c r="C82" s="1">
        <v>44003</v>
      </c>
      <c r="D82" s="1">
        <v>43973</v>
      </c>
      <c r="E82" t="s">
        <v>428</v>
      </c>
      <c r="F82" t="s">
        <v>429</v>
      </c>
      <c r="G82" t="s">
        <v>429</v>
      </c>
      <c r="H82" t="s">
        <v>429</v>
      </c>
      <c r="I82" t="s">
        <v>498</v>
      </c>
      <c r="J82" t="s">
        <v>428</v>
      </c>
      <c r="K82" t="s">
        <v>429</v>
      </c>
      <c r="L82" t="str">
        <f>HYPERLINK("https://www.commcarehq.org/a/demo-18/api/form/attachment/9cb5da21-a782-443a-9715-0c475a59b446/1590132187103.jpg")</f>
        <v>https://www.commcarehq.org/a/demo-18/api/form/attachment/9cb5da21-a782-443a-9715-0c475a59b446/1590132187103.jpg</v>
      </c>
      <c r="M82" t="str">
        <f>HYPERLINK("https://www.commcarehq.org/a/demo-18/api/form/attachment/9cb5da21-a782-443a-9715-0c475a59b446/1590132207235.jpg")</f>
        <v>https://www.commcarehq.org/a/demo-18/api/form/attachment/9cb5da21-a782-443a-9715-0c475a59b446/1590132207235.jpg</v>
      </c>
      <c r="N82" t="str">
        <f>HYPERLINK("https://www.commcarehq.org/a/demo-18/api/form/attachment/9cb5da21-a782-443a-9715-0c475a59b446/1590132238658.jpg")</f>
        <v>https://www.commcarehq.org/a/demo-18/api/form/attachment/9cb5da21-a782-443a-9715-0c475a59b446/1590132238658.jpg</v>
      </c>
      <c r="O82" t="str">
        <f>HYPERLINK("https://www.commcarehq.org/a/demo-18/api/form/attachment/9cb5da21-a782-443a-9715-0c475a59b446/1590132248335.jpg")</f>
        <v>https://www.commcarehq.org/a/demo-18/api/form/attachment/9cb5da21-a782-443a-9715-0c475a59b446/1590132248335.jpg</v>
      </c>
      <c r="P82" t="str">
        <f>HYPERLINK("https://www.commcarehq.org/a/demo-18/api/form/attachment/9cb5da21-a782-443a-9715-0c475a59b446/1590132263108.jpg")</f>
        <v>https://www.commcarehq.org/a/demo-18/api/form/attachment/9cb5da21-a782-443a-9715-0c475a59b446/1590132263108.jpg</v>
      </c>
      <c r="Q82" t="str">
        <f>HYPERLINK("https://www.commcarehq.org/a/demo-18/api/form/attachment/9cb5da21-a782-443a-9715-0c475a59b446/1590132272327.jpg")</f>
        <v>https://www.commcarehq.org/a/demo-18/api/form/attachment/9cb5da21-a782-443a-9715-0c475a59b446/1590132272327.jpg</v>
      </c>
      <c r="R82" s="2">
        <v>43973.30872685185</v>
      </c>
      <c r="S82" s="2">
        <v>43973.30741898148</v>
      </c>
      <c r="T82" t="s">
        <v>32</v>
      </c>
      <c r="U82" s="2">
        <v>43973.308981481481</v>
      </c>
      <c r="V82" t="s">
        <v>1773</v>
      </c>
      <c r="W82" t="s">
        <v>1774</v>
      </c>
    </row>
    <row r="83" spans="1:23" x14ac:dyDescent="0.45">
      <c r="A83" t="s">
        <v>298</v>
      </c>
      <c r="B83">
        <v>5.6</v>
      </c>
      <c r="C83" s="1">
        <v>43995</v>
      </c>
      <c r="D83" s="1">
        <v>43965</v>
      </c>
      <c r="E83" t="s">
        <v>428</v>
      </c>
      <c r="F83" t="s">
        <v>429</v>
      </c>
      <c r="G83" t="s">
        <v>429</v>
      </c>
      <c r="H83" t="s">
        <v>429</v>
      </c>
      <c r="I83" t="s">
        <v>579</v>
      </c>
      <c r="J83" t="s">
        <v>428</v>
      </c>
      <c r="K83" t="s">
        <v>429</v>
      </c>
      <c r="L83" t="str">
        <f>HYPERLINK("https://www.commcarehq.org/a/demo-18/api/form/attachment/4f0dff3d-251b-40bd-ae81-8602d95d9b40/1589439908052.jpg")</f>
        <v>https://www.commcarehq.org/a/demo-18/api/form/attachment/4f0dff3d-251b-40bd-ae81-8602d95d9b40/1589439908052.jpg</v>
      </c>
      <c r="M83" t="str">
        <f>HYPERLINK("https://www.commcarehq.org/a/demo-18/api/form/attachment/4f0dff3d-251b-40bd-ae81-8602d95d9b40/1589439923569.jpg")</f>
        <v>https://www.commcarehq.org/a/demo-18/api/form/attachment/4f0dff3d-251b-40bd-ae81-8602d95d9b40/1589439923569.jpg</v>
      </c>
      <c r="N83" t="str">
        <f>HYPERLINK("https://www.commcarehq.org/a/demo-18/api/form/attachment/4f0dff3d-251b-40bd-ae81-8602d95d9b40/1589439968688.jpg")</f>
        <v>https://www.commcarehq.org/a/demo-18/api/form/attachment/4f0dff3d-251b-40bd-ae81-8602d95d9b40/1589439968688.jpg</v>
      </c>
      <c r="O83" t="str">
        <f>HYPERLINK("https://www.commcarehq.org/a/demo-18/api/form/attachment/4f0dff3d-251b-40bd-ae81-8602d95d9b40/1589439978684.jpg")</f>
        <v>https://www.commcarehq.org/a/demo-18/api/form/attachment/4f0dff3d-251b-40bd-ae81-8602d95d9b40/1589439978684.jpg</v>
      </c>
      <c r="P83" t="str">
        <f>HYPERLINK("https://www.commcarehq.org/a/demo-18/api/form/attachment/4f0dff3d-251b-40bd-ae81-8602d95d9b40/1589440011970.jpg")</f>
        <v>https://www.commcarehq.org/a/demo-18/api/form/attachment/4f0dff3d-251b-40bd-ae81-8602d95d9b40/1589440011970.jpg</v>
      </c>
      <c r="Q83" t="str">
        <f>HYPERLINK("https://www.commcarehq.org/a/demo-18/api/form/attachment/4f0dff3d-251b-40bd-ae81-8602d95d9b40/1589440026198.jpg")</f>
        <v>https://www.commcarehq.org/a/demo-18/api/form/attachment/4f0dff3d-251b-40bd-ae81-8602d95d9b40/1589440026198.jpg</v>
      </c>
      <c r="R83" s="2">
        <v>43965.296620370369</v>
      </c>
      <c r="S83" s="2">
        <v>43965.294722222221</v>
      </c>
      <c r="T83" t="s">
        <v>32</v>
      </c>
      <c r="U83" s="2">
        <v>43965.297326388885</v>
      </c>
      <c r="V83" t="s">
        <v>1802</v>
      </c>
      <c r="W83" t="s">
        <v>1803</v>
      </c>
    </row>
    <row r="84" spans="1:23" x14ac:dyDescent="0.45">
      <c r="A84" t="s">
        <v>223</v>
      </c>
      <c r="B84">
        <v>7.5</v>
      </c>
      <c r="C84" s="1">
        <v>44002</v>
      </c>
      <c r="D84" s="1">
        <v>43972</v>
      </c>
      <c r="E84" t="s">
        <v>428</v>
      </c>
      <c r="F84" t="s">
        <v>429</v>
      </c>
      <c r="G84" t="s">
        <v>429</v>
      </c>
      <c r="H84" t="s">
        <v>429</v>
      </c>
      <c r="I84" t="s">
        <v>1310</v>
      </c>
      <c r="J84" t="s">
        <v>428</v>
      </c>
      <c r="K84" t="s">
        <v>429</v>
      </c>
      <c r="L84" t="str">
        <f>HYPERLINK("https://www.commcarehq.org/a/demo-18/api/form/attachment/3c5524c0-eadd-46ca-9687-21aba8ea26e2/1590047031200.jpg")</f>
        <v>https://www.commcarehq.org/a/demo-18/api/form/attachment/3c5524c0-eadd-46ca-9687-21aba8ea26e2/1590047031200.jpg</v>
      </c>
      <c r="M84" t="str">
        <f>HYPERLINK("https://www.commcarehq.org/a/demo-18/api/form/attachment/3c5524c0-eadd-46ca-9687-21aba8ea26e2/1590047044469.jpg")</f>
        <v>https://www.commcarehq.org/a/demo-18/api/form/attachment/3c5524c0-eadd-46ca-9687-21aba8ea26e2/1590047044469.jpg</v>
      </c>
      <c r="N84" t="str">
        <f>HYPERLINK("https://www.commcarehq.org/a/demo-18/api/form/attachment/3c5524c0-eadd-46ca-9687-21aba8ea26e2/1590047095568.jpg")</f>
        <v>https://www.commcarehq.org/a/demo-18/api/form/attachment/3c5524c0-eadd-46ca-9687-21aba8ea26e2/1590047095568.jpg</v>
      </c>
      <c r="O84" t="str">
        <f>HYPERLINK("https://www.commcarehq.org/a/demo-18/api/form/attachment/3c5524c0-eadd-46ca-9687-21aba8ea26e2/1590047106777.jpg")</f>
        <v>https://www.commcarehq.org/a/demo-18/api/form/attachment/3c5524c0-eadd-46ca-9687-21aba8ea26e2/1590047106777.jpg</v>
      </c>
      <c r="P84" t="str">
        <f>HYPERLINK("https://www.commcarehq.org/a/demo-18/api/form/attachment/3c5524c0-eadd-46ca-9687-21aba8ea26e2/1590047136731.jpg")</f>
        <v>https://www.commcarehq.org/a/demo-18/api/form/attachment/3c5524c0-eadd-46ca-9687-21aba8ea26e2/1590047136731.jpg</v>
      </c>
      <c r="Q84" t="str">
        <f>HYPERLINK("https://www.commcarehq.org/a/demo-18/api/form/attachment/3c5524c0-eadd-46ca-9687-21aba8ea26e2/1590047148159.jpg")</f>
        <v>https://www.commcarehq.org/a/demo-18/api/form/attachment/3c5524c0-eadd-46ca-9687-21aba8ea26e2/1590047148159.jpg</v>
      </c>
      <c r="R84" s="2">
        <v>43972.323483796295</v>
      </c>
      <c r="S84" s="2">
        <v>43972.321666666663</v>
      </c>
      <c r="T84" t="s">
        <v>32</v>
      </c>
      <c r="U84" s="2">
        <v>43972.323796296296</v>
      </c>
      <c r="V84" t="s">
        <v>1788</v>
      </c>
      <c r="W84" t="s">
        <v>1789</v>
      </c>
    </row>
  </sheetData>
  <autoFilter ref="A1:W84" xr:uid="{00000000-0009-0000-0000-000007000000}">
    <sortState xmlns:xlrd2="http://schemas.microsoft.com/office/spreadsheetml/2017/richdata2" ref="A2:W84">
      <sortCondition ref="A1:A84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15</vt:i4>
      </vt:variant>
    </vt:vector>
  </HeadingPairs>
  <TitlesOfParts>
    <vt:vector size="23" baseType="lpstr">
      <vt:lpstr>UFC Condition</vt:lpstr>
      <vt:lpstr>6D</vt:lpstr>
      <vt:lpstr>6W</vt:lpstr>
      <vt:lpstr>10W</vt:lpstr>
      <vt:lpstr>14W</vt:lpstr>
      <vt:lpstr>4M</vt:lpstr>
      <vt:lpstr>5M</vt:lpstr>
      <vt:lpstr>6M</vt:lpstr>
      <vt:lpstr>'10W'!_10W</vt:lpstr>
      <vt:lpstr>'14W'!_14W</vt:lpstr>
      <vt:lpstr>'4M'!_4M</vt:lpstr>
      <vt:lpstr>'5M'!_5M</vt:lpstr>
      <vt:lpstr>'6D'!_6D</vt:lpstr>
      <vt:lpstr>'6M'!_6M</vt:lpstr>
      <vt:lpstr>'6W'!_6W</vt:lpstr>
      <vt:lpstr>d6_data</vt:lpstr>
      <vt:lpstr>'6D'!day6_</vt:lpstr>
      <vt:lpstr>m4_data</vt:lpstr>
      <vt:lpstr>m5_data</vt:lpstr>
      <vt:lpstr>m6_data</vt:lpstr>
      <vt:lpstr>w10_data</vt:lpstr>
      <vt:lpstr>w14_data</vt:lpstr>
      <vt:lpstr>w6_data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Etter, Lauren Patricia</dc:creator>
  <cp:lastModifiedBy>User</cp:lastModifiedBy>
  <dcterms:created xsi:type="dcterms:W3CDTF">2019-12-18T17:41:33Z</dcterms:created>
  <dcterms:modified xsi:type="dcterms:W3CDTF">2021-05-06T15:26:25Z</dcterms:modified>
</cp:coreProperties>
</file>