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509"/>
  <workbookPr defaultThemeVersion="166925"/>
  <mc:AlternateContent xmlns:mc="http://schemas.openxmlformats.org/markup-compatibility/2006">
    <mc:Choice Requires="x15">
      <x15ac:absPath xmlns:x15ac="http://schemas.microsoft.com/office/spreadsheetml/2010/11/ac" url="/Volumes/GoogleDrive/Shared drives/MoreBrains Shared Drive/Projects/2021 Jisc PID 2/CBA/Report_final/"/>
    </mc:Choice>
  </mc:AlternateContent>
  <xr:revisionPtr revIDLastSave="0" documentId="13_ncr:1_{9FEADE26-4E21-E943-A0D3-C54A3163E92E}" xr6:coauthVersionLast="47" xr6:coauthVersionMax="47" xr10:uidLastSave="{00000000-0000-0000-0000-000000000000}"/>
  <bookViews>
    <workbookView xWindow="200" yWindow="460" windowWidth="38400" windowHeight="21140" activeTab="5" xr2:uid="{12214038-3A89-7C48-A248-3E49CD28169E}"/>
  </bookViews>
  <sheets>
    <sheet name="Input" sheetId="1" r:id="rId1"/>
    <sheet name="Forecast" sheetId="10" r:id="rId2"/>
    <sheet name="Costs and benefits" sheetId="2" r:id="rId3"/>
    <sheet name="Consortium cost model" sheetId="7" r:id="rId4"/>
    <sheet name="Estimate of PID adoption" sheetId="11" r:id="rId5"/>
    <sheet name="Logistic function" sheetId="9" r:id="rId6"/>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K4" i="7" l="1"/>
  <c r="K5" i="7"/>
  <c r="K7" i="7"/>
  <c r="K10" i="7"/>
  <c r="K11" i="7"/>
  <c r="K14" i="7"/>
  <c r="K15" i="7"/>
  <c r="K16" i="7"/>
  <c r="K18" i="7"/>
  <c r="K3" i="7"/>
  <c r="K20" i="7"/>
  <c r="G16" i="2"/>
  <c r="D8" i="2"/>
  <c r="D7" i="2"/>
  <c r="D4" i="2"/>
  <c r="D5" i="2"/>
  <c r="D3" i="2"/>
  <c r="E13" i="2"/>
  <c r="E14" i="2"/>
  <c r="E15" i="2"/>
  <c r="F15" i="2" s="1"/>
  <c r="F26" i="2" s="1"/>
  <c r="D14" i="2"/>
  <c r="D15" i="2"/>
  <c r="D13" i="2"/>
  <c r="I40" i="9"/>
  <c r="F7" i="10"/>
  <c r="G7" i="10"/>
  <c r="F31" i="2"/>
  <c r="F30" i="2"/>
  <c r="F29" i="2"/>
  <c r="F24" i="2"/>
  <c r="F20" i="2"/>
  <c r="F13" i="2" l="1"/>
  <c r="F18" i="2" s="1"/>
  <c r="F14" i="2"/>
  <c r="F22" i="2" s="1"/>
  <c r="F19" i="2"/>
  <c r="F23" i="2"/>
  <c r="F34" i="2"/>
  <c r="F28" i="2"/>
  <c r="F21" i="2"/>
  <c r="F32" i="2" l="1"/>
  <c r="F27" i="2"/>
  <c r="F33" i="2"/>
  <c r="F25" i="2"/>
  <c r="F35" i="2" l="1"/>
  <c r="F37" i="2" s="1"/>
  <c r="F36" i="2" l="1"/>
  <c r="F38" i="2" s="1"/>
  <c r="I8" i="11" l="1"/>
  <c r="I9" i="11"/>
  <c r="F6" i="11"/>
  <c r="I6" i="11" s="1"/>
  <c r="D5" i="11"/>
  <c r="F5" i="11" s="1"/>
  <c r="I5" i="11" s="1"/>
  <c r="F4" i="11"/>
  <c r="I4" i="11" s="1"/>
  <c r="F7" i="11"/>
  <c r="I7" i="11" s="1"/>
  <c r="H8" i="10"/>
  <c r="I39" i="9"/>
  <c r="I41" i="9"/>
  <c r="I42" i="9"/>
  <c r="I43" i="9"/>
  <c r="I44" i="9"/>
  <c r="I45" i="9"/>
  <c r="I46" i="9"/>
  <c r="I47" i="9"/>
  <c r="I48" i="9"/>
  <c r="I49" i="9"/>
  <c r="I50" i="9"/>
  <c r="I51" i="9"/>
  <c r="I52" i="9"/>
  <c r="I53" i="9"/>
  <c r="I54" i="9"/>
  <c r="I55" i="9"/>
  <c r="I56" i="9"/>
  <c r="I57" i="9"/>
  <c r="I58" i="9"/>
  <c r="I38" i="9"/>
  <c r="E4" i="10"/>
  <c r="F4" i="10"/>
  <c r="G4" i="10"/>
  <c r="H4" i="10"/>
  <c r="D4" i="10"/>
  <c r="E44" i="2"/>
  <c r="E50" i="2"/>
  <c r="C27" i="1"/>
  <c r="E43" i="2" s="1"/>
  <c r="E42" i="2"/>
  <c r="E47" i="2"/>
  <c r="C7" i="2"/>
  <c r="C4" i="2"/>
  <c r="C3" i="2"/>
  <c r="F18" i="7"/>
  <c r="G16" i="7"/>
  <c r="G15" i="7"/>
  <c r="H15" i="7" s="1"/>
  <c r="G14" i="7"/>
  <c r="H14" i="7" s="1"/>
  <c r="I14" i="7" s="1"/>
  <c r="J14" i="7" s="1"/>
  <c r="G11" i="7"/>
  <c r="G10" i="7"/>
  <c r="C7" i="7"/>
  <c r="F4" i="7"/>
  <c r="G4" i="7" s="1"/>
  <c r="F5" i="7"/>
  <c r="F3" i="7"/>
  <c r="D42" i="2"/>
  <c r="G29" i="2" l="1"/>
  <c r="G30" i="2"/>
  <c r="G31" i="2"/>
  <c r="G33" i="2"/>
  <c r="G34" i="2"/>
  <c r="G32" i="2"/>
  <c r="H4" i="7"/>
  <c r="I4" i="7" s="1"/>
  <c r="J4" i="7" s="1"/>
  <c r="I15" i="7"/>
  <c r="J15" i="7" s="1"/>
  <c r="H10" i="7"/>
  <c r="F7" i="7"/>
  <c r="F20" i="7" s="1"/>
  <c r="H11" i="7"/>
  <c r="I11" i="7" s="1"/>
  <c r="J11" i="7" s="1"/>
  <c r="H16" i="7"/>
  <c r="I16" i="7" s="1"/>
  <c r="J16" i="7" s="1"/>
  <c r="G5" i="7"/>
  <c r="G18" i="7"/>
  <c r="H11" i="11"/>
  <c r="C7" i="10" s="1"/>
  <c r="J4" i="10"/>
  <c r="H9" i="10"/>
  <c r="G18" i="2"/>
  <c r="G22" i="2"/>
  <c r="G26" i="2"/>
  <c r="G36" i="2"/>
  <c r="G13" i="2"/>
  <c r="G19" i="2"/>
  <c r="G23" i="2"/>
  <c r="G27" i="2"/>
  <c r="G37" i="2"/>
  <c r="G14" i="2"/>
  <c r="G20" i="2"/>
  <c r="G24" i="2"/>
  <c r="G28" i="2"/>
  <c r="G38" i="2"/>
  <c r="G15" i="2"/>
  <c r="G21" i="2"/>
  <c r="G25" i="2"/>
  <c r="G35" i="2"/>
  <c r="F42" i="2"/>
  <c r="G3" i="7"/>
  <c r="E8" i="10" l="1"/>
  <c r="E9" i="10" s="1"/>
  <c r="C8" i="10"/>
  <c r="F8" i="10"/>
  <c r="F9" i="10" s="1"/>
  <c r="G8" i="10"/>
  <c r="G9" i="10" s="1"/>
  <c r="D8" i="10"/>
  <c r="D9" i="10" s="1"/>
  <c r="H3" i="7"/>
  <c r="I3" i="7" s="1"/>
  <c r="D12" i="10"/>
  <c r="H18" i="7"/>
  <c r="I10" i="7"/>
  <c r="G7" i="7"/>
  <c r="H5" i="7"/>
  <c r="I5" i="7" s="1"/>
  <c r="J5" i="7" s="1"/>
  <c r="G43" i="2"/>
  <c r="F44" i="2" s="1"/>
  <c r="G50" i="2"/>
  <c r="E53" i="2"/>
  <c r="F8" i="2"/>
  <c r="G8" i="2" s="1"/>
  <c r="F7" i="2"/>
  <c r="G7" i="2" s="1"/>
  <c r="F5" i="2"/>
  <c r="G5" i="2" s="1"/>
  <c r="F4" i="2"/>
  <c r="G4" i="2" s="1"/>
  <c r="F3" i="2"/>
  <c r="G3" i="2" s="1"/>
  <c r="J9" i="10" l="1"/>
  <c r="J10" i="7"/>
  <c r="J18" i="7" s="1"/>
  <c r="I18" i="7"/>
  <c r="H7" i="7"/>
  <c r="H20" i="7" s="1"/>
  <c r="F12" i="10" s="1"/>
  <c r="G20" i="7"/>
  <c r="J3" i="7"/>
  <c r="I7" i="7"/>
  <c r="I20" i="7" s="1"/>
  <c r="G12" i="10" s="1"/>
  <c r="F9" i="2"/>
  <c r="G9" i="2" s="1"/>
  <c r="G47" i="2"/>
  <c r="F6" i="2"/>
  <c r="G6" i="2" s="1"/>
  <c r="E12" i="10" l="1"/>
  <c r="J7" i="7"/>
  <c r="F47" i="2"/>
  <c r="F10" i="2"/>
  <c r="F50" i="2"/>
  <c r="G53" i="2"/>
  <c r="J20" i="7" l="1"/>
  <c r="G10" i="2"/>
  <c r="H5" i="10"/>
  <c r="H10" i="10" s="1"/>
  <c r="D5" i="10"/>
  <c r="C18" i="10" s="1"/>
  <c r="E5" i="10"/>
  <c r="E10" i="10" s="1"/>
  <c r="F5" i="10"/>
  <c r="F10" i="10" s="1"/>
  <c r="G5" i="10"/>
  <c r="G10" i="10" s="1"/>
  <c r="F53" i="2"/>
  <c r="G14" i="10"/>
  <c r="G17" i="10" s="1"/>
  <c r="F14" i="10"/>
  <c r="F17" i="10" s="1"/>
  <c r="E14" i="10"/>
  <c r="E17" i="10" s="1"/>
  <c r="H14" i="10"/>
  <c r="H17" i="10" s="1"/>
  <c r="D14" i="10"/>
  <c r="H12" i="10" l="1"/>
  <c r="J12" i="10" s="1"/>
  <c r="G56" i="2"/>
  <c r="F56" i="2" s="1"/>
  <c r="J14" i="10"/>
  <c r="D17" i="10"/>
  <c r="J17" i="10" s="1"/>
  <c r="E15" i="10"/>
  <c r="E18" i="10" s="1"/>
  <c r="G15" i="10"/>
  <c r="G18" i="10" s="1"/>
  <c r="D15" i="10"/>
  <c r="F15" i="10"/>
  <c r="F18" i="10" s="1"/>
  <c r="J5" i="10"/>
  <c r="D10" i="10"/>
  <c r="H15" i="10" l="1"/>
  <c r="H18" i="10" s="1"/>
  <c r="J10" i="10"/>
  <c r="D18" i="10"/>
  <c r="J15" i="10" l="1"/>
  <c r="J18" i="10"/>
</calcChain>
</file>

<file path=xl/sharedStrings.xml><?xml version="1.0" encoding="utf-8"?>
<sst xmlns="http://schemas.openxmlformats.org/spreadsheetml/2006/main" count="187" uniqueCount="145">
  <si>
    <t>Grants per year</t>
  </si>
  <si>
    <t>Publications per year</t>
  </si>
  <si>
    <t>Projects</t>
  </si>
  <si>
    <t>Number</t>
  </si>
  <si>
    <t>cost per</t>
  </si>
  <si>
    <t>Article metadata</t>
  </si>
  <si>
    <t>Grant metadata</t>
  </si>
  <si>
    <t>- if Admin</t>
  </si>
  <si>
    <t>- if Manager</t>
  </si>
  <si>
    <t>midpoint</t>
  </si>
  <si>
    <t>Project description</t>
  </si>
  <si>
    <t># staff</t>
  </si>
  <si>
    <t>Assumed gross pay</t>
  </si>
  <si>
    <t>Central Support / Professional Service (PS) teams</t>
  </si>
  <si>
    <t>Staff activity by area of research support:</t>
  </si>
  <si>
    <t>Staff:</t>
  </si>
  <si>
    <t>Cost:</t>
  </si>
  <si>
    <t>PI</t>
  </si>
  <si>
    <t>PS</t>
  </si>
  <si>
    <t>Deposit/ingest &amp; repositories</t>
  </si>
  <si>
    <t>Validation &amp; compliance</t>
  </si>
  <si>
    <t>Reporting</t>
  </si>
  <si>
    <t>Annual efficiency benefit at 2% of relevant activity cost</t>
  </si>
  <si>
    <t>Annual efficiency benefit at 5% of relevant activity cost</t>
  </si>
  <si>
    <t>Mid point</t>
  </si>
  <si>
    <t>Salary</t>
  </si>
  <si>
    <t>Days/number</t>
  </si>
  <si>
    <t>Training</t>
  </si>
  <si>
    <t>Conference fees</t>
  </si>
  <si>
    <t>Room space</t>
  </si>
  <si>
    <t>Catering</t>
  </si>
  <si>
    <t>Annual meetings and workshops</t>
  </si>
  <si>
    <t>Salary / Day</t>
  </si>
  <si>
    <t>Staff</t>
  </si>
  <si>
    <t>FTE</t>
  </si>
  <si>
    <t>Total</t>
  </si>
  <si>
    <t>Manager</t>
  </si>
  <si>
    <t>Overhead multiplier</t>
  </si>
  <si>
    <t>Year 1</t>
  </si>
  <si>
    <t>Year 2</t>
  </si>
  <si>
    <t>Year 3</t>
  </si>
  <si>
    <t>Year 4</t>
  </si>
  <si>
    <t>Year 5</t>
  </si>
  <si>
    <t>Other Costs</t>
  </si>
  <si>
    <t>Total non-staff costs</t>
  </si>
  <si>
    <t>Total Costs</t>
  </si>
  <si>
    <t>Marketing and communications</t>
  </si>
  <si>
    <t>Travel and accommodation</t>
  </si>
  <si>
    <t>Total staff costs</t>
  </si>
  <si>
    <t>Technical expert</t>
  </si>
  <si>
    <t>Avg time /  year:</t>
  </si>
  <si>
    <t>Number of days for 1 PID integration</t>
  </si>
  <si>
    <t>Costs spread over number of years</t>
  </si>
  <si>
    <t>Cost</t>
  </si>
  <si>
    <t>Cost of implementation for Test University supported by consortium</t>
  </si>
  <si>
    <t>Costs for the consortium</t>
  </si>
  <si>
    <t>k</t>
  </si>
  <si>
    <t>a</t>
  </si>
  <si>
    <t>Potential savings for Test University provided by not rekeying grant, article and project metadata</t>
  </si>
  <si>
    <t>Potential savings for sector provided by not rekeying grant, article and project metadata</t>
  </si>
  <si>
    <t>Adjusted savings for Test University provided by not rekeying grant, article and project metadata</t>
  </si>
  <si>
    <t>Adjusted savings per sector provided by not rekeying grant, article and project metadata</t>
  </si>
  <si>
    <t>ORCID</t>
  </si>
  <si>
    <t>RAiD</t>
  </si>
  <si>
    <t>ROR</t>
  </si>
  <si>
    <t>Year 0</t>
  </si>
  <si>
    <t>B_0</t>
  </si>
  <si>
    <t>B_Max</t>
  </si>
  <si>
    <t>Parameters</t>
  </si>
  <si>
    <t>Fraction of benefit</t>
  </si>
  <si>
    <t>Adoption percentage</t>
  </si>
  <si>
    <t>Logistic function</t>
  </si>
  <si>
    <t>Actual</t>
  </si>
  <si>
    <t>Implementations</t>
  </si>
  <si>
    <t>Weight</t>
  </si>
  <si>
    <t>Weighted coverage</t>
  </si>
  <si>
    <t>Total weighted coverage</t>
  </si>
  <si>
    <t>Potential*1</t>
  </si>
  <si>
    <t>*2</t>
  </si>
  <si>
    <t>*3</t>
  </si>
  <si>
    <t>*4</t>
  </si>
  <si>
    <t>*5</t>
  </si>
  <si>
    <t>???</t>
  </si>
  <si>
    <t>*6</t>
  </si>
  <si>
    <t>*7</t>
  </si>
  <si>
    <t>Implementation costs</t>
  </si>
  <si>
    <t>Individual implementation of 5 PIDs - unsupported *1</t>
  </si>
  <si>
    <t>Individual implementation of 5 PIDs - supported by consortium *3</t>
  </si>
  <si>
    <t>Implementation across all institutions - unsupported *2</t>
  </si>
  <si>
    <t>Costs for PID implementation (equivalent of two)</t>
  </si>
  <si>
    <t>Cost of running the consortium</t>
  </si>
  <si>
    <t>Adoption Estimate</t>
  </si>
  <si>
    <t>Sector-wide cost supported by consortium</t>
  </si>
  <si>
    <t>Number of institutions in HESA data</t>
  </si>
  <si>
    <t>Number of institutions that have research income</t>
  </si>
  <si>
    <t>Assumptions for modelling</t>
  </si>
  <si>
    <t>Equivalent number of full PID integrations for unsupported priority PID integrations</t>
  </si>
  <si>
    <t>Equivalent number of full PID integrations for priority PID integrations with consortium support</t>
  </si>
  <si>
    <t>Cost per year</t>
  </si>
  <si>
    <t>Cost over 5 years</t>
  </si>
  <si>
    <t>Potential total sector savings (opportunity cost)</t>
  </si>
  <si>
    <t>Potential savings for Test University (opportunity cost)</t>
  </si>
  <si>
    <t>Annual savings</t>
  </si>
  <si>
    <t>Five Year savings</t>
  </si>
  <si>
    <t>Total savings from auto-feed of key metadata via new API links:</t>
  </si>
  <si>
    <r>
      <t xml:space="preserve">Net savings or </t>
    </r>
    <r>
      <rPr>
        <sz val="12"/>
        <rFont val="Calibri (Body)"/>
      </rPr>
      <t>(cost) for Test University</t>
    </r>
    <r>
      <rPr>
        <sz val="12"/>
        <rFont val="Calibri"/>
        <family val="2"/>
        <scheme val="minor"/>
      </rPr>
      <t xml:space="preserve"> (supported)</t>
    </r>
  </si>
  <si>
    <r>
      <t xml:space="preserve">Sector-wide net savings or </t>
    </r>
    <r>
      <rPr>
        <sz val="12"/>
        <rFont val="Calibri (Body)"/>
      </rPr>
      <t>(cost)</t>
    </r>
    <r>
      <rPr>
        <sz val="12"/>
        <rFont val="Calibri"/>
        <family val="2"/>
        <scheme val="minor"/>
      </rPr>
      <t xml:space="preserve"> (supported)</t>
    </r>
  </si>
  <si>
    <t>Percentage of benefits based on logistics function 'S-curve'</t>
  </si>
  <si>
    <t xml:space="preserve">Bid and pre- award </t>
  </si>
  <si>
    <t xml:space="preserve"> </t>
  </si>
  <si>
    <t>PGR2</t>
  </si>
  <si>
    <t xml:space="preserve">On- and post-award </t>
  </si>
  <si>
    <t>PGR1</t>
  </si>
  <si>
    <t>Post Graduate Researcher (PGR1) - support activities</t>
  </si>
  <si>
    <t>Post Doctorate Researcher (PGR2) - support activities</t>
  </si>
  <si>
    <t>*8</t>
  </si>
  <si>
    <t>*9</t>
  </si>
  <si>
    <t>*10</t>
  </si>
  <si>
    <t>*11</t>
  </si>
  <si>
    <t>*12</t>
  </si>
  <si>
    <t>*13</t>
  </si>
  <si>
    <t>Adoption level target</t>
  </si>
  <si>
    <t>A_m</t>
  </si>
  <si>
    <t>University staff</t>
  </si>
  <si>
    <t>Role</t>
  </si>
  <si>
    <t>salary</t>
  </si>
  <si>
    <t>Data estimates</t>
  </si>
  <si>
    <t>PID Integration costs</t>
  </si>
  <si>
    <t>Staff role</t>
  </si>
  <si>
    <t>Admin</t>
  </si>
  <si>
    <t>Type of metadata</t>
  </si>
  <si>
    <t xml:space="preserve">Professor / Principal Investigator (PI) </t>
  </si>
  <si>
    <t>Metadata rekeying</t>
  </si>
  <si>
    <t xml:space="preserve">Professor / the Principal Investigator (PI) </t>
  </si>
  <si>
    <t>Active data management</t>
  </si>
  <si>
    <t>Dissemination &amp; outreach</t>
  </si>
  <si>
    <t>Consortium cost based on average of DataCite and ORCID consortia</t>
  </si>
  <si>
    <t>Implementation across all institutions - supported by consortium *2</t>
  </si>
  <si>
    <t>Cost (supported) multiplied by number of institutions</t>
  </si>
  <si>
    <t>Cost (unsupported) multiplied by number of institutions</t>
  </si>
  <si>
    <t>Grant DOIs</t>
  </si>
  <si>
    <t>Crossref (outputs)</t>
  </si>
  <si>
    <t>DataCite (outputs)</t>
  </si>
  <si>
    <t>Cost of full implementation assuming equivolent effort of 4 times value for single ORCID implementation</t>
  </si>
  <si>
    <t>Cost of implementation per year if spread across five years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</si>
</sst>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5" formatCode="&quot;£&quot;#,##0_);\(&quot;£&quot;#,##0\)"/>
    <numFmt numFmtId="6" formatCode="&quot;£&quot;#,##0_);[Red]\(&quot;£&quot;#,##0\)"/>
    <numFmt numFmtId="8" formatCode="&quot;£&quot;#,##0.00_);[Red]\(&quot;£&quot;#,##0.00\)"/>
    <numFmt numFmtId="164" formatCode="&quot;£&quot;#,##0.00"/>
    <numFmt numFmtId="165" formatCode="&quot;£&quot;#,##0"/>
    <numFmt numFmtId="166" formatCode="0.0%"/>
  </numFmts>
  <fonts count="25" x14ac:knownFonts="1">
    <font>
      <sz val="12"/>
      <color theme="1"/>
      <name val="Calibri"/>
      <family val="2"/>
      <scheme val="minor"/>
    </font>
    <font>
      <sz val="12"/>
      <color rgb="FF006100"/>
      <name val="Calibri"/>
      <family val="2"/>
      <scheme val="minor"/>
    </font>
    <font>
      <sz val="12"/>
      <color rgb="FF9C0006"/>
      <name val="Calibri"/>
      <family val="2"/>
      <scheme val="minor"/>
    </font>
    <font>
      <sz val="10"/>
      <name val="Calibri"/>
      <family val="2"/>
      <scheme val="minor"/>
    </font>
    <font>
      <b/>
      <sz val="10"/>
      <name val="Calibri"/>
      <family val="2"/>
      <scheme val="minor"/>
    </font>
    <font>
      <sz val="10"/>
      <color theme="1"/>
      <name val="Calibri"/>
      <family val="2"/>
      <scheme val="minor"/>
    </font>
    <font>
      <b/>
      <sz val="10"/>
      <color theme="1"/>
      <name val="Calibri"/>
      <family val="2"/>
      <scheme val="minor"/>
    </font>
    <font>
      <sz val="11"/>
      <color theme="1"/>
      <name val="Calibri"/>
      <family val="2"/>
      <scheme val="minor"/>
    </font>
    <font>
      <b/>
      <sz val="11"/>
      <color theme="1"/>
      <name val="Calibri"/>
      <family val="2"/>
      <scheme val="minor"/>
    </font>
    <font>
      <sz val="11"/>
      <color theme="1"/>
      <name val="Arial"/>
      <family val="2"/>
    </font>
    <font>
      <b/>
      <sz val="12"/>
      <color theme="1"/>
      <name val="Calibri"/>
      <family val="2"/>
      <scheme val="minor"/>
    </font>
    <font>
      <i/>
      <sz val="10"/>
      <color theme="1"/>
      <name val="Calibri"/>
      <family val="2"/>
      <scheme val="minor"/>
    </font>
    <font>
      <sz val="8"/>
      <name val="Calibri"/>
      <family val="2"/>
      <scheme val="minor"/>
    </font>
    <font>
      <sz val="12"/>
      <name val="Calibri"/>
      <family val="2"/>
      <scheme val="minor"/>
    </font>
    <font>
      <i/>
      <sz val="10"/>
      <name val="Calibri"/>
      <family val="2"/>
      <scheme val="minor"/>
    </font>
    <font>
      <sz val="12"/>
      <color theme="1"/>
      <name val="Calibri"/>
      <family val="2"/>
      <scheme val="minor"/>
    </font>
    <font>
      <b/>
      <sz val="12"/>
      <color theme="0"/>
      <name val="Calibri"/>
      <family val="2"/>
      <scheme val="minor"/>
    </font>
    <font>
      <sz val="12"/>
      <color theme="0"/>
      <name val="Calibri"/>
      <family val="2"/>
      <scheme val="minor"/>
    </font>
    <font>
      <b/>
      <sz val="12"/>
      <name val="Calibri"/>
      <family val="2"/>
      <scheme val="minor"/>
    </font>
    <font>
      <sz val="12"/>
      <name val="Calibri (Body)"/>
    </font>
    <font>
      <b/>
      <i/>
      <sz val="10"/>
      <name val="Calibri"/>
      <family val="2"/>
      <scheme val="minor"/>
    </font>
    <font>
      <sz val="10"/>
      <color theme="0"/>
      <name val="Calibri"/>
      <family val="2"/>
      <scheme val="minor"/>
    </font>
    <font>
      <b/>
      <sz val="10"/>
      <color theme="0"/>
      <name val="Calibri"/>
      <family val="2"/>
      <scheme val="minor"/>
    </font>
    <font>
      <b/>
      <i/>
      <sz val="10"/>
      <color theme="0"/>
      <name val="Calibri"/>
      <family val="2"/>
      <scheme val="minor"/>
    </font>
    <font>
      <i/>
      <sz val="12"/>
      <color theme="1"/>
      <name val="Calibri"/>
      <family val="2"/>
      <scheme val="minor"/>
    </font>
  </fonts>
  <fills count="7">
    <fill>
      <patternFill patternType="none"/>
    </fill>
    <fill>
      <patternFill patternType="gray125"/>
    </fill>
    <fill>
      <patternFill patternType="solid">
        <fgColor rgb="FFC6EFCE"/>
      </patternFill>
    </fill>
    <fill>
      <patternFill patternType="solid">
        <fgColor rgb="FFFFC7CE"/>
      </patternFill>
    </fill>
    <fill>
      <patternFill patternType="solid">
        <fgColor theme="4" tint="0.59999389629810485"/>
        <bgColor indexed="64"/>
      </patternFill>
    </fill>
    <fill>
      <patternFill patternType="solid">
        <fgColor theme="4" tint="0.79998168889431442"/>
        <bgColor indexed="64"/>
      </patternFill>
    </fill>
    <fill>
      <patternFill patternType="solid">
        <fgColor theme="4"/>
        <bgColor indexed="64"/>
      </patternFill>
    </fill>
  </fills>
  <borders count="19">
    <border>
      <left/>
      <right/>
      <top/>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6">
    <xf numFmtId="0" fontId="0" fillId="0" borderId="0"/>
    <xf numFmtId="0" fontId="1" fillId="2" borderId="0" applyNumberFormat="0" applyBorder="0" applyAlignment="0" applyProtection="0"/>
    <xf numFmtId="0" fontId="2" fillId="3" borderId="0" applyNumberFormat="0" applyBorder="0" applyAlignment="0" applyProtection="0"/>
    <xf numFmtId="0" fontId="7" fillId="0" borderId="0"/>
    <xf numFmtId="0" fontId="9" fillId="0" borderId="0"/>
    <xf numFmtId="9" fontId="15" fillId="0" borderId="0" applyFont="0" applyFill="0" applyBorder="0" applyAlignment="0" applyProtection="0"/>
  </cellStyleXfs>
  <cellXfs count="187">
    <xf numFmtId="0" fontId="0" fillId="0" borderId="0" xfId="0"/>
    <xf numFmtId="6" fontId="3" fillId="0" borderId="0" xfId="0" applyNumberFormat="1" applyFont="1"/>
    <xf numFmtId="0" fontId="5" fillId="0" borderId="0" xfId="0" applyFont="1"/>
    <xf numFmtId="0" fontId="3" fillId="0" borderId="0" xfId="0" applyFont="1"/>
    <xf numFmtId="6" fontId="5" fillId="0" borderId="0" xfId="0" applyNumberFormat="1" applyFont="1"/>
    <xf numFmtId="0" fontId="5" fillId="0" borderId="0" xfId="0" applyFont="1" applyBorder="1"/>
    <xf numFmtId="0" fontId="6" fillId="0" borderId="0" xfId="0" applyFont="1" applyBorder="1"/>
    <xf numFmtId="0" fontId="5" fillId="0" borderId="9" xfId="0" applyFont="1" applyBorder="1"/>
    <xf numFmtId="0" fontId="11" fillId="0" borderId="9" xfId="0" applyFont="1" applyBorder="1"/>
    <xf numFmtId="0" fontId="5" fillId="0" borderId="10" xfId="0" applyFont="1" applyBorder="1"/>
    <xf numFmtId="0" fontId="0" fillId="0" borderId="9" xfId="0" applyBorder="1"/>
    <xf numFmtId="5" fontId="5" fillId="0" borderId="0" xfId="0" applyNumberFormat="1" applyFont="1" applyBorder="1"/>
    <xf numFmtId="6" fontId="3" fillId="0" borderId="0" xfId="0" applyNumberFormat="1" applyFont="1" applyBorder="1"/>
    <xf numFmtId="0" fontId="3" fillId="0" borderId="0" xfId="0" applyFont="1" applyFill="1"/>
    <xf numFmtId="6" fontId="3" fillId="0" borderId="0" xfId="0" applyNumberFormat="1" applyFont="1" applyFill="1"/>
    <xf numFmtId="0" fontId="14" fillId="0" borderId="1" xfId="0" applyFont="1" applyFill="1" applyBorder="1"/>
    <xf numFmtId="0" fontId="4" fillId="0" borderId="2" xfId="0" applyFont="1" applyFill="1" applyBorder="1"/>
    <xf numFmtId="0" fontId="3" fillId="0" borderId="2" xfId="0" applyFont="1" applyFill="1" applyBorder="1"/>
    <xf numFmtId="6" fontId="3" fillId="0" borderId="2" xfId="0" applyNumberFormat="1" applyFont="1" applyFill="1" applyBorder="1"/>
    <xf numFmtId="6" fontId="3" fillId="0" borderId="8" xfId="0" applyNumberFormat="1" applyFont="1" applyFill="1" applyBorder="1"/>
    <xf numFmtId="0" fontId="3" fillId="0" borderId="4" xfId="0" applyFont="1" applyFill="1" applyBorder="1"/>
    <xf numFmtId="6" fontId="3" fillId="0" borderId="4" xfId="0" applyNumberFormat="1" applyFont="1" applyFill="1" applyBorder="1"/>
    <xf numFmtId="6" fontId="3" fillId="0" borderId="0" xfId="0" applyNumberFormat="1" applyFont="1" applyFill="1" applyBorder="1"/>
    <xf numFmtId="6" fontId="3" fillId="0" borderId="4" xfId="2" applyNumberFormat="1" applyFont="1" applyFill="1" applyBorder="1"/>
    <xf numFmtId="6" fontId="3" fillId="0" borderId="11" xfId="2" applyNumberFormat="1" applyFont="1" applyFill="1" applyBorder="1"/>
    <xf numFmtId="6" fontId="4" fillId="0" borderId="10" xfId="1" applyNumberFormat="1" applyFont="1" applyFill="1" applyBorder="1"/>
    <xf numFmtId="6" fontId="3" fillId="0" borderId="10" xfId="1" applyNumberFormat="1" applyFont="1" applyFill="1" applyBorder="1"/>
    <xf numFmtId="0" fontId="3" fillId="0" borderId="0" xfId="0" applyFont="1" applyBorder="1"/>
    <xf numFmtId="0" fontId="3" fillId="0" borderId="9" xfId="0" applyFont="1" applyBorder="1"/>
    <xf numFmtId="0" fontId="0" fillId="0" borderId="0" xfId="0" applyAlignment="1"/>
    <xf numFmtId="6" fontId="0" fillId="0" borderId="0" xfId="0" applyNumberFormat="1"/>
    <xf numFmtId="0" fontId="0" fillId="0" borderId="1" xfId="0" applyBorder="1"/>
    <xf numFmtId="6" fontId="0" fillId="0" borderId="2" xfId="0" applyNumberFormat="1" applyBorder="1"/>
    <xf numFmtId="6" fontId="0" fillId="0" borderId="0" xfId="0" applyNumberFormat="1" applyBorder="1"/>
    <xf numFmtId="6" fontId="0" fillId="0" borderId="10" xfId="0" applyNumberFormat="1" applyBorder="1"/>
    <xf numFmtId="0" fontId="0" fillId="0" borderId="0" xfId="0" applyBorder="1"/>
    <xf numFmtId="0" fontId="0" fillId="0" borderId="10" xfId="0" applyBorder="1"/>
    <xf numFmtId="0" fontId="0" fillId="0" borderId="3" xfId="0" applyBorder="1"/>
    <xf numFmtId="0" fontId="0" fillId="0" borderId="0" xfId="0" applyFill="1" applyBorder="1"/>
    <xf numFmtId="0" fontId="0" fillId="0" borderId="4" xfId="0" applyBorder="1"/>
    <xf numFmtId="0" fontId="0" fillId="0" borderId="11" xfId="0" applyBorder="1"/>
    <xf numFmtId="6" fontId="0" fillId="0" borderId="13" xfId="0" applyNumberFormat="1" applyBorder="1"/>
    <xf numFmtId="6" fontId="0" fillId="0" borderId="14" xfId="0" applyNumberFormat="1" applyBorder="1"/>
    <xf numFmtId="6" fontId="0" fillId="0" borderId="15" xfId="0" applyNumberFormat="1" applyBorder="1"/>
    <xf numFmtId="6" fontId="0" fillId="0" borderId="4" xfId="0" applyNumberFormat="1" applyBorder="1"/>
    <xf numFmtId="0" fontId="0" fillId="0" borderId="16" xfId="0" applyFill="1" applyBorder="1"/>
    <xf numFmtId="6" fontId="0" fillId="0" borderId="17" xfId="0" applyNumberFormat="1" applyBorder="1"/>
    <xf numFmtId="6" fontId="0" fillId="0" borderId="12" xfId="0" applyNumberFormat="1" applyBorder="1"/>
    <xf numFmtId="9" fontId="0" fillId="0" borderId="0" xfId="0" applyNumberFormat="1"/>
    <xf numFmtId="10" fontId="0" fillId="0" borderId="4" xfId="0" applyNumberFormat="1" applyBorder="1"/>
    <xf numFmtId="38" fontId="0" fillId="0" borderId="4" xfId="0" applyNumberFormat="1" applyBorder="1"/>
    <xf numFmtId="10" fontId="0" fillId="0" borderId="0" xfId="0" applyNumberFormat="1" applyBorder="1"/>
    <xf numFmtId="38" fontId="0" fillId="0" borderId="0" xfId="0" applyNumberFormat="1" applyBorder="1"/>
    <xf numFmtId="38" fontId="0" fillId="0" borderId="2" xfId="0" applyNumberFormat="1" applyBorder="1"/>
    <xf numFmtId="0" fontId="0" fillId="0" borderId="2" xfId="0" applyBorder="1"/>
    <xf numFmtId="0" fontId="0" fillId="0" borderId="17" xfId="0" applyFill="1" applyBorder="1"/>
    <xf numFmtId="9" fontId="0" fillId="0" borderId="0" xfId="0" applyNumberFormat="1" applyBorder="1"/>
    <xf numFmtId="9" fontId="0" fillId="0" borderId="2" xfId="0" applyNumberFormat="1" applyBorder="1"/>
    <xf numFmtId="9" fontId="0" fillId="0" borderId="10" xfId="0" applyNumberFormat="1" applyBorder="1"/>
    <xf numFmtId="9" fontId="0" fillId="0" borderId="11" xfId="0" applyNumberFormat="1" applyBorder="1"/>
    <xf numFmtId="0" fontId="0" fillId="0" borderId="4" xfId="0" applyBorder="1" applyAlignment="1">
      <alignment horizontal="right"/>
    </xf>
    <xf numFmtId="0" fontId="0" fillId="0" borderId="0" xfId="0" applyNumberFormat="1"/>
    <xf numFmtId="166" fontId="0" fillId="0" borderId="0" xfId="0" applyNumberFormat="1" applyBorder="1"/>
    <xf numFmtId="0" fontId="3" fillId="0" borderId="3" xfId="2" applyFont="1" applyFill="1" applyBorder="1"/>
    <xf numFmtId="0" fontId="3" fillId="0" borderId="4" xfId="2" applyFont="1" applyFill="1" applyBorder="1"/>
    <xf numFmtId="3" fontId="0" fillId="0" borderId="0" xfId="0" applyNumberFormat="1" applyBorder="1"/>
    <xf numFmtId="3" fontId="0" fillId="0" borderId="14" xfId="0" applyNumberFormat="1" applyBorder="1"/>
    <xf numFmtId="0" fontId="10" fillId="0" borderId="9" xfId="0" applyFont="1" applyBorder="1"/>
    <xf numFmtId="0" fontId="10" fillId="0" borderId="0" xfId="0" applyFont="1" applyBorder="1"/>
    <xf numFmtId="3" fontId="10" fillId="0" borderId="0" xfId="0" applyNumberFormat="1" applyFont="1" applyBorder="1"/>
    <xf numFmtId="3" fontId="10" fillId="0" borderId="14" xfId="0" applyNumberFormat="1" applyFont="1" applyBorder="1"/>
    <xf numFmtId="0" fontId="8" fillId="0" borderId="9" xfId="3" applyFont="1" applyBorder="1"/>
    <xf numFmtId="0" fontId="7" fillId="0" borderId="9" xfId="3" applyBorder="1"/>
    <xf numFmtId="3" fontId="7" fillId="0" borderId="0" xfId="3" applyNumberFormat="1" applyBorder="1"/>
    <xf numFmtId="0" fontId="8" fillId="0" borderId="9" xfId="3" applyFont="1" applyFill="1" applyBorder="1"/>
    <xf numFmtId="0" fontId="17" fillId="6" borderId="1" xfId="0" applyFont="1" applyFill="1" applyBorder="1"/>
    <xf numFmtId="0" fontId="17" fillId="6" borderId="2" xfId="0" applyFont="1" applyFill="1" applyBorder="1"/>
    <xf numFmtId="0" fontId="13" fillId="4" borderId="1" xfId="0" applyFont="1" applyFill="1" applyBorder="1"/>
    <xf numFmtId="6" fontId="13" fillId="4" borderId="2" xfId="0" applyNumberFormat="1" applyFont="1" applyFill="1" applyBorder="1"/>
    <xf numFmtId="6" fontId="18" fillId="4" borderId="13" xfId="0" applyNumberFormat="1" applyFont="1" applyFill="1" applyBorder="1"/>
    <xf numFmtId="0" fontId="13" fillId="4" borderId="3" xfId="0" applyFont="1" applyFill="1" applyBorder="1"/>
    <xf numFmtId="6" fontId="13" fillId="4" borderId="4" xfId="0" applyNumberFormat="1" applyFont="1" applyFill="1" applyBorder="1"/>
    <xf numFmtId="165" fontId="18" fillId="4" borderId="15" xfId="0" applyNumberFormat="1" applyFont="1" applyFill="1" applyBorder="1"/>
    <xf numFmtId="0" fontId="17" fillId="6" borderId="0" xfId="0" applyFont="1" applyFill="1"/>
    <xf numFmtId="0" fontId="17" fillId="6" borderId="0" xfId="0" applyFont="1" applyFill="1" applyAlignment="1">
      <alignment horizontal="right"/>
    </xf>
    <xf numFmtId="0" fontId="17" fillId="6" borderId="8" xfId="0" applyFont="1" applyFill="1" applyBorder="1"/>
    <xf numFmtId="0" fontId="17" fillId="6" borderId="9" xfId="0" applyFont="1" applyFill="1" applyBorder="1"/>
    <xf numFmtId="0" fontId="17" fillId="6" borderId="0" xfId="0" applyFont="1" applyFill="1" applyBorder="1" applyAlignment="1">
      <alignment horizontal="right"/>
    </xf>
    <xf numFmtId="0" fontId="17" fillId="6" borderId="0" xfId="0" applyFont="1" applyFill="1" applyBorder="1"/>
    <xf numFmtId="0" fontId="17" fillId="6" borderId="10" xfId="0" applyFont="1" applyFill="1" applyBorder="1"/>
    <xf numFmtId="9" fontId="16" fillId="6" borderId="7" xfId="0" applyNumberFormat="1" applyFont="1" applyFill="1" applyBorder="1"/>
    <xf numFmtId="0" fontId="16" fillId="6" borderId="1" xfId="0" applyFont="1" applyFill="1" applyBorder="1"/>
    <xf numFmtId="0" fontId="17" fillId="6" borderId="2" xfId="0" applyFont="1" applyFill="1" applyBorder="1" applyAlignment="1">
      <alignment wrapText="1"/>
    </xf>
    <xf numFmtId="0" fontId="17" fillId="6" borderId="13" xfId="0" applyFont="1" applyFill="1" applyBorder="1"/>
    <xf numFmtId="0" fontId="16" fillId="6" borderId="16" xfId="2" applyFont="1" applyFill="1" applyBorder="1"/>
    <xf numFmtId="0" fontId="16" fillId="6" borderId="17" xfId="2" applyFont="1" applyFill="1" applyBorder="1"/>
    <xf numFmtId="3" fontId="16" fillId="6" borderId="18" xfId="2" applyNumberFormat="1" applyFont="1" applyFill="1" applyBorder="1"/>
    <xf numFmtId="3" fontId="17" fillId="6" borderId="17" xfId="2" applyNumberFormat="1" applyFont="1" applyFill="1" applyBorder="1"/>
    <xf numFmtId="0" fontId="5" fillId="0" borderId="0" xfId="0" applyFont="1" applyAlignment="1"/>
    <xf numFmtId="0" fontId="5" fillId="0" borderId="0" xfId="0" applyFont="1" applyBorder="1" applyAlignment="1">
      <alignment horizontal="center"/>
    </xf>
    <xf numFmtId="9" fontId="5" fillId="0" borderId="0" xfId="5" applyFont="1" applyBorder="1"/>
    <xf numFmtId="0" fontId="5" fillId="0" borderId="0" xfId="0" applyFont="1" applyBorder="1" applyAlignment="1"/>
    <xf numFmtId="0" fontId="5" fillId="0" borderId="0" xfId="0" quotePrefix="1" applyFont="1" applyBorder="1"/>
    <xf numFmtId="3" fontId="3" fillId="0" borderId="0" xfId="0" applyNumberFormat="1" applyFont="1" applyBorder="1"/>
    <xf numFmtId="164" fontId="3" fillId="0" borderId="0" xfId="0" applyNumberFormat="1" applyFont="1" applyBorder="1" applyAlignment="1"/>
    <xf numFmtId="6" fontId="4" fillId="0" borderId="0" xfId="0" applyNumberFormat="1" applyFont="1" applyBorder="1"/>
    <xf numFmtId="0" fontId="20" fillId="0" borderId="9" xfId="0" applyFont="1" applyBorder="1"/>
    <xf numFmtId="0" fontId="20" fillId="0" borderId="0" xfId="0" applyFont="1" applyBorder="1"/>
    <xf numFmtId="0" fontId="20" fillId="0" borderId="0" xfId="0" applyFont="1" applyBorder="1" applyAlignment="1">
      <alignment horizontal="center"/>
    </xf>
    <xf numFmtId="0" fontId="20" fillId="0" borderId="0" xfId="0" applyFont="1" applyBorder="1" applyAlignment="1">
      <alignment horizontal="right" indent="1"/>
    </xf>
    <xf numFmtId="6" fontId="20" fillId="0" borderId="0" xfId="0" applyNumberFormat="1" applyFont="1" applyBorder="1" applyAlignment="1">
      <alignment horizontal="right" indent="1"/>
    </xf>
    <xf numFmtId="0" fontId="21" fillId="6" borderId="3" xfId="1" applyFont="1" applyFill="1" applyBorder="1"/>
    <xf numFmtId="0" fontId="21" fillId="6" borderId="4" xfId="1" applyFont="1" applyFill="1" applyBorder="1"/>
    <xf numFmtId="6" fontId="22" fillId="6" borderId="4" xfId="1" applyNumberFormat="1" applyFont="1" applyFill="1" applyBorder="1"/>
    <xf numFmtId="6" fontId="22" fillId="6" borderId="11" xfId="1" applyNumberFormat="1" applyFont="1" applyFill="1" applyBorder="1"/>
    <xf numFmtId="0" fontId="21" fillId="6" borderId="3" xfId="0" applyFont="1" applyFill="1" applyBorder="1"/>
    <xf numFmtId="6" fontId="21" fillId="6" borderId="4" xfId="1" applyNumberFormat="1" applyFont="1" applyFill="1" applyBorder="1"/>
    <xf numFmtId="0" fontId="5" fillId="0" borderId="9" xfId="0" applyFont="1" applyBorder="1" applyAlignment="1">
      <alignment horizontal="left" vertical="center"/>
    </xf>
    <xf numFmtId="0" fontId="5" fillId="5" borderId="0" xfId="0" quotePrefix="1" applyFont="1" applyFill="1"/>
    <xf numFmtId="0" fontId="5" fillId="5" borderId="0" xfId="0" applyFont="1" applyFill="1" applyBorder="1" applyAlignment="1">
      <alignment horizontal="center"/>
    </xf>
    <xf numFmtId="9" fontId="5" fillId="5" borderId="0" xfId="5" applyFont="1" applyFill="1" applyBorder="1"/>
    <xf numFmtId="6" fontId="3" fillId="5" borderId="0" xfId="0" applyNumberFormat="1" applyFont="1" applyFill="1" applyBorder="1"/>
    <xf numFmtId="6" fontId="3" fillId="5" borderId="10" xfId="1" applyNumberFormat="1" applyFont="1" applyFill="1" applyBorder="1"/>
    <xf numFmtId="0" fontId="5" fillId="5" borderId="0" xfId="0" applyFont="1" applyFill="1"/>
    <xf numFmtId="0" fontId="5" fillId="5" borderId="9" xfId="0" applyFont="1" applyFill="1" applyBorder="1" applyAlignment="1">
      <alignment horizontal="left" vertical="center"/>
    </xf>
    <xf numFmtId="0" fontId="22" fillId="6" borderId="2" xfId="0" applyFont="1" applyFill="1" applyBorder="1"/>
    <xf numFmtId="0" fontId="22" fillId="6" borderId="2" xfId="0" applyFont="1" applyFill="1" applyBorder="1" applyAlignment="1">
      <alignment horizontal="right"/>
    </xf>
    <xf numFmtId="6" fontId="22" fillId="6" borderId="2" xfId="0" applyNumberFormat="1" applyFont="1" applyFill="1" applyBorder="1" applyAlignment="1">
      <alignment horizontal="right"/>
    </xf>
    <xf numFmtId="0" fontId="22" fillId="6" borderId="1" xfId="0" applyFont="1" applyFill="1" applyBorder="1"/>
    <xf numFmtId="6" fontId="22" fillId="6" borderId="8" xfId="0" applyNumberFormat="1" applyFont="1" applyFill="1" applyBorder="1" applyAlignment="1">
      <alignment horizontal="right"/>
    </xf>
    <xf numFmtId="0" fontId="22" fillId="6" borderId="17" xfId="0" applyFont="1" applyFill="1" applyBorder="1" applyAlignment="1">
      <alignment horizontal="right"/>
    </xf>
    <xf numFmtId="0" fontId="22" fillId="6" borderId="17" xfId="0" applyFont="1" applyFill="1" applyBorder="1" applyAlignment="1">
      <alignment horizontal="right" indent="1"/>
    </xf>
    <xf numFmtId="6" fontId="22" fillId="6" borderId="17" xfId="0" applyNumberFormat="1" applyFont="1" applyFill="1" applyBorder="1" applyAlignment="1">
      <alignment horizontal="right"/>
    </xf>
    <xf numFmtId="0" fontId="22" fillId="6" borderId="16" xfId="0" applyFont="1" applyFill="1" applyBorder="1"/>
    <xf numFmtId="6" fontId="22" fillId="6" borderId="18" xfId="0" applyNumberFormat="1" applyFont="1" applyFill="1" applyBorder="1" applyAlignment="1">
      <alignment horizontal="right"/>
    </xf>
    <xf numFmtId="0" fontId="21" fillId="6" borderId="2" xfId="0" applyFont="1" applyFill="1" applyBorder="1"/>
    <xf numFmtId="0" fontId="23" fillId="6" borderId="2" xfId="0" applyFont="1" applyFill="1" applyBorder="1" applyAlignment="1">
      <alignment horizontal="right"/>
    </xf>
    <xf numFmtId="0" fontId="23" fillId="6" borderId="2" xfId="0" applyFont="1" applyFill="1" applyBorder="1" applyAlignment="1">
      <alignment horizontal="right" indent="1"/>
    </xf>
    <xf numFmtId="6" fontId="22" fillId="6" borderId="2" xfId="0" applyNumberFormat="1" applyFont="1" applyFill="1" applyBorder="1" applyAlignment="1">
      <alignment horizontal="right" indent="1"/>
    </xf>
    <xf numFmtId="6" fontId="22" fillId="6" borderId="8" xfId="0" applyNumberFormat="1" applyFont="1" applyFill="1" applyBorder="1" applyAlignment="1">
      <alignment horizontal="right" indent="1"/>
    </xf>
    <xf numFmtId="0" fontId="4" fillId="0" borderId="9" xfId="0" applyFont="1" applyBorder="1"/>
    <xf numFmtId="8" fontId="13" fillId="4" borderId="2" xfId="0" applyNumberFormat="1" applyFont="1" applyFill="1" applyBorder="1"/>
    <xf numFmtId="165" fontId="13" fillId="4" borderId="4" xfId="0" applyNumberFormat="1" applyFont="1" applyFill="1" applyBorder="1"/>
    <xf numFmtId="0" fontId="17" fillId="0" borderId="0" xfId="0" applyFont="1" applyAlignment="1"/>
    <xf numFmtId="0" fontId="0" fillId="0" borderId="0" xfId="0" applyAlignment="1">
      <alignment horizontal="left"/>
    </xf>
    <xf numFmtId="3" fontId="0" fillId="0" borderId="10" xfId="0" applyNumberFormat="1" applyBorder="1"/>
    <xf numFmtId="0" fontId="0" fillId="0" borderId="9" xfId="0" applyBorder="1" applyAlignment="1">
      <alignment horizontal="left"/>
    </xf>
    <xf numFmtId="0" fontId="0" fillId="0" borderId="0" xfId="0" applyBorder="1" applyAlignment="1">
      <alignment horizontal="left"/>
    </xf>
    <xf numFmtId="0" fontId="0" fillId="0" borderId="10" xfId="0" applyBorder="1" applyAlignment="1">
      <alignment horizontal="left"/>
    </xf>
    <xf numFmtId="0" fontId="24" fillId="0" borderId="9" xfId="0" applyFont="1" applyBorder="1" applyAlignment="1">
      <alignment horizontal="left"/>
    </xf>
    <xf numFmtId="0" fontId="24" fillId="0" borderId="0" xfId="0" applyFont="1" applyBorder="1" applyAlignment="1">
      <alignment horizontal="right"/>
    </xf>
    <xf numFmtId="0" fontId="24" fillId="0" borderId="10" xfId="0" applyFont="1" applyBorder="1" applyAlignment="1">
      <alignment horizontal="right"/>
    </xf>
    <xf numFmtId="0" fontId="0" fillId="0" borderId="9" xfId="0" applyBorder="1" applyAlignment="1"/>
    <xf numFmtId="0" fontId="0" fillId="0" borderId="0" xfId="0" applyBorder="1" applyAlignment="1"/>
    <xf numFmtId="0" fontId="0" fillId="0" borderId="10" xfId="0" applyBorder="1" applyAlignment="1"/>
    <xf numFmtId="0" fontId="24" fillId="0" borderId="0" xfId="0" applyFont="1" applyBorder="1" applyAlignment="1">
      <alignment horizontal="left"/>
    </xf>
    <xf numFmtId="164" fontId="0" fillId="0" borderId="10" xfId="0" applyNumberFormat="1" applyBorder="1" applyAlignment="1">
      <alignment horizontal="right"/>
    </xf>
    <xf numFmtId="0" fontId="17" fillId="0" borderId="9" xfId="0" applyFont="1" applyBorder="1" applyAlignment="1"/>
    <xf numFmtId="0" fontId="17" fillId="0" borderId="0" xfId="0" applyFont="1" applyBorder="1" applyAlignment="1"/>
    <xf numFmtId="0" fontId="17" fillId="0" borderId="10" xfId="0" applyFont="1" applyBorder="1" applyAlignment="1"/>
    <xf numFmtId="3" fontId="3" fillId="5" borderId="0" xfId="0" applyNumberFormat="1" applyFont="1" applyFill="1" applyBorder="1"/>
    <xf numFmtId="164" fontId="3" fillId="5" borderId="0" xfId="0" applyNumberFormat="1" applyFont="1" applyFill="1" applyBorder="1" applyAlignment="1"/>
    <xf numFmtId="0" fontId="3" fillId="5" borderId="0" xfId="0" applyFont="1" applyFill="1" applyBorder="1"/>
    <xf numFmtId="6" fontId="4" fillId="5" borderId="0" xfId="0" applyNumberFormat="1" applyFont="1" applyFill="1" applyBorder="1"/>
    <xf numFmtId="6" fontId="4" fillId="5" borderId="10" xfId="1" applyNumberFormat="1" applyFont="1" applyFill="1" applyBorder="1"/>
    <xf numFmtId="0" fontId="5" fillId="5" borderId="9" xfId="0" applyFont="1" applyFill="1" applyBorder="1"/>
    <xf numFmtId="6" fontId="5" fillId="0" borderId="0" xfId="0" applyNumberFormat="1" applyFont="1" applyFill="1" applyBorder="1"/>
    <xf numFmtId="6" fontId="5" fillId="0" borderId="10" xfId="0" applyNumberFormat="1" applyFont="1" applyFill="1" applyBorder="1"/>
    <xf numFmtId="0" fontId="3" fillId="0" borderId="9" xfId="2" applyFont="1" applyFill="1" applyBorder="1"/>
    <xf numFmtId="0" fontId="3" fillId="0" borderId="0" xfId="2" applyFont="1" applyFill="1" applyBorder="1"/>
    <xf numFmtId="6" fontId="3" fillId="0" borderId="10" xfId="2" applyNumberFormat="1" applyFont="1" applyFill="1" applyBorder="1"/>
    <xf numFmtId="0" fontId="3" fillId="0" borderId="11" xfId="2" applyFont="1" applyFill="1" applyBorder="1"/>
    <xf numFmtId="0" fontId="10" fillId="0" borderId="3" xfId="0" applyFont="1" applyFill="1" applyBorder="1" applyAlignment="1">
      <alignment horizontal="center"/>
    </xf>
    <xf numFmtId="0" fontId="10" fillId="0" borderId="4" xfId="0" applyFont="1" applyFill="1" applyBorder="1" applyAlignment="1">
      <alignment horizontal="center"/>
    </xf>
    <xf numFmtId="0" fontId="10" fillId="0" borderId="11" xfId="0" applyFont="1" applyFill="1" applyBorder="1" applyAlignment="1">
      <alignment horizontal="center"/>
    </xf>
    <xf numFmtId="0" fontId="10" fillId="4" borderId="1" xfId="0" applyFont="1" applyFill="1" applyBorder="1" applyAlignment="1">
      <alignment horizontal="center"/>
    </xf>
    <xf numFmtId="0" fontId="10" fillId="4" borderId="2" xfId="0" applyFont="1" applyFill="1" applyBorder="1" applyAlignment="1">
      <alignment horizontal="center"/>
    </xf>
    <xf numFmtId="0" fontId="10" fillId="4" borderId="8" xfId="0" applyFont="1" applyFill="1" applyBorder="1" applyAlignment="1">
      <alignment horizontal="center"/>
    </xf>
    <xf numFmtId="0" fontId="18" fillId="4" borderId="1" xfId="0" applyFont="1" applyFill="1" applyBorder="1" applyAlignment="1">
      <alignment horizontal="center"/>
    </xf>
    <xf numFmtId="0" fontId="18" fillId="4" borderId="8" xfId="0" applyFont="1" applyFill="1" applyBorder="1" applyAlignment="1">
      <alignment horizontal="center"/>
    </xf>
    <xf numFmtId="0" fontId="5" fillId="0" borderId="9" xfId="0" applyFont="1" applyBorder="1" applyAlignment="1">
      <alignment horizontal="left" vertical="center"/>
    </xf>
    <xf numFmtId="0" fontId="5" fillId="5" borderId="9" xfId="0" applyFont="1" applyFill="1" applyBorder="1" applyAlignment="1">
      <alignment horizontal="left" vertical="center"/>
    </xf>
    <xf numFmtId="0" fontId="3" fillId="5" borderId="9" xfId="0" applyFont="1" applyFill="1" applyBorder="1" applyAlignment="1">
      <alignment horizontal="left" vertical="center"/>
    </xf>
    <xf numFmtId="0" fontId="3" fillId="0" borderId="9" xfId="0" applyFont="1" applyBorder="1" applyAlignment="1">
      <alignment horizontal="left" vertical="center"/>
    </xf>
    <xf numFmtId="0" fontId="17" fillId="6" borderId="17" xfId="0" applyFont="1" applyFill="1" applyBorder="1" applyAlignment="1">
      <alignment horizontal="center"/>
    </xf>
    <xf numFmtId="0" fontId="16" fillId="6" borderId="5" xfId="0" applyFont="1" applyFill="1" applyBorder="1" applyAlignment="1">
      <alignment horizontal="right"/>
    </xf>
    <xf numFmtId="0" fontId="16" fillId="6" borderId="6" xfId="0" applyFont="1" applyFill="1" applyBorder="1" applyAlignment="1">
      <alignment horizontal="right"/>
    </xf>
  </cellXfs>
  <cellStyles count="6">
    <cellStyle name="Bad" xfId="2" builtinId="27"/>
    <cellStyle name="Good" xfId="1" builtinId="26"/>
    <cellStyle name="Normal" xfId="0" builtinId="0"/>
    <cellStyle name="Normal 2" xfId="3" xr:uid="{6A884C6A-E471-7B47-B158-C59D47615BD7}"/>
    <cellStyle name="Normal 3" xfId="4" xr:uid="{DFEEC063-B742-C147-8B91-10697369E609}"/>
    <cellStyle name="Per cent" xfId="5" builtinId="5"/>
  </cellStyles>
  <dxfs count="0"/>
  <tableStyles count="0" defaultTableStyle="TableStyleMedium2" defaultPivotStyle="PivotStyleLight16"/>
  <colors>
    <mruColors>
      <color rgb="FF97000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scatterChart>
        <c:scatterStyle val="smoothMarker"/>
        <c:varyColors val="0"/>
        <c:ser>
          <c:idx val="0"/>
          <c:order val="0"/>
          <c:tx>
            <c:strRef>
              <c:f>'Logistic function'!$I$37</c:f>
              <c:strCache>
                <c:ptCount val="1"/>
                <c:pt idx="0">
                  <c:v>Fraction of benefit</c:v>
                </c:pt>
              </c:strCache>
            </c:strRef>
          </c:tx>
          <c:spPr>
            <a:ln w="19050" cap="rnd">
              <a:solidFill>
                <a:schemeClr val="accent1"/>
              </a:solidFill>
              <a:round/>
            </a:ln>
            <a:effectLst/>
          </c:spPr>
          <c:marker>
            <c:symbol val="none"/>
          </c:marker>
          <c:xVal>
            <c:numRef>
              <c:f>'Logistic function'!$H$38:$H$58</c:f>
              <c:numCache>
                <c:formatCode>General</c:formatCode>
                <c:ptCount val="21"/>
                <c:pt idx="0">
                  <c:v>0</c:v>
                </c:pt>
                <c:pt idx="1">
                  <c:v>5</c:v>
                </c:pt>
                <c:pt idx="2">
                  <c:v>10</c:v>
                </c:pt>
                <c:pt idx="3">
                  <c:v>15</c:v>
                </c:pt>
                <c:pt idx="4">
                  <c:v>20</c:v>
                </c:pt>
                <c:pt idx="5">
                  <c:v>25</c:v>
                </c:pt>
                <c:pt idx="6">
                  <c:v>30</c:v>
                </c:pt>
                <c:pt idx="7">
                  <c:v>35</c:v>
                </c:pt>
                <c:pt idx="8">
                  <c:v>40</c:v>
                </c:pt>
                <c:pt idx="9">
                  <c:v>45</c:v>
                </c:pt>
                <c:pt idx="10">
                  <c:v>50</c:v>
                </c:pt>
                <c:pt idx="11">
                  <c:v>55</c:v>
                </c:pt>
                <c:pt idx="12">
                  <c:v>60</c:v>
                </c:pt>
                <c:pt idx="13">
                  <c:v>65</c:v>
                </c:pt>
                <c:pt idx="14">
                  <c:v>70</c:v>
                </c:pt>
                <c:pt idx="15">
                  <c:v>75</c:v>
                </c:pt>
                <c:pt idx="16">
                  <c:v>80</c:v>
                </c:pt>
                <c:pt idx="17">
                  <c:v>85</c:v>
                </c:pt>
                <c:pt idx="18">
                  <c:v>90</c:v>
                </c:pt>
                <c:pt idx="19">
                  <c:v>95</c:v>
                </c:pt>
                <c:pt idx="20">
                  <c:v>100</c:v>
                </c:pt>
              </c:numCache>
            </c:numRef>
          </c:xVal>
          <c:yVal>
            <c:numRef>
              <c:f>'Logistic function'!$I$38:$I$58</c:f>
              <c:numCache>
                <c:formatCode>General</c:formatCode>
                <c:ptCount val="21"/>
                <c:pt idx="0">
                  <c:v>4.5950934646538648E-2</c:v>
                </c:pt>
                <c:pt idx="1">
                  <c:v>5.7250790860005986E-2</c:v>
                </c:pt>
                <c:pt idx="2">
                  <c:v>7.1322475457251427E-2</c:v>
                </c:pt>
                <c:pt idx="3">
                  <c:v>8.8837889658515828E-2</c:v>
                </c:pt>
                <c:pt idx="4">
                  <c:v>0.11062254396926989</c:v>
                </c:pt>
                <c:pt idx="5">
                  <c:v>0.13767996575985145</c:v>
                </c:pt>
                <c:pt idx="6">
                  <c:v>0.17120715313049154</c:v>
                </c:pt>
                <c:pt idx="7">
                  <c:v>0.21258303929806019</c:v>
                </c:pt>
                <c:pt idx="8">
                  <c:v>0.26329302499408092</c:v>
                </c:pt>
                <c:pt idx="9">
                  <c:v>0.32472161413849371</c:v>
                </c:pt>
                <c:pt idx="10">
                  <c:v>0.39770954446155277</c:v>
                </c:pt>
                <c:pt idx="11">
                  <c:v>0.48177900064353635</c:v>
                </c:pt>
                <c:pt idx="12">
                  <c:v>0.57411007655520907</c:v>
                </c:pt>
                <c:pt idx="13">
                  <c:v>0.6688489744231213</c:v>
                </c:pt>
                <c:pt idx="14">
                  <c:v>0.75785828325519911</c:v>
                </c:pt>
                <c:pt idx="15">
                  <c:v>0.8334371433058857</c:v>
                </c:pt>
                <c:pt idx="16">
                  <c:v>0.89142486008736899</c:v>
                </c:pt>
                <c:pt idx="17">
                  <c:v>0.93214231732098562</c:v>
                </c:pt>
                <c:pt idx="18">
                  <c:v>0.95883782398167994</c:v>
                </c:pt>
                <c:pt idx="19">
                  <c:v>0.97551764043590661</c:v>
                </c:pt>
                <c:pt idx="20">
                  <c:v>0.98561673824652107</c:v>
                </c:pt>
              </c:numCache>
            </c:numRef>
          </c:yVal>
          <c:smooth val="1"/>
          <c:extLst>
            <c:ext xmlns:c16="http://schemas.microsoft.com/office/drawing/2014/chart" uri="{C3380CC4-5D6E-409C-BE32-E72D297353CC}">
              <c16:uniqueId val="{00000000-9E60-EB44-9C95-36CCBF2F913D}"/>
            </c:ext>
          </c:extLst>
        </c:ser>
        <c:dLbls>
          <c:showLegendKey val="0"/>
          <c:showVal val="0"/>
          <c:showCatName val="0"/>
          <c:showSerName val="0"/>
          <c:showPercent val="0"/>
          <c:showBubbleSize val="0"/>
        </c:dLbls>
        <c:axId val="291579823"/>
        <c:axId val="291581471"/>
      </c:scatterChart>
      <c:valAx>
        <c:axId val="291579823"/>
        <c:scaling>
          <c:orientation val="minMax"/>
        </c:scaling>
        <c:delete val="0"/>
        <c:axPos val="b"/>
        <c:title>
          <c:tx>
            <c:rich>
              <a:bodyPr rot="0" spcFirstLastPara="1" vertOverflow="ellipsis" vert="horz" wrap="square" anchor="ctr" anchorCtr="1"/>
              <a:lstStyle/>
              <a:p>
                <a:pPr>
                  <a:defRPr sz="1800" b="0" i="0" u="none" strike="noStrike" kern="1200" baseline="0">
                    <a:solidFill>
                      <a:schemeClr val="tx1">
                        <a:lumMod val="65000"/>
                        <a:lumOff val="35000"/>
                      </a:schemeClr>
                    </a:solidFill>
                    <a:latin typeface="+mn-lt"/>
                    <a:ea typeface="+mn-ea"/>
                    <a:cs typeface="+mn-cs"/>
                  </a:defRPr>
                </a:pPr>
                <a:r>
                  <a:rPr lang="en-GB" sz="1800"/>
                  <a:t>Adoption</a:t>
                </a:r>
                <a:r>
                  <a:rPr lang="en-GB" sz="1800" baseline="0"/>
                  <a:t> percentage</a:t>
                </a:r>
                <a:endParaRPr lang="en-GB" sz="1800"/>
              </a:p>
            </c:rich>
          </c:tx>
          <c:overlay val="0"/>
          <c:spPr>
            <a:noFill/>
            <a:ln>
              <a:noFill/>
            </a:ln>
            <a:effectLst/>
          </c:spPr>
          <c:txPr>
            <a:bodyPr rot="0" spcFirstLastPara="1" vertOverflow="ellipsis" vert="horz" wrap="square" anchor="ctr" anchorCtr="1"/>
            <a:lstStyle/>
            <a:p>
              <a:pPr>
                <a:defRPr sz="18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600" b="0" i="0" u="none" strike="noStrike" kern="1200" baseline="0">
                <a:solidFill>
                  <a:schemeClr val="tx1">
                    <a:lumMod val="65000"/>
                    <a:lumOff val="35000"/>
                  </a:schemeClr>
                </a:solidFill>
                <a:latin typeface="+mn-lt"/>
                <a:ea typeface="+mn-ea"/>
                <a:cs typeface="+mn-cs"/>
              </a:defRPr>
            </a:pPr>
            <a:endParaRPr lang="en-US"/>
          </a:p>
        </c:txPr>
        <c:crossAx val="291581471"/>
        <c:crosses val="autoZero"/>
        <c:crossBetween val="midCat"/>
      </c:valAx>
      <c:valAx>
        <c:axId val="291581471"/>
        <c:scaling>
          <c:orientation val="minMax"/>
        </c:scaling>
        <c:delete val="0"/>
        <c:axPos val="l"/>
        <c:title>
          <c:tx>
            <c:rich>
              <a:bodyPr rot="-5400000" spcFirstLastPara="1" vertOverflow="ellipsis" vert="horz" wrap="square" anchor="ctr" anchorCtr="1"/>
              <a:lstStyle/>
              <a:p>
                <a:pPr>
                  <a:defRPr sz="1800" b="0" i="0" u="none" strike="noStrike" kern="1200" baseline="0">
                    <a:solidFill>
                      <a:schemeClr val="tx1">
                        <a:lumMod val="65000"/>
                        <a:lumOff val="35000"/>
                      </a:schemeClr>
                    </a:solidFill>
                    <a:latin typeface="+mn-lt"/>
                    <a:ea typeface="+mn-ea"/>
                    <a:cs typeface="+mn-cs"/>
                  </a:defRPr>
                </a:pPr>
                <a:r>
                  <a:rPr lang="en-GB" sz="1800"/>
                  <a:t>Fraction</a:t>
                </a:r>
                <a:r>
                  <a:rPr lang="en-GB" sz="1800" baseline="0"/>
                  <a:t> of benefit</a:t>
                </a:r>
                <a:endParaRPr lang="en-GB" sz="1800"/>
              </a:p>
            </c:rich>
          </c:tx>
          <c:overlay val="0"/>
          <c:spPr>
            <a:noFill/>
            <a:ln>
              <a:noFill/>
            </a:ln>
            <a:effectLst/>
          </c:spPr>
          <c:txPr>
            <a:bodyPr rot="-5400000" spcFirstLastPara="1" vertOverflow="ellipsis" vert="horz" wrap="square" anchor="ctr" anchorCtr="1"/>
            <a:lstStyle/>
            <a:p>
              <a:pPr>
                <a:defRPr sz="18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600" b="0" i="0" u="none" strike="noStrike" kern="1200" baseline="0">
                <a:solidFill>
                  <a:schemeClr val="tx1">
                    <a:lumMod val="65000"/>
                    <a:lumOff val="35000"/>
                  </a:schemeClr>
                </a:solidFill>
                <a:latin typeface="+mn-lt"/>
                <a:ea typeface="+mn-ea"/>
                <a:cs typeface="+mn-cs"/>
              </a:defRPr>
            </a:pPr>
            <a:endParaRPr lang="en-US"/>
          </a:p>
        </c:txPr>
        <c:crossAx val="291579823"/>
        <c:crosses val="autoZero"/>
        <c:crossBetween val="midCat"/>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drawings/_rels/drawing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xdr:col>
      <xdr:colOff>25400</xdr:colOff>
      <xdr:row>57</xdr:row>
      <xdr:rowOff>12700</xdr:rowOff>
    </xdr:from>
    <xdr:to>
      <xdr:col>7</xdr:col>
      <xdr:colOff>25400</xdr:colOff>
      <xdr:row>72</xdr:row>
      <xdr:rowOff>38100</xdr:rowOff>
    </xdr:to>
    <xdr:sp macro="" textlink="">
      <xdr:nvSpPr>
        <xdr:cNvPr id="2" name="TextBox 1">
          <a:extLst>
            <a:ext uri="{FF2B5EF4-FFF2-40B4-BE49-F238E27FC236}">
              <a16:creationId xmlns:a16="http://schemas.microsoft.com/office/drawing/2014/main" id="{45619B28-89A5-DB4B-98A1-254D2F8A69BC}"/>
            </a:ext>
          </a:extLst>
        </xdr:cNvPr>
        <xdr:cNvSpPr txBox="1"/>
      </xdr:nvSpPr>
      <xdr:spPr>
        <a:xfrm>
          <a:off x="406400" y="9334500"/>
          <a:ext cx="11303000" cy="26924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a:t>*1 The cost of implementing a PID is based on 40 days of work (290 hours according to the Jisc-ARMA report) of work at an average salary of £60,000 per year. The total cost for implementation is based on equivalent of 4 PIDs with a five year cost spread</a:t>
          </a:r>
        </a:p>
        <a:p>
          <a:r>
            <a:rPr lang="en-GB" sz="1100"/>
            <a:t>*2 The costs for all institutions is the cost per institution, multiplied by the number of institutions that receive research funding according to HESA.</a:t>
          </a:r>
        </a:p>
        <a:p>
          <a:r>
            <a:rPr lang="en-GB" sz="1100"/>
            <a:t>*3 Costs of implementation per institution when supported by the consortium assumes that it halves the effort from the university (equivalent of two PIDs). </a:t>
          </a:r>
        </a:p>
        <a:p>
          <a:r>
            <a:rPr lang="en-GB" sz="1100"/>
            <a:t>*4 Costs across all institutions is based on the 2 PID, 5 year calculation aggregated across 173 institutions.</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0</xdr:colOff>
      <xdr:row>13</xdr:row>
      <xdr:rowOff>25400</xdr:rowOff>
    </xdr:from>
    <xdr:to>
      <xdr:col>9</xdr:col>
      <xdr:colOff>12700</xdr:colOff>
      <xdr:row>26</xdr:row>
      <xdr:rowOff>190500</xdr:rowOff>
    </xdr:to>
    <xdr:sp macro="" textlink="">
      <xdr:nvSpPr>
        <xdr:cNvPr id="2" name="TextBox 1">
          <a:extLst>
            <a:ext uri="{FF2B5EF4-FFF2-40B4-BE49-F238E27FC236}">
              <a16:creationId xmlns:a16="http://schemas.microsoft.com/office/drawing/2014/main" id="{3A69D31B-9A34-FD4B-A518-E0B212A7A466}"/>
            </a:ext>
          </a:extLst>
        </xdr:cNvPr>
        <xdr:cNvSpPr txBox="1"/>
      </xdr:nvSpPr>
      <xdr:spPr>
        <a:xfrm>
          <a:off x="381000" y="2692400"/>
          <a:ext cx="7747000" cy="28067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en-GB" sz="1100"/>
        </a:p>
        <a:p>
          <a:r>
            <a:rPr lang="en-GB" sz="1100"/>
            <a:t>*1 There are 246 HEIs in the</a:t>
          </a:r>
          <a:r>
            <a:rPr lang="en-GB" sz="1100" baseline="0"/>
            <a:t> HESA data and 1,000 funders in the open funder registry</a:t>
          </a:r>
        </a:p>
        <a:p>
          <a:r>
            <a:rPr lang="en-GB" sz="1100"/>
            <a:t>*2 There are 92 ORCID integrations in the UK</a:t>
          </a:r>
        </a:p>
        <a:p>
          <a:r>
            <a:rPr lang="en-GB" sz="1100"/>
            <a:t>*3 According to</a:t>
          </a:r>
          <a:r>
            <a:rPr lang="en-GB" sz="1100" baseline="0"/>
            <a:t> MoreBrains PID awareness survey[2], 20% of universities have a ROR integration</a:t>
          </a:r>
        </a:p>
        <a:p>
          <a:r>
            <a:rPr lang="en-GB" sz="1100"/>
            <a:t>*4 The DataCite consortium has 120 members</a:t>
          </a:r>
        </a:p>
        <a:p>
          <a:r>
            <a:rPr lang="en-GB" sz="1100"/>
            <a:t>*5 Wellcome Trust</a:t>
          </a:r>
          <a:r>
            <a:rPr lang="en-GB" sz="1100" baseline="0"/>
            <a:t> is the only UK funder with a Grant DOI integration with Crossref at the time of writing</a:t>
          </a:r>
        </a:p>
        <a:p>
          <a:r>
            <a:rPr lang="en-GB" sz="1100" baseline="0"/>
            <a:t>*6 RAiD is not yet implemented at any UK institutions</a:t>
          </a:r>
        </a:p>
        <a:p>
          <a:pPr marL="0" marR="0" lvl="0" indent="0" defTabSz="914400" eaLnBrk="1" fontAlgn="auto" latinLnBrk="0" hangingPunct="1">
            <a:lnSpc>
              <a:spcPct val="100000"/>
            </a:lnSpc>
            <a:spcBef>
              <a:spcPts val="0"/>
            </a:spcBef>
            <a:spcAft>
              <a:spcPts val="0"/>
            </a:spcAft>
            <a:buClrTx/>
            <a:buSzTx/>
            <a:buFontTx/>
            <a:buNone/>
            <a:tabLst/>
            <a:defRPr/>
          </a:pPr>
          <a:r>
            <a:rPr lang="en-GB" sz="1100"/>
            <a:t>*7 </a:t>
          </a:r>
          <a:r>
            <a:rPr lang="en-GB" sz="1100" baseline="0"/>
            <a:t>For Crossref integrations, assume that an average of 2 integrations per institution is necessary for system-specific ingest (e.g. to a CRIS and an institutional repository). Funders have dual input and output requirements, ingest for outputs previous grants, and DOI registration for new grants.</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t>*8 The number of UK researchers in the ORCID database</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t>*9 Our estimate for the total number of institutions in the UK, as used elsewhere in our analysis</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t>*10 The number of DataCite DOIs registered in 2020</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t>*11 Our estimate for the number of grants  awarded in the UK, as used elsewhere in our analysis</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t>*12 Our estimate for the number of projects in the UK, as used elsewhere in our analysis</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t>*13 The number of publications authored by UK-affiliated researchers.</a:t>
          </a:r>
          <a:endParaRPr lang="en-GB"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31750</xdr:colOff>
      <xdr:row>1</xdr:row>
      <xdr:rowOff>12700</xdr:rowOff>
    </xdr:from>
    <xdr:to>
      <xdr:col>9</xdr:col>
      <xdr:colOff>50800</xdr:colOff>
      <xdr:row>31</xdr:row>
      <xdr:rowOff>0</xdr:rowOff>
    </xdr:to>
    <xdr:graphicFrame macro="">
      <xdr:nvGraphicFramePr>
        <xdr:cNvPr id="3" name="Chart 2">
          <a:extLst>
            <a:ext uri="{FF2B5EF4-FFF2-40B4-BE49-F238E27FC236}">
              <a16:creationId xmlns:a16="http://schemas.microsoft.com/office/drawing/2014/main" id="{BE64C01B-F9E2-B44B-AAB7-0725DD60A81E}"/>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800100</xdr:colOff>
      <xdr:row>42</xdr:row>
      <xdr:rowOff>38100</xdr:rowOff>
    </xdr:from>
    <xdr:to>
      <xdr:col>5</xdr:col>
      <xdr:colOff>1320800</xdr:colOff>
      <xdr:row>53</xdr:row>
      <xdr:rowOff>127000</xdr:rowOff>
    </xdr:to>
    <xdr:sp macro="" textlink="">
      <xdr:nvSpPr>
        <xdr:cNvPr id="7" name="TextBox 6">
          <a:extLst>
            <a:ext uri="{FF2B5EF4-FFF2-40B4-BE49-F238E27FC236}">
              <a16:creationId xmlns:a16="http://schemas.microsoft.com/office/drawing/2014/main" id="{9F61E6BF-2907-CB40-A661-BCFF9C2B2AA4}"/>
            </a:ext>
          </a:extLst>
        </xdr:cNvPr>
        <xdr:cNvSpPr txBox="1"/>
      </xdr:nvSpPr>
      <xdr:spPr>
        <a:xfrm>
          <a:off x="1244600" y="8775700"/>
          <a:ext cx="4394200" cy="23241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t>Notes:</a:t>
          </a:r>
        </a:p>
        <a:p>
          <a:r>
            <a:rPr lang="en-GB" sz="1100"/>
            <a:t>Changing</a:t>
          </a:r>
          <a:r>
            <a:rPr lang="en-GB" sz="1100" baseline="0"/>
            <a:t> the value of k will affect the steepness of the curve.</a:t>
          </a:r>
        </a:p>
        <a:p>
          <a:r>
            <a:rPr lang="en-GB" sz="1100" baseline="0"/>
            <a:t>The value of A_0 is the adoption percentage at which half of the value has been realised</a:t>
          </a:r>
        </a:p>
        <a:p>
          <a:r>
            <a:rPr lang="en-GB" sz="1100" baseline="0"/>
            <a:t>B_0 and B_max change the minimum and maximum fraction of benefit. These parameters are shown in the equation on the graph because we haven't used them as part of the model. They are currently set to 0 and 1 and collapse out of the function.</a:t>
          </a:r>
        </a:p>
        <a:p>
          <a:r>
            <a:rPr lang="en-GB" sz="1100" baseline="0"/>
            <a:t>a is the asymmetry value of the generalised logistic function. It can be used to move the steepest part of the curve towards the lower or higher end.  We see no justification to change the asymmetry beyond setting the value of A_0 and so have  left it at 1.</a:t>
          </a:r>
          <a:endParaRPr lang="en-GB" sz="1100"/>
        </a:p>
      </xdr:txBody>
    </xdr:sp>
    <xdr:clientData/>
  </xdr:twoCellAnchor>
  <xdr:twoCellAnchor editAs="oneCell">
    <xdr:from>
      <xdr:col>2</xdr:col>
      <xdr:colOff>177800</xdr:colOff>
      <xdr:row>1</xdr:row>
      <xdr:rowOff>165100</xdr:rowOff>
    </xdr:from>
    <xdr:to>
      <xdr:col>6</xdr:col>
      <xdr:colOff>457200</xdr:colOff>
      <xdr:row>13</xdr:row>
      <xdr:rowOff>27223</xdr:rowOff>
    </xdr:to>
    <xdr:pic>
      <xdr:nvPicPr>
        <xdr:cNvPr id="9" name="Picture 8">
          <a:extLst>
            <a:ext uri="{FF2B5EF4-FFF2-40B4-BE49-F238E27FC236}">
              <a16:creationId xmlns:a16="http://schemas.microsoft.com/office/drawing/2014/main" id="{31F8C4D0-367C-974F-AF76-04DBFDA5F298}"/>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1447800" y="546100"/>
          <a:ext cx="4724400" cy="2300523"/>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3.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9C4F00B-E98C-8C40-9185-F9E60AE36808}">
  <dimension ref="B1:D31"/>
  <sheetViews>
    <sheetView showGridLines="0" workbookViewId="0"/>
  </sheetViews>
  <sheetFormatPr baseColWidth="10" defaultColWidth="11" defaultRowHeight="16" x14ac:dyDescent="0.2"/>
  <cols>
    <col min="1" max="1" width="5" customWidth="1"/>
    <col min="2" max="2" width="80.6640625" bestFit="1" customWidth="1"/>
  </cols>
  <sheetData>
    <row r="1" spans="2:4" ht="30" customHeight="1" x14ac:dyDescent="0.2"/>
    <row r="2" spans="2:4" x14ac:dyDescent="0.2">
      <c r="B2" s="178" t="s">
        <v>126</v>
      </c>
      <c r="C2" s="179"/>
    </row>
    <row r="3" spans="2:4" x14ac:dyDescent="0.2">
      <c r="B3" s="10" t="s">
        <v>0</v>
      </c>
      <c r="C3" s="145">
        <v>36000</v>
      </c>
    </row>
    <row r="4" spans="2:4" x14ac:dyDescent="0.2">
      <c r="B4" s="10" t="s">
        <v>1</v>
      </c>
      <c r="C4" s="145">
        <v>236436</v>
      </c>
    </row>
    <row r="5" spans="2:4" x14ac:dyDescent="0.2">
      <c r="B5" s="10" t="s">
        <v>2</v>
      </c>
      <c r="C5" s="36">
        <v>50000</v>
      </c>
    </row>
    <row r="6" spans="2:4" x14ac:dyDescent="0.2">
      <c r="B6" s="10" t="s">
        <v>93</v>
      </c>
      <c r="C6" s="36">
        <v>246</v>
      </c>
    </row>
    <row r="7" spans="2:4" x14ac:dyDescent="0.2">
      <c r="B7" s="37" t="s">
        <v>94</v>
      </c>
      <c r="C7" s="40">
        <v>173</v>
      </c>
    </row>
    <row r="9" spans="2:4" x14ac:dyDescent="0.2">
      <c r="B9" s="175" t="s">
        <v>95</v>
      </c>
      <c r="C9" s="176"/>
      <c r="D9" s="177"/>
    </row>
    <row r="10" spans="2:4" s="144" customFormat="1" x14ac:dyDescent="0.2">
      <c r="B10" s="146"/>
      <c r="C10" s="147"/>
      <c r="D10" s="148"/>
    </row>
    <row r="11" spans="2:4" s="144" customFormat="1" x14ac:dyDescent="0.2">
      <c r="B11" s="172" t="s">
        <v>123</v>
      </c>
      <c r="C11" s="173"/>
      <c r="D11" s="174"/>
    </row>
    <row r="12" spans="2:4" s="144" customFormat="1" x14ac:dyDescent="0.2">
      <c r="B12" s="149" t="s">
        <v>124</v>
      </c>
      <c r="C12" s="150" t="s">
        <v>3</v>
      </c>
      <c r="D12" s="151" t="s">
        <v>125</v>
      </c>
    </row>
    <row r="13" spans="2:4" s="144" customFormat="1" x14ac:dyDescent="0.2">
      <c r="B13" s="10" t="s">
        <v>131</v>
      </c>
      <c r="C13" s="35">
        <v>25</v>
      </c>
      <c r="D13" s="34">
        <v>95000</v>
      </c>
    </row>
    <row r="14" spans="2:4" s="144" customFormat="1" x14ac:dyDescent="0.2">
      <c r="B14" s="10" t="s">
        <v>113</v>
      </c>
      <c r="C14" s="35">
        <v>25</v>
      </c>
      <c r="D14" s="34">
        <v>15000</v>
      </c>
    </row>
    <row r="15" spans="2:4" s="144" customFormat="1" x14ac:dyDescent="0.2">
      <c r="B15" s="10" t="s">
        <v>114</v>
      </c>
      <c r="C15" s="35">
        <v>25</v>
      </c>
      <c r="D15" s="34">
        <v>33000</v>
      </c>
    </row>
    <row r="16" spans="2:4" s="29" customFormat="1" x14ac:dyDescent="0.2">
      <c r="B16" s="152"/>
      <c r="C16" s="153"/>
      <c r="D16" s="154"/>
    </row>
    <row r="17" spans="2:4" s="29" customFormat="1" x14ac:dyDescent="0.2">
      <c r="B17" s="172" t="s">
        <v>132</v>
      </c>
      <c r="C17" s="173"/>
      <c r="D17" s="174"/>
    </row>
    <row r="18" spans="2:4" s="29" customFormat="1" x14ac:dyDescent="0.2">
      <c r="B18" s="149" t="s">
        <v>130</v>
      </c>
      <c r="C18" s="155" t="s">
        <v>128</v>
      </c>
      <c r="D18" s="151" t="s">
        <v>53</v>
      </c>
    </row>
    <row r="19" spans="2:4" s="29" customFormat="1" x14ac:dyDescent="0.2">
      <c r="B19" s="146" t="s">
        <v>5</v>
      </c>
      <c r="C19" s="147"/>
      <c r="D19" s="156">
        <v>16</v>
      </c>
    </row>
    <row r="20" spans="2:4" s="29" customFormat="1" x14ac:dyDescent="0.2">
      <c r="B20" s="146" t="s">
        <v>6</v>
      </c>
      <c r="C20" s="147" t="s">
        <v>129</v>
      </c>
      <c r="D20" s="156">
        <v>4.2</v>
      </c>
    </row>
    <row r="21" spans="2:4" s="143" customFormat="1" x14ac:dyDescent="0.2">
      <c r="B21" s="146"/>
      <c r="C21" s="147" t="s">
        <v>36</v>
      </c>
      <c r="D21" s="156">
        <v>6.29</v>
      </c>
    </row>
    <row r="22" spans="2:4" s="143" customFormat="1" x14ac:dyDescent="0.2">
      <c r="B22" s="146" t="s">
        <v>10</v>
      </c>
      <c r="C22" s="147" t="s">
        <v>129</v>
      </c>
      <c r="D22" s="156">
        <v>4.2</v>
      </c>
    </row>
    <row r="23" spans="2:4" s="143" customFormat="1" x14ac:dyDescent="0.2">
      <c r="B23" s="146"/>
      <c r="C23" s="147" t="s">
        <v>36</v>
      </c>
      <c r="D23" s="156">
        <v>6.29</v>
      </c>
    </row>
    <row r="24" spans="2:4" s="143" customFormat="1" x14ac:dyDescent="0.2">
      <c r="B24" s="157"/>
      <c r="C24" s="158"/>
      <c r="D24" s="159"/>
    </row>
    <row r="25" spans="2:4" s="143" customFormat="1" x14ac:dyDescent="0.2">
      <c r="B25" s="172" t="s">
        <v>127</v>
      </c>
      <c r="C25" s="173"/>
      <c r="D25" s="174"/>
    </row>
    <row r="26" spans="2:4" s="143" customFormat="1" x14ac:dyDescent="0.2">
      <c r="B26" s="10" t="s">
        <v>51</v>
      </c>
      <c r="C26" s="35">
        <v>40</v>
      </c>
      <c r="D26" s="36"/>
    </row>
    <row r="27" spans="2:4" s="143" customFormat="1" x14ac:dyDescent="0.2">
      <c r="B27" s="10" t="s">
        <v>96</v>
      </c>
      <c r="C27" s="35">
        <f>4</f>
        <v>4</v>
      </c>
      <c r="D27" s="36"/>
    </row>
    <row r="28" spans="2:4" s="143" customFormat="1" x14ac:dyDescent="0.2">
      <c r="B28" s="10" t="s">
        <v>97</v>
      </c>
      <c r="C28" s="35">
        <v>2</v>
      </c>
      <c r="D28" s="36"/>
    </row>
    <row r="29" spans="2:4" s="143" customFormat="1" x14ac:dyDescent="0.2">
      <c r="B29" s="37" t="s">
        <v>52</v>
      </c>
      <c r="C29" s="39">
        <v>5</v>
      </c>
      <c r="D29" s="40"/>
    </row>
    <row r="30" spans="2:4" s="143" customFormat="1" x14ac:dyDescent="0.2"/>
    <row r="31" spans="2:4" s="143" customFormat="1" x14ac:dyDescent="0.2">
      <c r="B31"/>
      <c r="C31"/>
      <c r="D31" s="30"/>
    </row>
  </sheetData>
  <mergeCells count="5">
    <mergeCell ref="B25:D25"/>
    <mergeCell ref="B9:D9"/>
    <mergeCell ref="B17:D17"/>
    <mergeCell ref="B2:C2"/>
    <mergeCell ref="B11:D11"/>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1C303D2-D2B5-0741-B180-AE8EA258705A}">
  <dimension ref="B1:J18"/>
  <sheetViews>
    <sheetView showGridLines="0" zoomScale="140" zoomScaleNormal="140" workbookViewId="0"/>
  </sheetViews>
  <sheetFormatPr baseColWidth="10" defaultColWidth="11" defaultRowHeight="16" x14ac:dyDescent="0.2"/>
  <cols>
    <col min="1" max="1" width="5" customWidth="1"/>
    <col min="2" max="2" width="82.1640625" bestFit="1" customWidth="1"/>
    <col min="3" max="3" width="12.5" bestFit="1" customWidth="1"/>
    <col min="4" max="7" width="13.33203125" bestFit="1" customWidth="1"/>
    <col min="8" max="8" width="11.5" bestFit="1" customWidth="1"/>
    <col min="9" max="9" width="4.1640625" customWidth="1"/>
    <col min="10" max="10" width="13.6640625" customWidth="1"/>
  </cols>
  <sheetData>
    <row r="1" spans="2:10" ht="30" customHeight="1" x14ac:dyDescent="0.2"/>
    <row r="2" spans="2:10" x14ac:dyDescent="0.2">
      <c r="B2" s="83"/>
      <c r="C2" s="84" t="s">
        <v>65</v>
      </c>
      <c r="D2" s="84" t="s">
        <v>38</v>
      </c>
      <c r="E2" s="84" t="s">
        <v>39</v>
      </c>
      <c r="F2" s="84" t="s">
        <v>40</v>
      </c>
      <c r="G2" s="84" t="s">
        <v>41</v>
      </c>
      <c r="H2" s="84" t="s">
        <v>42</v>
      </c>
      <c r="I2" s="84"/>
      <c r="J2" s="84" t="s">
        <v>35</v>
      </c>
    </row>
    <row r="3" spans="2:10" hidden="1" x14ac:dyDescent="0.2">
      <c r="D3" s="61">
        <v>1</v>
      </c>
      <c r="E3" s="61">
        <v>2</v>
      </c>
      <c r="F3" s="61">
        <v>3</v>
      </c>
      <c r="G3" s="61">
        <v>4</v>
      </c>
      <c r="H3" s="61">
        <v>5</v>
      </c>
      <c r="I3" s="30"/>
      <c r="J3" s="33"/>
    </row>
    <row r="4" spans="2:10" x14ac:dyDescent="0.2">
      <c r="B4" s="31" t="s">
        <v>58</v>
      </c>
      <c r="C4" s="54"/>
      <c r="D4" s="32">
        <f>'Costs and benefits'!$F$38</f>
        <v>49529.375</v>
      </c>
      <c r="E4" s="32">
        <f>'Costs and benefits'!$F$38</f>
        <v>49529.375</v>
      </c>
      <c r="F4" s="32">
        <f>'Costs and benefits'!$F$38</f>
        <v>49529.375</v>
      </c>
      <c r="G4" s="32">
        <f>'Costs and benefits'!$F$38</f>
        <v>49529.375</v>
      </c>
      <c r="H4" s="32">
        <f>'Costs and benefits'!$F$38</f>
        <v>49529.375</v>
      </c>
      <c r="I4" s="32"/>
      <c r="J4" s="41">
        <f>SUM(D4:H4)</f>
        <v>247646.875</v>
      </c>
    </row>
    <row r="5" spans="2:10" x14ac:dyDescent="0.2">
      <c r="B5" s="37" t="s">
        <v>59</v>
      </c>
      <c r="C5" s="39"/>
      <c r="D5" s="44">
        <f>'Costs and benefits'!$F$10</f>
        <v>4234046</v>
      </c>
      <c r="E5" s="44">
        <f>'Costs and benefits'!$F$10</f>
        <v>4234046</v>
      </c>
      <c r="F5" s="44">
        <f>'Costs and benefits'!$F$10</f>
        <v>4234046</v>
      </c>
      <c r="G5" s="44">
        <f>'Costs and benefits'!$F$10</f>
        <v>4234046</v>
      </c>
      <c r="H5" s="44">
        <f>'Costs and benefits'!$F$10</f>
        <v>4234046</v>
      </c>
      <c r="I5" s="44"/>
      <c r="J5" s="43">
        <f t="shared" ref="J5:J10" si="0">SUM(D5:H5)</f>
        <v>21170230</v>
      </c>
    </row>
    <row r="6" spans="2:10" x14ac:dyDescent="0.2">
      <c r="B6" s="35"/>
      <c r="C6" s="35"/>
      <c r="D6" s="33"/>
      <c r="E6" s="33"/>
      <c r="F6" s="33"/>
      <c r="G6" s="33"/>
      <c r="H6" s="33"/>
      <c r="I6" s="33"/>
      <c r="J6" s="33"/>
    </row>
    <row r="7" spans="2:10" x14ac:dyDescent="0.2">
      <c r="B7" s="31" t="s">
        <v>121</v>
      </c>
      <c r="C7" s="57">
        <f>'Estimate of PID adoption'!H11</f>
        <v>0.18084743804031606</v>
      </c>
      <c r="D7" s="57">
        <v>0.2</v>
      </c>
      <c r="E7" s="57">
        <v>0.4</v>
      </c>
      <c r="F7" s="57">
        <f>($H$7-$E$7)*(F3/$H$3)+$E$7</f>
        <v>0.66999999999999993</v>
      </c>
      <c r="G7" s="57">
        <f>($H$7-$E$7)*(G3/$H$3)+$E$7</f>
        <v>0.76</v>
      </c>
      <c r="H7" s="57">
        <v>0.85</v>
      </c>
      <c r="I7" s="53"/>
      <c r="J7" s="41"/>
    </row>
    <row r="8" spans="2:10" x14ac:dyDescent="0.2">
      <c r="B8" s="10" t="s">
        <v>107</v>
      </c>
      <c r="C8" s="62">
        <f>'Logistic function'!$D$37+('Logistic function'!$D$38-'Logistic function'!$D$37)*(1/(1+EXP(-'Logistic function'!$D$39*((C7*100)-'Logistic function'!$D$41)))^'Logistic function'!$D$40)</f>
        <v>0.10171370190418116</v>
      </c>
      <c r="D8" s="62">
        <f>'Logistic function'!$D$37+('Logistic function'!$D$38-'Logistic function'!$D$37)*(1/(1+EXP(-'Logistic function'!$D$39*((D7*100)-'Logistic function'!$D$41)))^'Logistic function'!$D$40)</f>
        <v>0.11062254396926989</v>
      </c>
      <c r="E8" s="56">
        <f>'Logistic function'!$D$37+('Logistic function'!$D$38-'Logistic function'!$D$37)*(1/(1+EXP(-'Logistic function'!$D$39*((E7*100)-'Logistic function'!$D$41)))^'Logistic function'!$D$40)</f>
        <v>0.26329302499408092</v>
      </c>
      <c r="F8" s="56">
        <f>'Logistic function'!$D$37+('Logistic function'!$D$38-'Logistic function'!$D$37)*(1/(1+EXP(-'Logistic function'!$D$39*((F7*100)-'Logistic function'!$D$41)))^'Logistic function'!$D$40)</f>
        <v>0.70561935547464627</v>
      </c>
      <c r="G8" s="56">
        <f>'Logistic function'!$D$37+('Logistic function'!$D$38-'Logistic function'!$D$37)*(1/(1+EXP(-'Logistic function'!$D$39*((G7*100)-'Logistic function'!$D$41)))^'Logistic function'!$D$40)</f>
        <v>0.84649187283793015</v>
      </c>
      <c r="H8" s="56">
        <f>'Logistic function'!$D$37+('Logistic function'!$D$38-'Logistic function'!$D$37)*(1/(1+EXP(-'Logistic function'!$D$39*((H7*100)-'Logistic function'!$D$41)))^'Logistic function'!$D$40)</f>
        <v>0.93214231732098562</v>
      </c>
      <c r="I8" s="52"/>
      <c r="J8" s="42"/>
    </row>
    <row r="9" spans="2:10" x14ac:dyDescent="0.2">
      <c r="B9" s="10" t="s">
        <v>60</v>
      </c>
      <c r="C9" s="35"/>
      <c r="D9" s="33">
        <f>D4*D8</f>
        <v>5479.065463707957</v>
      </c>
      <c r="E9" s="33">
        <f>E4*E8</f>
        <v>13040.738969816206</v>
      </c>
      <c r="F9" s="33">
        <f>F4*F8</f>
        <v>34948.885664562062</v>
      </c>
      <c r="G9" s="33">
        <f>G4*G8</f>
        <v>41926.213404242153</v>
      </c>
      <c r="H9" s="33">
        <f>H4*H8</f>
        <v>46168.426387960091</v>
      </c>
      <c r="I9" s="52"/>
      <c r="J9" s="42">
        <f t="shared" si="0"/>
        <v>141563.32989028847</v>
      </c>
    </row>
    <row r="10" spans="2:10" x14ac:dyDescent="0.2">
      <c r="B10" s="37" t="s">
        <v>61</v>
      </c>
      <c r="C10" s="39"/>
      <c r="D10" s="44">
        <f>D5*D8</f>
        <v>468380.93980291131</v>
      </c>
      <c r="E10" s="44">
        <f>E5*E8</f>
        <v>1114794.7793040883</v>
      </c>
      <c r="F10" s="44">
        <f>F5*F8</f>
        <v>2987624.8095700042</v>
      </c>
      <c r="G10" s="44">
        <f>G5*G8</f>
        <v>3584085.5282219467</v>
      </c>
      <c r="H10" s="44">
        <f>H5*H8</f>
        <v>3946733.4500836497</v>
      </c>
      <c r="I10" s="50"/>
      <c r="J10" s="43">
        <f t="shared" si="0"/>
        <v>12101619.506982598</v>
      </c>
    </row>
    <row r="11" spans="2:10" x14ac:dyDescent="0.2">
      <c r="B11" s="35"/>
      <c r="C11" s="35"/>
      <c r="D11" s="33"/>
      <c r="E11" s="33"/>
      <c r="F11" s="33"/>
      <c r="G11" s="33"/>
      <c r="H11" s="33"/>
      <c r="I11" s="33"/>
      <c r="J11" s="33"/>
    </row>
    <row r="12" spans="2:10" x14ac:dyDescent="0.2">
      <c r="B12" s="45" t="s">
        <v>55</v>
      </c>
      <c r="C12" s="55"/>
      <c r="D12" s="46">
        <f>-'Consortium cost model'!F20</f>
        <v>-520800</v>
      </c>
      <c r="E12" s="46">
        <f>-'Consortium cost model'!G20</f>
        <v>-536424</v>
      </c>
      <c r="F12" s="46">
        <f>-'Consortium cost model'!H20</f>
        <v>-552516.72</v>
      </c>
      <c r="G12" s="46">
        <f>-'Consortium cost model'!I20</f>
        <v>-569092.22160000005</v>
      </c>
      <c r="H12" s="46">
        <f>-'Consortium cost model'!J20</f>
        <v>-586164.98824799992</v>
      </c>
      <c r="I12" s="46"/>
      <c r="J12" s="47">
        <f>SUM(D12:H12)</f>
        <v>-2764997.9298479999</v>
      </c>
    </row>
    <row r="13" spans="2:10" x14ac:dyDescent="0.2">
      <c r="B13" s="35"/>
      <c r="C13" s="35"/>
      <c r="D13" s="33"/>
      <c r="E13" s="33"/>
      <c r="F13" s="33"/>
      <c r="G13" s="33"/>
      <c r="H13" s="33"/>
      <c r="I13" s="33"/>
      <c r="J13" s="33"/>
    </row>
    <row r="14" spans="2:10" x14ac:dyDescent="0.2">
      <c r="B14" s="31" t="s">
        <v>54</v>
      </c>
      <c r="C14" s="54"/>
      <c r="D14" s="32">
        <f>'Costs and benefits'!$F$50</f>
        <v>-4229.0748898678412</v>
      </c>
      <c r="E14" s="32">
        <f>'Costs and benefits'!$F$50</f>
        <v>-4229.0748898678412</v>
      </c>
      <c r="F14" s="32">
        <f>'Costs and benefits'!$F$50</f>
        <v>-4229.0748898678412</v>
      </c>
      <c r="G14" s="32">
        <f>'Costs and benefits'!$F$50</f>
        <v>-4229.0748898678412</v>
      </c>
      <c r="H14" s="32">
        <f>'Costs and benefits'!$F$50</f>
        <v>-4229.0748898678412</v>
      </c>
      <c r="I14" s="32"/>
      <c r="J14" s="41">
        <f>SUM(D14:H14)</f>
        <v>-21145.374449339208</v>
      </c>
    </row>
    <row r="15" spans="2:10" x14ac:dyDescent="0.2">
      <c r="B15" s="37" t="s">
        <v>92</v>
      </c>
      <c r="C15" s="39"/>
      <c r="D15" s="44">
        <f>'Costs and benefits'!$F$53+D12</f>
        <v>-1252429.9559471365</v>
      </c>
      <c r="E15" s="44">
        <f>'Costs and benefits'!$F$53+E12</f>
        <v>-1268053.9559471365</v>
      </c>
      <c r="F15" s="44">
        <f>'Costs and benefits'!$F$53+F12</f>
        <v>-1284146.6759471365</v>
      </c>
      <c r="G15" s="44">
        <f>'Costs and benefits'!$F$53+G12</f>
        <v>-1300722.1775471366</v>
      </c>
      <c r="H15" s="44">
        <f>'Costs and benefits'!$F$53+H12</f>
        <v>-1317794.9441951364</v>
      </c>
      <c r="I15" s="44"/>
      <c r="J15" s="43">
        <f>SUM(D15:H15)</f>
        <v>-6423147.709583682</v>
      </c>
    </row>
    <row r="16" spans="2:10" x14ac:dyDescent="0.2">
      <c r="B16" s="35"/>
      <c r="C16" s="35"/>
      <c r="D16" s="33"/>
      <c r="E16" s="33"/>
      <c r="F16" s="33"/>
      <c r="G16" s="33"/>
      <c r="H16" s="33"/>
      <c r="I16" s="33"/>
      <c r="J16" s="33"/>
    </row>
    <row r="17" spans="2:10" x14ac:dyDescent="0.2">
      <c r="B17" s="77" t="s">
        <v>105</v>
      </c>
      <c r="C17" s="141"/>
      <c r="D17" s="78">
        <f t="shared" ref="D17:H18" si="1">D9+D14</f>
        <v>1249.9905738401158</v>
      </c>
      <c r="E17" s="78">
        <f t="shared" si="1"/>
        <v>8811.6640799483648</v>
      </c>
      <c r="F17" s="78">
        <f t="shared" si="1"/>
        <v>30719.810774694219</v>
      </c>
      <c r="G17" s="78">
        <f t="shared" si="1"/>
        <v>37697.13851437431</v>
      </c>
      <c r="H17" s="78">
        <f t="shared" si="1"/>
        <v>41939.351498092248</v>
      </c>
      <c r="I17" s="78"/>
      <c r="J17" s="79">
        <f>SUM(D17:H17)</f>
        <v>120417.95544094926</v>
      </c>
    </row>
    <row r="18" spans="2:10" x14ac:dyDescent="0.2">
      <c r="B18" s="80" t="s">
        <v>106</v>
      </c>
      <c r="C18" s="142">
        <f>D5*C8</f>
        <v>430660.49269259063</v>
      </c>
      <c r="D18" s="81">
        <f t="shared" si="1"/>
        <v>-784049.01614422514</v>
      </c>
      <c r="E18" s="81">
        <f t="shared" si="1"/>
        <v>-153259.17664304818</v>
      </c>
      <c r="F18" s="81">
        <f t="shared" si="1"/>
        <v>1703478.1336228678</v>
      </c>
      <c r="G18" s="81">
        <f t="shared" si="1"/>
        <v>2283363.3506748099</v>
      </c>
      <c r="H18" s="81">
        <f t="shared" si="1"/>
        <v>2628938.5058885133</v>
      </c>
      <c r="I18" s="81"/>
      <c r="J18" s="82">
        <f>SUM(D18:H18)</f>
        <v>5678471.7973989174</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218AE87-D676-1441-A505-03DC092E1CEB}">
  <dimension ref="B1:T63"/>
  <sheetViews>
    <sheetView showGridLines="0" zoomScaleNormal="100" workbookViewId="0"/>
  </sheetViews>
  <sheetFormatPr baseColWidth="10" defaultColWidth="10.83203125" defaultRowHeight="14" x14ac:dyDescent="0.2"/>
  <cols>
    <col min="1" max="1" width="5" style="2" customWidth="1"/>
    <col min="2" max="2" width="68.33203125" style="2" customWidth="1"/>
    <col min="3" max="3" width="8.6640625" style="2" customWidth="1"/>
    <col min="4" max="4" width="9.83203125" style="2" customWidth="1"/>
    <col min="5" max="5" width="20.83203125" style="2" customWidth="1"/>
    <col min="6" max="6" width="20.6640625" style="4" customWidth="1"/>
    <col min="7" max="7" width="20" style="4" customWidth="1"/>
    <col min="8" max="8" width="10.83203125" style="2"/>
    <col min="9" max="9" width="11.83203125" style="2" customWidth="1"/>
    <col min="10" max="16384" width="10.83203125" style="2"/>
  </cols>
  <sheetData>
    <row r="1" spans="2:20" ht="30" customHeight="1" x14ac:dyDescent="0.2"/>
    <row r="2" spans="2:20" x14ac:dyDescent="0.2">
      <c r="B2" s="133" t="s">
        <v>100</v>
      </c>
      <c r="C2" s="130" t="s">
        <v>3</v>
      </c>
      <c r="D2" s="130" t="s">
        <v>4</v>
      </c>
      <c r="E2" s="131"/>
      <c r="F2" s="132" t="s">
        <v>102</v>
      </c>
      <c r="G2" s="134" t="s">
        <v>103</v>
      </c>
    </row>
    <row r="3" spans="2:20" x14ac:dyDescent="0.2">
      <c r="B3" s="28" t="s">
        <v>5</v>
      </c>
      <c r="C3" s="103">
        <f>Input!C4</f>
        <v>236436</v>
      </c>
      <c r="D3" s="104">
        <f>Input!D19</f>
        <v>16</v>
      </c>
      <c r="E3" s="27"/>
      <c r="F3" s="105">
        <f>C3*D3</f>
        <v>3782976</v>
      </c>
      <c r="G3" s="25">
        <f>F3*$E$44</f>
        <v>18914880</v>
      </c>
      <c r="H3" s="98"/>
      <c r="I3" s="98"/>
      <c r="J3" s="98"/>
      <c r="K3" s="98"/>
      <c r="L3" s="98"/>
      <c r="M3" s="98"/>
      <c r="N3" s="98"/>
      <c r="O3" s="98"/>
      <c r="P3" s="98"/>
      <c r="Q3" s="98"/>
      <c r="R3" s="98"/>
      <c r="S3" s="98"/>
      <c r="T3" s="98"/>
    </row>
    <row r="4" spans="2:20" x14ac:dyDescent="0.2">
      <c r="B4" s="182" t="s">
        <v>6</v>
      </c>
      <c r="C4" s="160">
        <f>Input!C3</f>
        <v>36000</v>
      </c>
      <c r="D4" s="161">
        <f>Input!D20</f>
        <v>4.2</v>
      </c>
      <c r="E4" s="162" t="s">
        <v>7</v>
      </c>
      <c r="F4" s="121">
        <f>C4*D4</f>
        <v>151200</v>
      </c>
      <c r="G4" s="122">
        <f t="shared" ref="G4:G10" si="0">F4*$E$44</f>
        <v>756000</v>
      </c>
      <c r="H4" s="98"/>
      <c r="J4" s="98"/>
      <c r="K4" s="98"/>
      <c r="L4" s="98"/>
      <c r="M4" s="98"/>
      <c r="N4" s="98"/>
      <c r="O4" s="98"/>
      <c r="P4" s="98"/>
      <c r="Q4" s="98"/>
      <c r="R4" s="98"/>
      <c r="S4" s="98"/>
      <c r="T4" s="98"/>
    </row>
    <row r="5" spans="2:20" x14ac:dyDescent="0.2">
      <c r="B5" s="182"/>
      <c r="C5" s="162"/>
      <c r="D5" s="161">
        <f>Input!D21</f>
        <v>6.29</v>
      </c>
      <c r="E5" s="162" t="s">
        <v>8</v>
      </c>
      <c r="F5" s="121">
        <f>C4*D5</f>
        <v>226440</v>
      </c>
      <c r="G5" s="122">
        <f t="shared" si="0"/>
        <v>1132200</v>
      </c>
      <c r="H5" s="98"/>
      <c r="J5" s="98"/>
      <c r="K5" s="98"/>
      <c r="L5" s="98"/>
      <c r="M5" s="98"/>
      <c r="N5" s="98"/>
      <c r="O5" s="98"/>
      <c r="P5" s="98"/>
      <c r="Q5" s="98"/>
      <c r="R5" s="98"/>
      <c r="S5" s="98"/>
      <c r="T5" s="98"/>
    </row>
    <row r="6" spans="2:20" x14ac:dyDescent="0.2">
      <c r="B6" s="182"/>
      <c r="C6" s="162"/>
      <c r="D6" s="161"/>
      <c r="E6" s="162" t="s">
        <v>9</v>
      </c>
      <c r="F6" s="163">
        <f>(F4+F5)/2</f>
        <v>188820</v>
      </c>
      <c r="G6" s="164">
        <f t="shared" si="0"/>
        <v>944100</v>
      </c>
      <c r="H6" s="98"/>
      <c r="J6" s="98"/>
      <c r="K6" s="98"/>
      <c r="L6" s="98"/>
      <c r="M6" s="98"/>
      <c r="N6" s="98"/>
      <c r="O6" s="98"/>
      <c r="P6" s="98"/>
      <c r="Q6" s="98"/>
      <c r="R6" s="98"/>
      <c r="S6" s="98"/>
      <c r="T6" s="98"/>
    </row>
    <row r="7" spans="2:20" x14ac:dyDescent="0.2">
      <c r="B7" s="183" t="s">
        <v>10</v>
      </c>
      <c r="C7" s="103">
        <f>Input!C5</f>
        <v>50000</v>
      </c>
      <c r="D7" s="104">
        <f>Input!D22</f>
        <v>4.2</v>
      </c>
      <c r="E7" s="27" t="s">
        <v>7</v>
      </c>
      <c r="F7" s="12">
        <f>D7*$C$7</f>
        <v>210000</v>
      </c>
      <c r="G7" s="26">
        <f t="shared" si="0"/>
        <v>1050000</v>
      </c>
      <c r="H7" s="98"/>
      <c r="J7" s="98"/>
      <c r="K7" s="98"/>
      <c r="L7" s="98"/>
      <c r="M7" s="98"/>
      <c r="N7" s="98"/>
      <c r="O7" s="98"/>
      <c r="P7" s="98"/>
      <c r="Q7" s="98"/>
      <c r="R7" s="98"/>
      <c r="S7" s="98"/>
      <c r="T7" s="98"/>
    </row>
    <row r="8" spans="2:20" x14ac:dyDescent="0.2">
      <c r="B8" s="183"/>
      <c r="C8" s="27"/>
      <c r="D8" s="104">
        <f>Input!D23</f>
        <v>6.29</v>
      </c>
      <c r="E8" s="27" t="s">
        <v>8</v>
      </c>
      <c r="F8" s="12">
        <f>D8*$C$7</f>
        <v>314500</v>
      </c>
      <c r="G8" s="26">
        <f t="shared" si="0"/>
        <v>1572500</v>
      </c>
      <c r="H8" s="98"/>
      <c r="I8" s="98"/>
      <c r="J8" s="98"/>
      <c r="K8" s="98"/>
      <c r="L8" s="98"/>
      <c r="M8" s="98"/>
      <c r="N8" s="98"/>
      <c r="O8" s="98"/>
      <c r="P8" s="98"/>
      <c r="Q8" s="98"/>
      <c r="R8" s="98"/>
      <c r="S8" s="98"/>
      <c r="T8" s="98"/>
    </row>
    <row r="9" spans="2:20" x14ac:dyDescent="0.2">
      <c r="B9" s="183"/>
      <c r="C9" s="27"/>
      <c r="D9" s="27"/>
      <c r="E9" s="27" t="s">
        <v>9</v>
      </c>
      <c r="F9" s="105">
        <f>AVERAGE(F7:F8)</f>
        <v>262250</v>
      </c>
      <c r="G9" s="25">
        <f t="shared" si="0"/>
        <v>1311250</v>
      </c>
      <c r="H9" s="98"/>
      <c r="I9" s="5"/>
      <c r="J9" s="102"/>
      <c r="K9" s="99"/>
      <c r="L9" s="100"/>
      <c r="M9" s="101"/>
      <c r="N9" s="98"/>
      <c r="O9" s="98"/>
      <c r="P9" s="98"/>
      <c r="Q9" s="98"/>
      <c r="R9" s="98"/>
      <c r="S9" s="98"/>
      <c r="T9" s="98"/>
    </row>
    <row r="10" spans="2:20" x14ac:dyDescent="0.2">
      <c r="B10" s="115" t="s">
        <v>104</v>
      </c>
      <c r="C10" s="116"/>
      <c r="D10" s="112"/>
      <c r="E10" s="112"/>
      <c r="F10" s="113">
        <f>F3+F6+F9</f>
        <v>4234046</v>
      </c>
      <c r="G10" s="114">
        <f t="shared" si="0"/>
        <v>21170230</v>
      </c>
      <c r="H10" s="98"/>
      <c r="I10" s="5"/>
      <c r="J10" s="102"/>
      <c r="K10" s="99"/>
      <c r="L10" s="100"/>
      <c r="M10" s="101"/>
      <c r="N10" s="98"/>
      <c r="O10" s="98"/>
      <c r="P10" s="98"/>
      <c r="Q10" s="98"/>
      <c r="R10" s="98"/>
      <c r="S10" s="98"/>
      <c r="T10" s="98"/>
    </row>
    <row r="11" spans="2:20" x14ac:dyDescent="0.2">
      <c r="B11" s="3"/>
      <c r="C11" s="3"/>
      <c r="D11" s="3"/>
      <c r="E11" s="3"/>
      <c r="F11" s="1"/>
      <c r="G11" s="1"/>
      <c r="H11" s="98"/>
      <c r="I11" s="5"/>
      <c r="J11" s="102"/>
      <c r="K11" s="99"/>
      <c r="L11" s="100"/>
      <c r="M11" s="101"/>
      <c r="N11" s="98"/>
      <c r="O11" s="98"/>
      <c r="P11" s="98"/>
      <c r="Q11" s="98"/>
      <c r="R11" s="98"/>
      <c r="S11" s="98"/>
      <c r="T11" s="98"/>
    </row>
    <row r="12" spans="2:20" x14ac:dyDescent="0.2">
      <c r="B12" s="128" t="s">
        <v>101</v>
      </c>
      <c r="C12" s="135"/>
      <c r="D12" s="136" t="s">
        <v>11</v>
      </c>
      <c r="E12" s="137" t="s">
        <v>12</v>
      </c>
      <c r="F12" s="138" t="s">
        <v>102</v>
      </c>
      <c r="G12" s="139" t="s">
        <v>103</v>
      </c>
      <c r="H12" s="98"/>
      <c r="I12" s="5"/>
      <c r="J12" s="5"/>
      <c r="K12" s="99"/>
      <c r="L12" s="100"/>
      <c r="M12" s="101"/>
      <c r="N12" s="98"/>
      <c r="O12" s="98"/>
      <c r="P12" s="98"/>
      <c r="Q12" s="98"/>
      <c r="R12" s="98"/>
      <c r="S12" s="98"/>
      <c r="T12" s="98"/>
    </row>
    <row r="13" spans="2:20" x14ac:dyDescent="0.2">
      <c r="B13" s="7" t="s">
        <v>133</v>
      </c>
      <c r="C13" s="27"/>
      <c r="D13" s="27">
        <f>Input!C13</f>
        <v>25</v>
      </c>
      <c r="E13" s="12">
        <f>Input!D13</f>
        <v>95000</v>
      </c>
      <c r="F13" s="12">
        <f>D13*E13</f>
        <v>2375000</v>
      </c>
      <c r="G13" s="26">
        <f>F13*$E$44</f>
        <v>11875000</v>
      </c>
      <c r="H13" s="98"/>
      <c r="I13" s="5"/>
      <c r="J13" s="5"/>
      <c r="K13" s="99"/>
      <c r="L13" s="100"/>
      <c r="M13" s="101"/>
      <c r="N13" s="98"/>
      <c r="O13" s="98"/>
      <c r="P13" s="98"/>
      <c r="Q13" s="98"/>
      <c r="R13" s="98"/>
      <c r="S13" s="98"/>
      <c r="T13" s="98"/>
    </row>
    <row r="14" spans="2:20" x14ac:dyDescent="0.2">
      <c r="B14" s="165" t="s">
        <v>113</v>
      </c>
      <c r="C14" s="162"/>
      <c r="D14" s="162">
        <f>Input!C14</f>
        <v>25</v>
      </c>
      <c r="E14" s="121">
        <f>Input!D14</f>
        <v>15000</v>
      </c>
      <c r="F14" s="121">
        <f t="shared" ref="F14:F15" si="1">D14*E14</f>
        <v>375000</v>
      </c>
      <c r="G14" s="122">
        <f>F14*$E$44</f>
        <v>1875000</v>
      </c>
      <c r="H14" s="98"/>
      <c r="I14" s="5"/>
      <c r="J14" s="5"/>
      <c r="K14" s="99"/>
      <c r="L14" s="100"/>
      <c r="M14" s="101"/>
      <c r="N14" s="98"/>
      <c r="O14" s="98"/>
      <c r="P14" s="98"/>
      <c r="Q14" s="98"/>
      <c r="R14" s="98"/>
      <c r="S14" s="98"/>
      <c r="T14" s="98"/>
    </row>
    <row r="15" spans="2:20" x14ac:dyDescent="0.2">
      <c r="B15" s="7" t="s">
        <v>114</v>
      </c>
      <c r="C15" s="27"/>
      <c r="D15" s="27">
        <f>Input!C15</f>
        <v>25</v>
      </c>
      <c r="E15" s="12">
        <f>Input!D15</f>
        <v>33000</v>
      </c>
      <c r="F15" s="12">
        <f t="shared" si="1"/>
        <v>825000</v>
      </c>
      <c r="G15" s="26">
        <f>F15*$E$44</f>
        <v>4125000</v>
      </c>
      <c r="H15" s="98"/>
      <c r="I15" s="5"/>
      <c r="J15" s="5"/>
      <c r="K15" s="99"/>
      <c r="L15" s="100"/>
      <c r="M15" s="101"/>
      <c r="N15" s="98"/>
      <c r="O15" s="98"/>
      <c r="P15" s="98"/>
      <c r="Q15" s="98"/>
      <c r="R15" s="98"/>
      <c r="S15" s="98"/>
      <c r="T15" s="98"/>
    </row>
    <row r="16" spans="2:20" x14ac:dyDescent="0.2">
      <c r="B16" s="7" t="s">
        <v>13</v>
      </c>
      <c r="C16" s="27"/>
      <c r="D16" s="27"/>
      <c r="E16" s="12"/>
      <c r="F16" s="12">
        <v>1850000</v>
      </c>
      <c r="G16" s="26">
        <f>F16*$E$44</f>
        <v>9250000</v>
      </c>
      <c r="H16" s="98"/>
      <c r="I16" s="5"/>
      <c r="J16" s="5"/>
      <c r="K16" s="99"/>
      <c r="L16" s="100"/>
      <c r="M16" s="101"/>
      <c r="N16" s="98"/>
      <c r="O16" s="98"/>
      <c r="P16" s="98"/>
      <c r="Q16" s="98"/>
      <c r="R16" s="98"/>
      <c r="S16" s="98"/>
      <c r="T16" s="98"/>
    </row>
    <row r="17" spans="2:20" x14ac:dyDescent="0.2">
      <c r="B17" s="106" t="s">
        <v>14</v>
      </c>
      <c r="C17" s="107"/>
      <c r="D17" s="108" t="s">
        <v>15</v>
      </c>
      <c r="E17" s="109" t="s">
        <v>50</v>
      </c>
      <c r="F17" s="110" t="s">
        <v>16</v>
      </c>
      <c r="G17" s="26"/>
      <c r="H17" s="98"/>
      <c r="I17" s="5"/>
      <c r="J17" s="5"/>
      <c r="K17" s="99"/>
      <c r="L17" s="100"/>
      <c r="M17" s="101"/>
      <c r="N17" s="98"/>
      <c r="O17" s="98"/>
      <c r="P17" s="98"/>
      <c r="Q17" s="98"/>
      <c r="R17" s="98"/>
      <c r="S17" s="98"/>
      <c r="T17" s="98"/>
    </row>
    <row r="18" spans="2:20" x14ac:dyDescent="0.2">
      <c r="B18" s="181" t="s">
        <v>108</v>
      </c>
      <c r="C18" s="118" t="s">
        <v>109</v>
      </c>
      <c r="D18" s="119" t="s">
        <v>17</v>
      </c>
      <c r="E18" s="120">
        <v>7.0000000000000007E-2</v>
      </c>
      <c r="F18" s="121">
        <f>E18*F13</f>
        <v>166250.00000000003</v>
      </c>
      <c r="G18" s="122">
        <f t="shared" ref="G18:G28" si="2">F18*$E$44</f>
        <v>831250.00000000012</v>
      </c>
      <c r="H18" s="98"/>
      <c r="I18" s="5"/>
      <c r="J18" s="5"/>
      <c r="K18" s="99"/>
      <c r="L18" s="100"/>
      <c r="M18" s="101"/>
      <c r="N18" s="98"/>
      <c r="O18" s="98"/>
      <c r="P18" s="98"/>
      <c r="Q18" s="98"/>
      <c r="R18" s="98"/>
      <c r="S18" s="98"/>
      <c r="T18" s="98"/>
    </row>
    <row r="19" spans="2:20" x14ac:dyDescent="0.2">
      <c r="B19" s="181"/>
      <c r="C19" s="118"/>
      <c r="D19" s="119" t="s">
        <v>110</v>
      </c>
      <c r="E19" s="120">
        <v>0.01</v>
      </c>
      <c r="F19" s="121">
        <f>E19*F15</f>
        <v>8250</v>
      </c>
      <c r="G19" s="122">
        <f t="shared" si="2"/>
        <v>41250</v>
      </c>
      <c r="H19" s="98"/>
      <c r="I19" s="5"/>
      <c r="J19" s="5"/>
      <c r="K19" s="99"/>
      <c r="L19" s="100"/>
      <c r="M19" s="101"/>
      <c r="N19" s="98"/>
      <c r="O19" s="98"/>
      <c r="P19" s="98"/>
      <c r="Q19" s="98"/>
      <c r="R19" s="98"/>
      <c r="S19" s="98"/>
      <c r="T19" s="98"/>
    </row>
    <row r="20" spans="2:20" x14ac:dyDescent="0.2">
      <c r="B20" s="181"/>
      <c r="C20" s="118" t="s">
        <v>109</v>
      </c>
      <c r="D20" s="119" t="s">
        <v>18</v>
      </c>
      <c r="E20" s="120">
        <v>0.2</v>
      </c>
      <c r="F20" s="121">
        <f>E20*F16</f>
        <v>370000</v>
      </c>
      <c r="G20" s="122">
        <f t="shared" si="2"/>
        <v>1850000</v>
      </c>
      <c r="H20" s="98"/>
      <c r="I20" s="5"/>
      <c r="J20" s="5"/>
      <c r="K20" s="99"/>
      <c r="L20" s="100"/>
      <c r="M20" s="101"/>
      <c r="N20" s="98"/>
      <c r="O20" s="98"/>
      <c r="P20" s="98"/>
      <c r="Q20" s="98"/>
      <c r="R20" s="98"/>
      <c r="S20" s="98"/>
      <c r="T20" s="98"/>
    </row>
    <row r="21" spans="2:20" x14ac:dyDescent="0.2">
      <c r="B21" s="180" t="s">
        <v>111</v>
      </c>
      <c r="C21" s="2" t="s">
        <v>109</v>
      </c>
      <c r="D21" s="99" t="s">
        <v>17</v>
      </c>
      <c r="E21" s="100">
        <v>0.04</v>
      </c>
      <c r="F21" s="12">
        <f>E21*F13</f>
        <v>95000</v>
      </c>
      <c r="G21" s="26">
        <f t="shared" si="2"/>
        <v>475000</v>
      </c>
      <c r="H21" s="98"/>
      <c r="I21" s="5"/>
      <c r="J21" s="5"/>
      <c r="K21" s="99"/>
      <c r="L21" s="100"/>
      <c r="M21" s="101"/>
      <c r="N21" s="98"/>
      <c r="O21" s="98"/>
      <c r="P21" s="98"/>
      <c r="Q21" s="98"/>
      <c r="R21" s="98"/>
      <c r="S21" s="98"/>
      <c r="T21" s="98"/>
    </row>
    <row r="22" spans="2:20" x14ac:dyDescent="0.2">
      <c r="B22" s="180"/>
      <c r="D22" s="99" t="s">
        <v>112</v>
      </c>
      <c r="E22" s="100">
        <v>0.01</v>
      </c>
      <c r="F22" s="12">
        <f>E22*F14</f>
        <v>3750</v>
      </c>
      <c r="G22" s="26">
        <f t="shared" si="2"/>
        <v>18750</v>
      </c>
      <c r="H22" s="98"/>
      <c r="I22" s="5"/>
      <c r="J22" s="5"/>
      <c r="K22" s="99"/>
      <c r="L22" s="100"/>
      <c r="M22" s="101"/>
      <c r="N22" s="98"/>
      <c r="O22" s="98"/>
      <c r="P22" s="98"/>
      <c r="Q22" s="98"/>
      <c r="R22" s="98"/>
      <c r="S22" s="98"/>
      <c r="T22" s="98"/>
    </row>
    <row r="23" spans="2:20" x14ac:dyDescent="0.2">
      <c r="B23" s="180"/>
      <c r="D23" s="99" t="s">
        <v>110</v>
      </c>
      <c r="E23" s="100">
        <v>0.02</v>
      </c>
      <c r="F23" s="12">
        <f>E23*F15</f>
        <v>16500</v>
      </c>
      <c r="G23" s="26">
        <f t="shared" si="2"/>
        <v>82500</v>
      </c>
      <c r="H23" s="98"/>
      <c r="I23" s="5"/>
      <c r="J23" s="5"/>
      <c r="K23" s="99"/>
      <c r="L23" s="100"/>
      <c r="M23" s="101"/>
      <c r="N23" s="98"/>
      <c r="O23" s="98"/>
      <c r="P23" s="98"/>
      <c r="Q23" s="98"/>
      <c r="R23" s="98"/>
      <c r="S23" s="98"/>
      <c r="T23" s="98"/>
    </row>
    <row r="24" spans="2:20" x14ac:dyDescent="0.2">
      <c r="B24" s="180"/>
      <c r="C24" s="2" t="s">
        <v>109</v>
      </c>
      <c r="D24" s="99" t="s">
        <v>18</v>
      </c>
      <c r="E24" s="100">
        <v>0.09</v>
      </c>
      <c r="F24" s="12">
        <f>E24*F16</f>
        <v>166500</v>
      </c>
      <c r="G24" s="26">
        <f t="shared" si="2"/>
        <v>832500</v>
      </c>
      <c r="H24" s="98"/>
      <c r="I24" s="5"/>
      <c r="J24" s="5"/>
      <c r="K24" s="99"/>
      <c r="L24" s="100"/>
      <c r="M24" s="101"/>
      <c r="N24" s="98"/>
      <c r="O24" s="98"/>
      <c r="P24" s="98"/>
      <c r="Q24" s="98"/>
      <c r="R24" s="98"/>
      <c r="S24" s="98"/>
      <c r="T24" s="98"/>
    </row>
    <row r="25" spans="2:20" x14ac:dyDescent="0.2">
      <c r="B25" s="181" t="s">
        <v>134</v>
      </c>
      <c r="C25" s="123"/>
      <c r="D25" s="119" t="s">
        <v>112</v>
      </c>
      <c r="E25" s="120">
        <v>7.0000000000000007E-2</v>
      </c>
      <c r="F25" s="121">
        <f>E25*F14</f>
        <v>26250.000000000004</v>
      </c>
      <c r="G25" s="122">
        <f t="shared" si="2"/>
        <v>131250.00000000003</v>
      </c>
      <c r="H25" s="98"/>
      <c r="I25" s="5"/>
      <c r="J25" s="5"/>
      <c r="K25" s="99"/>
      <c r="L25" s="100"/>
      <c r="M25" s="101"/>
      <c r="N25" s="98"/>
      <c r="O25" s="98"/>
      <c r="P25" s="98"/>
      <c r="Q25" s="98"/>
      <c r="R25" s="98"/>
      <c r="S25" s="98"/>
      <c r="T25" s="98"/>
    </row>
    <row r="26" spans="2:20" x14ac:dyDescent="0.2">
      <c r="B26" s="181"/>
      <c r="C26" s="123"/>
      <c r="D26" s="119" t="s">
        <v>110</v>
      </c>
      <c r="E26" s="120">
        <v>0.03</v>
      </c>
      <c r="F26" s="121">
        <f>E26*F15</f>
        <v>24750</v>
      </c>
      <c r="G26" s="122">
        <f t="shared" si="2"/>
        <v>123750</v>
      </c>
      <c r="H26" s="98"/>
      <c r="I26" s="5"/>
      <c r="J26" s="5"/>
      <c r="K26" s="99"/>
      <c r="L26" s="100"/>
      <c r="M26" s="101"/>
      <c r="N26" s="98"/>
      <c r="O26" s="98"/>
      <c r="P26" s="98"/>
      <c r="Q26" s="98"/>
      <c r="R26" s="98"/>
      <c r="S26" s="98"/>
      <c r="T26" s="98"/>
    </row>
    <row r="27" spans="2:20" x14ac:dyDescent="0.2">
      <c r="B27" s="180" t="s">
        <v>19</v>
      </c>
      <c r="C27" s="2" t="s">
        <v>109</v>
      </c>
      <c r="D27" s="99" t="s">
        <v>112</v>
      </c>
      <c r="E27" s="100">
        <v>0.02</v>
      </c>
      <c r="F27" s="12">
        <f>E27*F14</f>
        <v>7500</v>
      </c>
      <c r="G27" s="26">
        <f t="shared" si="2"/>
        <v>37500</v>
      </c>
      <c r="H27" s="98"/>
      <c r="I27" s="5"/>
      <c r="J27" s="5"/>
      <c r="K27" s="5"/>
      <c r="L27" s="5"/>
      <c r="M27" s="101"/>
      <c r="N27" s="98"/>
      <c r="O27" s="98"/>
      <c r="P27" s="98"/>
      <c r="Q27" s="98"/>
      <c r="R27" s="98"/>
      <c r="S27" s="98"/>
      <c r="T27" s="98"/>
    </row>
    <row r="28" spans="2:20" x14ac:dyDescent="0.2">
      <c r="B28" s="180"/>
      <c r="D28" s="99" t="s">
        <v>110</v>
      </c>
      <c r="E28" s="100">
        <v>5.0000000000000001E-3</v>
      </c>
      <c r="F28" s="12">
        <f>E28*F15</f>
        <v>4125</v>
      </c>
      <c r="G28" s="26">
        <f t="shared" si="2"/>
        <v>20625</v>
      </c>
      <c r="H28" s="98"/>
      <c r="I28" s="5"/>
      <c r="J28" s="5"/>
      <c r="K28" s="5"/>
      <c r="L28" s="5"/>
      <c r="M28" s="101"/>
      <c r="N28" s="98"/>
      <c r="O28" s="98"/>
      <c r="P28" s="98"/>
      <c r="Q28" s="98"/>
      <c r="R28" s="98"/>
      <c r="S28" s="98"/>
      <c r="T28" s="98"/>
    </row>
    <row r="29" spans="2:20" x14ac:dyDescent="0.2">
      <c r="B29" s="180"/>
      <c r="C29" s="2" t="s">
        <v>109</v>
      </c>
      <c r="D29" s="99" t="s">
        <v>18</v>
      </c>
      <c r="E29" s="100">
        <v>0.08</v>
      </c>
      <c r="F29" s="12">
        <f>E29*F16</f>
        <v>148000</v>
      </c>
      <c r="G29" s="26">
        <f t="shared" ref="G29:G34" si="3">F29*$E$44</f>
        <v>740000</v>
      </c>
      <c r="H29" s="98"/>
      <c r="I29" s="5"/>
      <c r="J29" s="5"/>
      <c r="K29" s="5"/>
      <c r="L29" s="5"/>
      <c r="M29" s="101"/>
      <c r="N29" s="98"/>
      <c r="O29" s="98"/>
      <c r="P29" s="98"/>
      <c r="Q29" s="98"/>
      <c r="R29" s="98"/>
      <c r="S29" s="98"/>
      <c r="T29" s="98"/>
    </row>
    <row r="30" spans="2:20" x14ac:dyDescent="0.2">
      <c r="B30" s="124" t="s">
        <v>20</v>
      </c>
      <c r="C30" s="123"/>
      <c r="D30" s="119" t="s">
        <v>18</v>
      </c>
      <c r="E30" s="120">
        <v>7.0000000000000007E-2</v>
      </c>
      <c r="F30" s="121">
        <f>E30*F16</f>
        <v>129500.00000000001</v>
      </c>
      <c r="G30" s="122">
        <f t="shared" si="3"/>
        <v>647500.00000000012</v>
      </c>
      <c r="H30" s="98"/>
      <c r="M30" s="98"/>
      <c r="N30" s="98"/>
      <c r="O30" s="98"/>
      <c r="P30" s="98"/>
      <c r="Q30" s="98"/>
      <c r="R30" s="98"/>
      <c r="S30" s="98"/>
      <c r="T30" s="98"/>
    </row>
    <row r="31" spans="2:20" x14ac:dyDescent="0.2">
      <c r="B31" s="117" t="s">
        <v>21</v>
      </c>
      <c r="D31" s="99" t="s">
        <v>18</v>
      </c>
      <c r="E31" s="100">
        <v>0.04</v>
      </c>
      <c r="F31" s="12">
        <f>E31*F16</f>
        <v>74000</v>
      </c>
      <c r="G31" s="26">
        <f t="shared" si="3"/>
        <v>370000</v>
      </c>
      <c r="H31" s="98"/>
      <c r="M31" s="98"/>
      <c r="N31" s="98"/>
      <c r="O31" s="98"/>
      <c r="P31" s="98"/>
      <c r="Q31" s="98"/>
      <c r="R31" s="98"/>
      <c r="S31" s="98"/>
      <c r="T31" s="98"/>
    </row>
    <row r="32" spans="2:20" x14ac:dyDescent="0.2">
      <c r="B32" s="181" t="s">
        <v>135</v>
      </c>
      <c r="C32" s="123" t="s">
        <v>109</v>
      </c>
      <c r="D32" s="119" t="s">
        <v>17</v>
      </c>
      <c r="E32" s="120">
        <v>0.06</v>
      </c>
      <c r="F32" s="121">
        <f>E32*F13</f>
        <v>142500</v>
      </c>
      <c r="G32" s="122">
        <f t="shared" si="3"/>
        <v>712500</v>
      </c>
      <c r="H32" s="98"/>
      <c r="M32" s="98"/>
      <c r="N32" s="98"/>
      <c r="O32" s="98"/>
      <c r="P32" s="98"/>
      <c r="Q32" s="98"/>
      <c r="R32" s="98"/>
      <c r="S32" s="98"/>
      <c r="T32" s="98"/>
    </row>
    <row r="33" spans="2:20" x14ac:dyDescent="0.2">
      <c r="B33" s="181"/>
      <c r="C33" s="123"/>
      <c r="D33" s="119" t="s">
        <v>112</v>
      </c>
      <c r="E33" s="120">
        <v>0.02</v>
      </c>
      <c r="F33" s="121">
        <f>E33*F14</f>
        <v>7500</v>
      </c>
      <c r="G33" s="122">
        <f t="shared" si="3"/>
        <v>37500</v>
      </c>
      <c r="H33" s="98"/>
      <c r="M33" s="98"/>
      <c r="N33" s="98"/>
      <c r="O33" s="98"/>
      <c r="P33" s="98"/>
      <c r="Q33" s="98"/>
      <c r="R33" s="98"/>
      <c r="S33" s="98"/>
      <c r="T33" s="98"/>
    </row>
    <row r="34" spans="2:20" x14ac:dyDescent="0.2">
      <c r="B34" s="181"/>
      <c r="C34" s="123" t="s">
        <v>109</v>
      </c>
      <c r="D34" s="119" t="s">
        <v>110</v>
      </c>
      <c r="E34" s="120">
        <v>0.03</v>
      </c>
      <c r="F34" s="121">
        <f>E34*F15</f>
        <v>24750</v>
      </c>
      <c r="G34" s="122">
        <f t="shared" si="3"/>
        <v>123750</v>
      </c>
      <c r="H34" s="98"/>
      <c r="M34" s="98"/>
      <c r="N34" s="98"/>
      <c r="O34" s="98"/>
      <c r="P34" s="98"/>
      <c r="Q34" s="98"/>
      <c r="R34" s="98"/>
      <c r="S34" s="98"/>
      <c r="T34" s="98"/>
    </row>
    <row r="35" spans="2:20" x14ac:dyDescent="0.2">
      <c r="B35" s="140" t="s">
        <v>104</v>
      </c>
      <c r="C35" s="27"/>
      <c r="D35" s="5"/>
      <c r="E35" s="27"/>
      <c r="F35" s="105">
        <f>SUM(F18:F34)</f>
        <v>1415125</v>
      </c>
      <c r="G35" s="25">
        <f>F35*$E$44</f>
        <v>7075625</v>
      </c>
      <c r="H35" s="98"/>
      <c r="M35" s="98"/>
      <c r="N35" s="98"/>
      <c r="O35" s="98"/>
      <c r="P35" s="98"/>
      <c r="Q35" s="98"/>
      <c r="R35" s="98"/>
      <c r="S35" s="98"/>
      <c r="T35" s="98"/>
    </row>
    <row r="36" spans="2:20" x14ac:dyDescent="0.2">
      <c r="B36" s="28" t="s">
        <v>22</v>
      </c>
      <c r="C36" s="27"/>
      <c r="D36" s="5"/>
      <c r="E36" s="27"/>
      <c r="F36" s="12">
        <f>F35*2%</f>
        <v>28302.5</v>
      </c>
      <c r="G36" s="26">
        <f>F36*$E$44</f>
        <v>141512.5</v>
      </c>
      <c r="H36" s="98"/>
      <c r="M36" s="98"/>
      <c r="N36" s="98"/>
      <c r="O36" s="98"/>
      <c r="P36" s="98"/>
      <c r="Q36" s="98"/>
      <c r="R36" s="98"/>
      <c r="S36" s="98"/>
      <c r="T36" s="98"/>
    </row>
    <row r="37" spans="2:20" x14ac:dyDescent="0.2">
      <c r="B37" s="28" t="s">
        <v>23</v>
      </c>
      <c r="C37" s="27"/>
      <c r="D37" s="5"/>
      <c r="E37" s="27"/>
      <c r="F37" s="12">
        <f>F35*5%</f>
        <v>70756.25</v>
      </c>
      <c r="G37" s="26">
        <f>F37*$E$44</f>
        <v>353781.25</v>
      </c>
      <c r="H37" s="98"/>
      <c r="M37" s="98"/>
      <c r="N37" s="98"/>
      <c r="O37" s="98"/>
      <c r="P37" s="98"/>
      <c r="Q37" s="98"/>
      <c r="R37" s="98"/>
      <c r="S37" s="98"/>
      <c r="T37" s="98"/>
    </row>
    <row r="38" spans="2:20" x14ac:dyDescent="0.2">
      <c r="B38" s="111" t="s">
        <v>24</v>
      </c>
      <c r="C38" s="112"/>
      <c r="D38" s="112"/>
      <c r="E38" s="112"/>
      <c r="F38" s="113">
        <f>AVERAGE(F36:F37)</f>
        <v>49529.375</v>
      </c>
      <c r="G38" s="114">
        <f>F38*$E$44</f>
        <v>247646.875</v>
      </c>
      <c r="H38" s="98"/>
      <c r="M38" s="98"/>
      <c r="N38" s="98"/>
      <c r="O38" s="98"/>
      <c r="P38" s="98"/>
      <c r="Q38" s="98"/>
      <c r="R38" s="98"/>
      <c r="S38" s="98"/>
      <c r="T38" s="98"/>
    </row>
    <row r="39" spans="2:20" x14ac:dyDescent="0.2">
      <c r="G39" s="2"/>
      <c r="H39" s="98"/>
      <c r="I39" s="98"/>
      <c r="J39" s="98"/>
      <c r="K39" s="98"/>
      <c r="L39" s="98"/>
      <c r="M39" s="98"/>
      <c r="N39" s="98"/>
      <c r="O39" s="98"/>
      <c r="P39" s="98"/>
      <c r="Q39" s="98"/>
      <c r="R39" s="98"/>
      <c r="S39" s="98"/>
      <c r="T39" s="98"/>
    </row>
    <row r="40" spans="2:20" ht="14" customHeight="1" x14ac:dyDescent="0.2">
      <c r="B40" s="128" t="s">
        <v>85</v>
      </c>
      <c r="C40" s="125"/>
      <c r="D40" s="126" t="s">
        <v>32</v>
      </c>
      <c r="E40" s="126" t="s">
        <v>26</v>
      </c>
      <c r="F40" s="127" t="s">
        <v>98</v>
      </c>
      <c r="G40" s="129" t="s">
        <v>99</v>
      </c>
      <c r="H40" s="98"/>
      <c r="I40" s="98"/>
      <c r="J40" s="98"/>
      <c r="K40" s="98"/>
      <c r="L40" s="98"/>
      <c r="M40" s="98"/>
      <c r="N40" s="98"/>
      <c r="O40" s="98"/>
      <c r="P40" s="98"/>
      <c r="Q40" s="98"/>
      <c r="R40" s="98"/>
      <c r="S40" s="98"/>
      <c r="T40" s="98"/>
    </row>
    <row r="41" spans="2:20" x14ac:dyDescent="0.2">
      <c r="B41" s="8" t="s">
        <v>86</v>
      </c>
      <c r="C41" s="6"/>
      <c r="D41" s="5"/>
      <c r="E41" s="5"/>
      <c r="F41" s="5"/>
      <c r="G41" s="9"/>
      <c r="H41" s="98"/>
      <c r="I41" s="98"/>
      <c r="J41" s="98"/>
      <c r="K41" s="98"/>
      <c r="L41" s="98"/>
      <c r="M41" s="98"/>
      <c r="N41" s="98"/>
      <c r="O41" s="98"/>
      <c r="P41" s="98"/>
      <c r="Q41" s="98"/>
      <c r="R41" s="98"/>
      <c r="S41" s="98"/>
      <c r="T41" s="98"/>
    </row>
    <row r="42" spans="2:20" x14ac:dyDescent="0.2">
      <c r="B42" s="7" t="s">
        <v>25</v>
      </c>
      <c r="C42" s="5"/>
      <c r="D42" s="11">
        <f>-60000/227</f>
        <v>-264.31718061674007</v>
      </c>
      <c r="E42" s="5">
        <f>Input!C26</f>
        <v>40</v>
      </c>
      <c r="F42" s="166">
        <f>D42*E42</f>
        <v>-10572.687224669604</v>
      </c>
      <c r="G42" s="167"/>
      <c r="H42" s="98"/>
      <c r="I42" s="98"/>
      <c r="J42" s="98"/>
      <c r="K42" s="98"/>
      <c r="L42" s="98"/>
      <c r="M42" s="98"/>
      <c r="N42" s="98"/>
      <c r="O42" s="98"/>
      <c r="P42" s="98"/>
      <c r="Q42" s="98"/>
      <c r="R42" s="98"/>
      <c r="S42" s="98"/>
      <c r="T42" s="98"/>
    </row>
    <row r="43" spans="2:20" x14ac:dyDescent="0.2">
      <c r="B43" s="168" t="s">
        <v>143</v>
      </c>
      <c r="C43" s="169"/>
      <c r="D43" s="169"/>
      <c r="E43" s="169">
        <f>Input!C27</f>
        <v>4</v>
      </c>
      <c r="F43" s="169"/>
      <c r="G43" s="170">
        <f>F42*$E$43</f>
        <v>-42290.748898678416</v>
      </c>
      <c r="H43" s="98"/>
      <c r="I43" s="98"/>
      <c r="J43" s="98"/>
      <c r="K43" s="98"/>
      <c r="L43" s="98"/>
      <c r="M43" s="98"/>
      <c r="N43" s="98"/>
      <c r="O43" s="98"/>
      <c r="P43" s="98"/>
      <c r="Q43" s="98"/>
      <c r="R43" s="98"/>
      <c r="S43" s="98"/>
      <c r="T43" s="98"/>
    </row>
    <row r="44" spans="2:20" x14ac:dyDescent="0.2">
      <c r="B44" s="63" t="s">
        <v>144</v>
      </c>
      <c r="C44" s="64"/>
      <c r="D44" s="64"/>
      <c r="E44" s="64">
        <f>Input!C29</f>
        <v>5</v>
      </c>
      <c r="F44" s="23">
        <f>G43/$E$44</f>
        <v>-8458.1497797356824</v>
      </c>
      <c r="G44" s="171"/>
      <c r="H44" s="98"/>
      <c r="I44" s="98"/>
      <c r="J44" s="98"/>
      <c r="K44" s="98"/>
      <c r="L44" s="98"/>
      <c r="M44" s="98"/>
      <c r="N44" s="98"/>
      <c r="O44" s="98"/>
      <c r="P44" s="98"/>
      <c r="Q44" s="98"/>
      <c r="R44" s="98"/>
      <c r="S44" s="98"/>
      <c r="T44" s="98"/>
    </row>
    <row r="45" spans="2:20" x14ac:dyDescent="0.2">
      <c r="B45" s="13"/>
      <c r="C45" s="13"/>
      <c r="D45" s="13"/>
      <c r="E45" s="13"/>
      <c r="F45" s="14"/>
      <c r="G45" s="14"/>
      <c r="H45" s="98"/>
      <c r="I45" s="98"/>
      <c r="J45" s="98"/>
      <c r="K45" s="98"/>
      <c r="L45" s="98"/>
      <c r="M45" s="98"/>
      <c r="N45" s="98"/>
      <c r="O45" s="98"/>
      <c r="P45" s="98"/>
      <c r="Q45" s="98"/>
      <c r="R45" s="98"/>
      <c r="S45" s="98"/>
      <c r="T45" s="98"/>
    </row>
    <row r="46" spans="2:20" x14ac:dyDescent="0.2">
      <c r="B46" s="15" t="s">
        <v>88</v>
      </c>
      <c r="C46" s="16"/>
      <c r="D46" s="17"/>
      <c r="E46" s="17"/>
      <c r="F46" s="18"/>
      <c r="G46" s="19"/>
      <c r="H46" s="98"/>
      <c r="I46" s="98"/>
      <c r="J46" s="98"/>
      <c r="K46" s="98"/>
      <c r="L46" s="98"/>
      <c r="M46" s="98"/>
      <c r="N46" s="98"/>
      <c r="O46" s="98"/>
      <c r="P46" s="98"/>
      <c r="Q46" s="98"/>
      <c r="R46" s="98"/>
      <c r="S46" s="98"/>
      <c r="T46" s="98"/>
    </row>
    <row r="47" spans="2:20" x14ac:dyDescent="0.2">
      <c r="B47" s="63" t="s">
        <v>139</v>
      </c>
      <c r="C47" s="64"/>
      <c r="D47" s="64"/>
      <c r="E47" s="64">
        <f>Input!C7</f>
        <v>173</v>
      </c>
      <c r="F47" s="23">
        <f>F44*$E$47</f>
        <v>-1463259.911894273</v>
      </c>
      <c r="G47" s="24">
        <f>G43*E47</f>
        <v>-7316299.559471366</v>
      </c>
      <c r="H47" s="98"/>
      <c r="I47" s="98"/>
      <c r="J47" s="98"/>
      <c r="K47" s="98"/>
      <c r="L47" s="98"/>
      <c r="M47" s="98"/>
      <c r="N47" s="98"/>
      <c r="O47" s="98"/>
      <c r="P47" s="98"/>
      <c r="Q47" s="98"/>
      <c r="R47" s="98"/>
      <c r="S47" s="98"/>
      <c r="T47" s="98"/>
    </row>
    <row r="48" spans="2:20" x14ac:dyDescent="0.2">
      <c r="B48" s="13"/>
      <c r="C48" s="13"/>
      <c r="D48" s="20"/>
      <c r="E48" s="20"/>
      <c r="F48" s="21"/>
      <c r="G48" s="21"/>
      <c r="H48" s="98"/>
      <c r="I48" s="98"/>
      <c r="J48" s="98"/>
      <c r="K48" s="98"/>
      <c r="L48" s="98"/>
      <c r="M48" s="98"/>
      <c r="N48" s="98"/>
      <c r="O48" s="98"/>
      <c r="P48" s="98"/>
      <c r="Q48" s="98"/>
      <c r="R48" s="98"/>
      <c r="S48" s="98"/>
      <c r="T48" s="98"/>
    </row>
    <row r="49" spans="2:20" x14ac:dyDescent="0.2">
      <c r="B49" s="15" t="s">
        <v>87</v>
      </c>
      <c r="C49" s="16"/>
      <c r="D49" s="17"/>
      <c r="E49" s="17"/>
      <c r="F49" s="18"/>
      <c r="G49" s="19"/>
      <c r="H49" s="98"/>
      <c r="I49" s="98"/>
      <c r="J49" s="98"/>
      <c r="K49" s="98"/>
      <c r="L49" s="98"/>
      <c r="M49" s="98"/>
      <c r="N49" s="98"/>
      <c r="O49" s="98"/>
      <c r="P49" s="98"/>
      <c r="Q49" s="98"/>
      <c r="R49" s="98"/>
      <c r="S49" s="98"/>
      <c r="T49" s="98"/>
    </row>
    <row r="50" spans="2:20" x14ac:dyDescent="0.2">
      <c r="B50" s="63" t="s">
        <v>89</v>
      </c>
      <c r="C50" s="64"/>
      <c r="D50" s="64"/>
      <c r="E50" s="64">
        <f>Input!C28</f>
        <v>2</v>
      </c>
      <c r="F50" s="23">
        <f>G50/E44</f>
        <v>-4229.0748898678412</v>
      </c>
      <c r="G50" s="24">
        <f>F42*$E$50</f>
        <v>-21145.374449339208</v>
      </c>
      <c r="H50" s="98"/>
      <c r="I50" s="98"/>
      <c r="J50" s="98"/>
      <c r="K50" s="98"/>
      <c r="L50" s="98"/>
      <c r="M50" s="98"/>
      <c r="N50" s="98"/>
      <c r="O50" s="98"/>
      <c r="P50" s="98"/>
      <c r="Q50" s="98"/>
      <c r="R50" s="98"/>
      <c r="S50" s="98"/>
      <c r="T50" s="98"/>
    </row>
    <row r="51" spans="2:20" x14ac:dyDescent="0.2">
      <c r="B51" s="13"/>
      <c r="C51" s="13"/>
      <c r="D51" s="13"/>
      <c r="E51" s="13"/>
      <c r="F51" s="14"/>
      <c r="G51" s="22"/>
      <c r="H51" s="98"/>
      <c r="I51" s="98"/>
      <c r="J51" s="98"/>
      <c r="K51" s="98"/>
      <c r="L51" s="98"/>
      <c r="M51" s="98"/>
      <c r="N51" s="98"/>
      <c r="O51" s="98"/>
      <c r="P51" s="98"/>
      <c r="Q51" s="98"/>
      <c r="R51" s="98"/>
      <c r="S51" s="98"/>
      <c r="T51" s="98"/>
    </row>
    <row r="52" spans="2:20" x14ac:dyDescent="0.2">
      <c r="B52" s="15" t="s">
        <v>137</v>
      </c>
      <c r="C52" s="16"/>
      <c r="D52" s="17"/>
      <c r="E52" s="17"/>
      <c r="F52" s="18"/>
      <c r="G52" s="19"/>
      <c r="H52" s="98"/>
      <c r="I52" s="98"/>
      <c r="J52" s="98"/>
      <c r="K52" s="98"/>
      <c r="L52" s="98"/>
      <c r="M52" s="98"/>
      <c r="N52" s="98"/>
      <c r="O52" s="98"/>
      <c r="P52" s="98"/>
      <c r="Q52" s="98"/>
      <c r="R52" s="98"/>
      <c r="S52" s="98"/>
      <c r="T52" s="98"/>
    </row>
    <row r="53" spans="2:20" ht="14" customHeight="1" x14ac:dyDescent="0.2">
      <c r="B53" s="63" t="s">
        <v>138</v>
      </c>
      <c r="C53" s="64"/>
      <c r="D53" s="64"/>
      <c r="E53" s="64">
        <f>E47</f>
        <v>173</v>
      </c>
      <c r="F53" s="23">
        <f>F50*$E$53</f>
        <v>-731629.95594713651</v>
      </c>
      <c r="G53" s="24">
        <f>G50*$E$53</f>
        <v>-3658149.779735683</v>
      </c>
      <c r="H53" s="98"/>
      <c r="I53" s="98"/>
      <c r="J53" s="98"/>
      <c r="K53" s="98"/>
      <c r="L53" s="98"/>
      <c r="M53" s="98"/>
      <c r="N53" s="98"/>
      <c r="O53" s="98"/>
      <c r="P53" s="98"/>
      <c r="Q53" s="98"/>
      <c r="R53" s="98"/>
      <c r="S53" s="98"/>
      <c r="T53" s="98"/>
    </row>
    <row r="54" spans="2:20" x14ac:dyDescent="0.2">
      <c r="B54" s="13"/>
      <c r="C54" s="13"/>
      <c r="D54" s="13"/>
      <c r="E54" s="13"/>
      <c r="F54" s="14"/>
      <c r="G54" s="21"/>
      <c r="H54" s="98"/>
      <c r="I54" s="98"/>
      <c r="J54" s="98"/>
      <c r="K54" s="98"/>
      <c r="L54" s="98"/>
      <c r="M54" s="98"/>
      <c r="N54" s="98"/>
      <c r="O54" s="98"/>
      <c r="P54" s="98"/>
      <c r="Q54" s="98"/>
      <c r="R54" s="98"/>
      <c r="S54" s="98"/>
      <c r="T54" s="98"/>
    </row>
    <row r="55" spans="2:20" x14ac:dyDescent="0.2">
      <c r="B55" s="15" t="s">
        <v>90</v>
      </c>
      <c r="C55" s="16"/>
      <c r="D55" s="17"/>
      <c r="E55" s="17"/>
      <c r="F55" s="18"/>
      <c r="G55" s="19"/>
      <c r="H55" s="98"/>
      <c r="I55" s="98"/>
      <c r="J55" s="98"/>
      <c r="K55" s="98"/>
      <c r="L55" s="98"/>
      <c r="M55" s="98"/>
      <c r="N55" s="98"/>
      <c r="O55" s="98"/>
      <c r="P55" s="98"/>
      <c r="Q55" s="98"/>
      <c r="R55" s="98"/>
      <c r="S55" s="98"/>
      <c r="T55" s="98"/>
    </row>
    <row r="56" spans="2:20" x14ac:dyDescent="0.2">
      <c r="B56" s="63" t="s">
        <v>136</v>
      </c>
      <c r="C56" s="64"/>
      <c r="D56" s="64"/>
      <c r="E56" s="64"/>
      <c r="F56" s="23">
        <f>G56/$E$44</f>
        <v>-552999.58596960001</v>
      </c>
      <c r="G56" s="24">
        <f>-'Consortium cost model'!K20</f>
        <v>-2764997.9298479999</v>
      </c>
      <c r="H56" s="98"/>
      <c r="I56" s="98"/>
      <c r="J56" s="98"/>
      <c r="K56" s="98"/>
      <c r="L56" s="98"/>
      <c r="M56" s="98"/>
      <c r="N56" s="98"/>
      <c r="O56" s="98"/>
      <c r="P56" s="98"/>
      <c r="Q56" s="98"/>
      <c r="R56" s="98"/>
      <c r="S56" s="98"/>
      <c r="T56" s="98"/>
    </row>
    <row r="57" spans="2:20" x14ac:dyDescent="0.2">
      <c r="B57" s="13"/>
      <c r="C57" s="13"/>
      <c r="D57" s="13"/>
      <c r="E57" s="13"/>
      <c r="F57" s="14"/>
      <c r="G57" s="14"/>
      <c r="H57" s="98"/>
      <c r="I57" s="98"/>
      <c r="J57" s="98"/>
      <c r="K57" s="98"/>
      <c r="L57" s="98"/>
      <c r="M57" s="98"/>
      <c r="N57" s="98"/>
      <c r="O57" s="98"/>
      <c r="P57" s="98"/>
      <c r="Q57" s="98"/>
      <c r="R57" s="98"/>
      <c r="S57" s="98"/>
      <c r="T57" s="98"/>
    </row>
    <row r="58" spans="2:20" x14ac:dyDescent="0.2">
      <c r="E58" s="4"/>
      <c r="G58" s="2"/>
      <c r="H58" s="98"/>
      <c r="I58" s="98"/>
      <c r="J58" s="98"/>
      <c r="K58" s="98"/>
      <c r="L58" s="98"/>
      <c r="M58" s="98"/>
      <c r="N58" s="98"/>
      <c r="O58" s="98"/>
      <c r="P58" s="98"/>
      <c r="Q58" s="98"/>
      <c r="R58" s="98"/>
      <c r="S58" s="98"/>
      <c r="T58" s="98"/>
    </row>
    <row r="59" spans="2:20" x14ac:dyDescent="0.2">
      <c r="E59" s="4"/>
      <c r="G59" s="2"/>
      <c r="H59" s="98"/>
      <c r="M59" s="98"/>
      <c r="N59" s="98"/>
      <c r="O59" s="98"/>
      <c r="P59" s="98"/>
      <c r="Q59" s="98"/>
      <c r="R59" s="98"/>
      <c r="S59" s="98"/>
      <c r="T59" s="98"/>
    </row>
    <row r="60" spans="2:20" x14ac:dyDescent="0.2">
      <c r="E60" s="4"/>
      <c r="G60" s="2"/>
      <c r="H60" s="98"/>
      <c r="M60" s="98"/>
      <c r="N60" s="98"/>
      <c r="O60" s="98"/>
      <c r="P60" s="98"/>
      <c r="Q60" s="98"/>
      <c r="R60" s="98"/>
      <c r="S60" s="98"/>
      <c r="T60" s="98"/>
    </row>
    <row r="61" spans="2:20" x14ac:dyDescent="0.2">
      <c r="E61" s="4"/>
      <c r="G61" s="2"/>
      <c r="H61" s="98"/>
      <c r="M61" s="98"/>
      <c r="N61" s="98"/>
      <c r="O61" s="98"/>
      <c r="P61" s="98"/>
      <c r="Q61" s="98"/>
      <c r="R61" s="98"/>
      <c r="S61" s="98"/>
      <c r="T61" s="98"/>
    </row>
    <row r="62" spans="2:20" x14ac:dyDescent="0.2">
      <c r="G62" s="2"/>
      <c r="H62" s="98"/>
      <c r="M62" s="98"/>
      <c r="N62" s="98"/>
      <c r="O62" s="98"/>
      <c r="P62" s="98"/>
      <c r="Q62" s="98"/>
      <c r="R62" s="98"/>
      <c r="S62" s="98"/>
      <c r="T62" s="98"/>
    </row>
    <row r="63" spans="2:20" x14ac:dyDescent="0.2">
      <c r="H63" s="98"/>
      <c r="M63" s="98"/>
      <c r="N63" s="98"/>
      <c r="O63" s="98"/>
      <c r="P63" s="98"/>
      <c r="Q63" s="98"/>
      <c r="R63" s="98"/>
      <c r="S63" s="98"/>
      <c r="T63" s="98"/>
    </row>
  </sheetData>
  <mergeCells count="7">
    <mergeCell ref="B27:B29"/>
    <mergeCell ref="B32:B34"/>
    <mergeCell ref="B4:B6"/>
    <mergeCell ref="B7:B9"/>
    <mergeCell ref="B18:B20"/>
    <mergeCell ref="B21:B24"/>
    <mergeCell ref="B25:B26"/>
  </mergeCells>
  <pageMargins left="0.7" right="0.7" top="0.75" bottom="0.75" header="0.3" footer="0.3"/>
  <pageSetup paperSize="9" orientation="portrait" horizontalDpi="0" verticalDpi="0"/>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A7BCD0B-94C0-FD4F-AF6B-AA4FB2F0389C}">
  <dimension ref="B1:K20"/>
  <sheetViews>
    <sheetView showGridLines="0" zoomScaleNormal="100" workbookViewId="0"/>
  </sheetViews>
  <sheetFormatPr baseColWidth="10" defaultColWidth="11" defaultRowHeight="16" x14ac:dyDescent="0.2"/>
  <cols>
    <col min="1" max="1" width="5" customWidth="1"/>
    <col min="2" max="2" width="44.83203125" customWidth="1"/>
    <col min="4" max="4" width="11.1640625" customWidth="1"/>
    <col min="5" max="5" width="11" customWidth="1"/>
    <col min="12" max="12" width="15.1640625" bestFit="1" customWidth="1"/>
  </cols>
  <sheetData>
    <row r="1" spans="2:11" ht="30" customHeight="1" x14ac:dyDescent="0.2"/>
    <row r="2" spans="2:11" ht="34" x14ac:dyDescent="0.2">
      <c r="B2" s="91" t="s">
        <v>33</v>
      </c>
      <c r="C2" s="76" t="s">
        <v>34</v>
      </c>
      <c r="D2" s="76" t="s">
        <v>25</v>
      </c>
      <c r="E2" s="92" t="s">
        <v>37</v>
      </c>
      <c r="F2" s="76" t="s">
        <v>38</v>
      </c>
      <c r="G2" s="76" t="s">
        <v>39</v>
      </c>
      <c r="H2" s="76" t="s">
        <v>40</v>
      </c>
      <c r="I2" s="76" t="s">
        <v>41</v>
      </c>
      <c r="J2" s="76" t="s">
        <v>42</v>
      </c>
      <c r="K2" s="93" t="s">
        <v>35</v>
      </c>
    </row>
    <row r="3" spans="2:11" x14ac:dyDescent="0.2">
      <c r="B3" s="10" t="s">
        <v>36</v>
      </c>
      <c r="C3" s="35">
        <v>1</v>
      </c>
      <c r="D3" s="65">
        <v>60000</v>
      </c>
      <c r="E3" s="35">
        <v>2</v>
      </c>
      <c r="F3" s="65">
        <f>C3*D3*E3</f>
        <v>120000</v>
      </c>
      <c r="G3" s="65">
        <f>F3*1.03</f>
        <v>123600</v>
      </c>
      <c r="H3" s="65">
        <f t="shared" ref="H3:J3" si="0">G3*1.03</f>
        <v>127308</v>
      </c>
      <c r="I3" s="65">
        <f t="shared" si="0"/>
        <v>131127.24</v>
      </c>
      <c r="J3" s="65">
        <f t="shared" si="0"/>
        <v>135061.05719999998</v>
      </c>
      <c r="K3" s="66">
        <f>SUM(F3:J3)</f>
        <v>637096.29719999991</v>
      </c>
    </row>
    <row r="4" spans="2:11" x14ac:dyDescent="0.2">
      <c r="B4" s="10" t="s">
        <v>49</v>
      </c>
      <c r="C4" s="35">
        <v>3</v>
      </c>
      <c r="D4" s="65">
        <v>40000</v>
      </c>
      <c r="E4" s="35">
        <v>2</v>
      </c>
      <c r="F4" s="65">
        <f t="shared" ref="F4:F5" si="1">C4*D4*E4</f>
        <v>240000</v>
      </c>
      <c r="G4" s="65">
        <f t="shared" ref="G4:J5" si="2">F4*1.03</f>
        <v>247200</v>
      </c>
      <c r="H4" s="65">
        <f t="shared" si="2"/>
        <v>254616</v>
      </c>
      <c r="I4" s="65">
        <f t="shared" si="2"/>
        <v>262254.48</v>
      </c>
      <c r="J4" s="65">
        <f t="shared" si="2"/>
        <v>270122.11439999996</v>
      </c>
      <c r="K4" s="66">
        <f t="shared" ref="K4:K19" si="3">SUM(F4:J4)</f>
        <v>1274192.5943999998</v>
      </c>
    </row>
    <row r="5" spans="2:11" x14ac:dyDescent="0.2">
      <c r="B5" s="10" t="s">
        <v>46</v>
      </c>
      <c r="C5" s="35">
        <v>2</v>
      </c>
      <c r="D5" s="65">
        <v>35000</v>
      </c>
      <c r="E5" s="35">
        <v>2</v>
      </c>
      <c r="F5" s="65">
        <f t="shared" si="1"/>
        <v>140000</v>
      </c>
      <c r="G5" s="65">
        <f>F5*1.03</f>
        <v>144200</v>
      </c>
      <c r="H5" s="65">
        <f t="shared" si="2"/>
        <v>148526</v>
      </c>
      <c r="I5" s="65">
        <f t="shared" si="2"/>
        <v>152981.78</v>
      </c>
      <c r="J5" s="65">
        <f t="shared" si="2"/>
        <v>157571.2334</v>
      </c>
      <c r="K5" s="66">
        <f t="shared" si="3"/>
        <v>743279.01340000005</v>
      </c>
    </row>
    <row r="6" spans="2:11" x14ac:dyDescent="0.2">
      <c r="B6" s="10"/>
      <c r="C6" s="35"/>
      <c r="D6" s="35"/>
      <c r="E6" s="35"/>
      <c r="F6" s="65"/>
      <c r="G6" s="65"/>
      <c r="H6" s="65"/>
      <c r="I6" s="65"/>
      <c r="J6" s="65"/>
      <c r="K6" s="66"/>
    </row>
    <row r="7" spans="2:11" x14ac:dyDescent="0.2">
      <c r="B7" s="67" t="s">
        <v>48</v>
      </c>
      <c r="C7" s="68">
        <f>SUM(C3:C5)</f>
        <v>6</v>
      </c>
      <c r="D7" s="68"/>
      <c r="E7" s="68"/>
      <c r="F7" s="69">
        <f>SUM(F3:F5)</f>
        <v>500000</v>
      </c>
      <c r="G7" s="69">
        <f t="shared" ref="G7:J7" si="4">SUM(G3:G5)</f>
        <v>515000</v>
      </c>
      <c r="H7" s="69">
        <f t="shared" si="4"/>
        <v>530450</v>
      </c>
      <c r="I7" s="69">
        <f t="shared" si="4"/>
        <v>546363.5</v>
      </c>
      <c r="J7" s="69">
        <f t="shared" si="4"/>
        <v>562754.40499999991</v>
      </c>
      <c r="K7" s="70">
        <f t="shared" si="3"/>
        <v>2654567.9049999998</v>
      </c>
    </row>
    <row r="8" spans="2:11" x14ac:dyDescent="0.2">
      <c r="B8" s="10"/>
      <c r="C8" s="35"/>
      <c r="D8" s="35"/>
      <c r="E8" s="35"/>
      <c r="F8" s="65"/>
      <c r="G8" s="65"/>
      <c r="H8" s="65"/>
      <c r="I8" s="65"/>
      <c r="J8" s="65"/>
      <c r="K8" s="66"/>
    </row>
    <row r="9" spans="2:11" x14ac:dyDescent="0.2">
      <c r="B9" s="71" t="s">
        <v>31</v>
      </c>
      <c r="C9" s="35"/>
      <c r="D9" s="35"/>
      <c r="E9" s="35"/>
      <c r="F9" s="65"/>
      <c r="G9" s="65"/>
      <c r="H9" s="65"/>
      <c r="I9" s="65"/>
      <c r="J9" s="65"/>
      <c r="K9" s="66"/>
    </row>
    <row r="10" spans="2:11" x14ac:dyDescent="0.2">
      <c r="B10" s="72" t="s">
        <v>30</v>
      </c>
      <c r="C10" s="35"/>
      <c r="D10" s="35"/>
      <c r="E10" s="35"/>
      <c r="F10" s="73">
        <v>1800</v>
      </c>
      <c r="G10" s="65">
        <f>F10*1.03</f>
        <v>1854</v>
      </c>
      <c r="H10" s="65">
        <f t="shared" ref="H10:J10" si="5">G10*1.03</f>
        <v>1909.6200000000001</v>
      </c>
      <c r="I10" s="65">
        <f t="shared" si="5"/>
        <v>1966.9086000000002</v>
      </c>
      <c r="J10" s="65">
        <f t="shared" si="5"/>
        <v>2025.9158580000003</v>
      </c>
      <c r="K10" s="66">
        <f t="shared" si="3"/>
        <v>9556.4444579999999</v>
      </c>
    </row>
    <row r="11" spans="2:11" x14ac:dyDescent="0.2">
      <c r="B11" s="72" t="s">
        <v>29</v>
      </c>
      <c r="C11" s="35"/>
      <c r="D11" s="35"/>
      <c r="E11" s="35"/>
      <c r="F11" s="73">
        <v>3500</v>
      </c>
      <c r="G11" s="65">
        <f>F11*1.03</f>
        <v>3605</v>
      </c>
      <c r="H11" s="65">
        <f t="shared" ref="H11:J11" si="6">G11*1.03</f>
        <v>3713.15</v>
      </c>
      <c r="I11" s="65">
        <f t="shared" si="6"/>
        <v>3824.5445</v>
      </c>
      <c r="J11" s="65">
        <f t="shared" si="6"/>
        <v>3939.280835</v>
      </c>
      <c r="K11" s="66">
        <f t="shared" si="3"/>
        <v>18581.975334999999</v>
      </c>
    </row>
    <row r="12" spans="2:11" x14ac:dyDescent="0.2">
      <c r="B12" s="10"/>
      <c r="C12" s="35"/>
      <c r="D12" s="35"/>
      <c r="E12" s="35"/>
      <c r="F12" s="65"/>
      <c r="G12" s="65"/>
      <c r="H12" s="65"/>
      <c r="I12" s="65"/>
      <c r="J12" s="65"/>
      <c r="K12" s="66"/>
    </row>
    <row r="13" spans="2:11" x14ac:dyDescent="0.2">
      <c r="B13" s="67" t="s">
        <v>43</v>
      </c>
      <c r="C13" s="35"/>
      <c r="D13" s="35"/>
      <c r="E13" s="35"/>
      <c r="F13" s="65"/>
      <c r="G13" s="65"/>
      <c r="H13" s="65"/>
      <c r="I13" s="65"/>
      <c r="J13" s="65"/>
      <c r="K13" s="66"/>
    </row>
    <row r="14" spans="2:11" x14ac:dyDescent="0.2">
      <c r="B14" s="72" t="s">
        <v>28</v>
      </c>
      <c r="C14" s="35"/>
      <c r="D14" s="35"/>
      <c r="E14" s="35"/>
      <c r="F14" s="73">
        <v>3000</v>
      </c>
      <c r="G14" s="65">
        <f>F14*1.03</f>
        <v>3090</v>
      </c>
      <c r="H14" s="65">
        <f t="shared" ref="H14:J14" si="7">G14*1.03</f>
        <v>3182.7000000000003</v>
      </c>
      <c r="I14" s="65">
        <f t="shared" si="7"/>
        <v>3278.1810000000005</v>
      </c>
      <c r="J14" s="65">
        <f t="shared" si="7"/>
        <v>3376.5264300000008</v>
      </c>
      <c r="K14" s="66">
        <f t="shared" si="3"/>
        <v>15927.407430000003</v>
      </c>
    </row>
    <row r="15" spans="2:11" x14ac:dyDescent="0.2">
      <c r="B15" s="72" t="s">
        <v>47</v>
      </c>
      <c r="C15" s="35"/>
      <c r="D15" s="35"/>
      <c r="E15" s="35"/>
      <c r="F15" s="73">
        <v>11000</v>
      </c>
      <c r="G15" s="65">
        <f>F15*1.03</f>
        <v>11330</v>
      </c>
      <c r="H15" s="65">
        <f t="shared" ref="H15:J15" si="8">G15*1.03</f>
        <v>11669.9</v>
      </c>
      <c r="I15" s="65">
        <f t="shared" si="8"/>
        <v>12019.996999999999</v>
      </c>
      <c r="J15" s="65">
        <f t="shared" si="8"/>
        <v>12380.59691</v>
      </c>
      <c r="K15" s="66">
        <f t="shared" si="3"/>
        <v>58400.493909999997</v>
      </c>
    </row>
    <row r="16" spans="2:11" x14ac:dyDescent="0.2">
      <c r="B16" s="72" t="s">
        <v>27</v>
      </c>
      <c r="C16" s="35"/>
      <c r="D16" s="35"/>
      <c r="E16" s="35"/>
      <c r="F16" s="73">
        <v>1500</v>
      </c>
      <c r="G16" s="65">
        <f>F16*1.03</f>
        <v>1545</v>
      </c>
      <c r="H16" s="65">
        <f t="shared" ref="H16:J16" si="9">G16*1.03</f>
        <v>1591.3500000000001</v>
      </c>
      <c r="I16" s="65">
        <f t="shared" si="9"/>
        <v>1639.0905000000002</v>
      </c>
      <c r="J16" s="65">
        <f t="shared" si="9"/>
        <v>1688.2632150000004</v>
      </c>
      <c r="K16" s="66">
        <f t="shared" si="3"/>
        <v>7963.7037150000015</v>
      </c>
    </row>
    <row r="17" spans="2:11" x14ac:dyDescent="0.2">
      <c r="B17" s="10"/>
      <c r="C17" s="35"/>
      <c r="D17" s="35"/>
      <c r="E17" s="35"/>
      <c r="F17" s="65"/>
      <c r="G17" s="65"/>
      <c r="H17" s="65"/>
      <c r="I17" s="65"/>
      <c r="J17" s="65"/>
      <c r="K17" s="66"/>
    </row>
    <row r="18" spans="2:11" x14ac:dyDescent="0.2">
      <c r="B18" s="74" t="s">
        <v>44</v>
      </c>
      <c r="C18" s="68"/>
      <c r="D18" s="68"/>
      <c r="E18" s="68"/>
      <c r="F18" s="69">
        <f>SUM(F10:F16)</f>
        <v>20800</v>
      </c>
      <c r="G18" s="69">
        <f t="shared" ref="G18:J18" si="10">SUM(G10:G16)</f>
        <v>21424</v>
      </c>
      <c r="H18" s="69">
        <f t="shared" si="10"/>
        <v>22066.720000000001</v>
      </c>
      <c r="I18" s="69">
        <f t="shared" si="10"/>
        <v>22728.721599999997</v>
      </c>
      <c r="J18" s="69">
        <f t="shared" si="10"/>
        <v>23410.583247999999</v>
      </c>
      <c r="K18" s="70">
        <f t="shared" si="3"/>
        <v>110430.02484799999</v>
      </c>
    </row>
    <row r="19" spans="2:11" x14ac:dyDescent="0.2">
      <c r="B19" s="10"/>
      <c r="C19" s="35"/>
      <c r="D19" s="35"/>
      <c r="E19" s="35"/>
      <c r="F19" s="65"/>
      <c r="G19" s="65"/>
      <c r="H19" s="65"/>
      <c r="I19" s="65"/>
      <c r="J19" s="65"/>
      <c r="K19" s="66"/>
    </row>
    <row r="20" spans="2:11" x14ac:dyDescent="0.2">
      <c r="B20" s="94" t="s">
        <v>45</v>
      </c>
      <c r="C20" s="95"/>
      <c r="D20" s="95"/>
      <c r="E20" s="95"/>
      <c r="F20" s="97">
        <f>F7+F18</f>
        <v>520800</v>
      </c>
      <c r="G20" s="97">
        <f t="shared" ref="G20:J20" si="11">G7+G18</f>
        <v>536424</v>
      </c>
      <c r="H20" s="97">
        <f t="shared" si="11"/>
        <v>552516.72</v>
      </c>
      <c r="I20" s="97">
        <f t="shared" si="11"/>
        <v>569092.22160000005</v>
      </c>
      <c r="J20" s="97">
        <f t="shared" si="11"/>
        <v>586164.98824799992</v>
      </c>
      <c r="K20" s="96">
        <f>SUM(F20:J20)</f>
        <v>2764997.9298479999</v>
      </c>
    </row>
  </sheetData>
  <phoneticPr fontId="12" type="noConversion"/>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D9C7703-1DF0-D44B-80DC-338B6987A87A}">
  <dimension ref="B2:I11"/>
  <sheetViews>
    <sheetView showGridLines="0" zoomScale="160" zoomScaleNormal="160" workbookViewId="0"/>
  </sheetViews>
  <sheetFormatPr baseColWidth="10" defaultColWidth="11" defaultRowHeight="16" x14ac:dyDescent="0.2"/>
  <cols>
    <col min="1" max="1" width="5" customWidth="1"/>
    <col min="2" max="2" width="26.83203125" bestFit="1" customWidth="1"/>
    <col min="5" max="5" width="2.5" customWidth="1"/>
    <col min="6" max="6" width="16.5" bestFit="1" customWidth="1"/>
    <col min="8" max="8" width="5" customWidth="1"/>
    <col min="9" max="9" width="18.1640625" customWidth="1"/>
  </cols>
  <sheetData>
    <row r="2" spans="2:9" x14ac:dyDescent="0.2">
      <c r="B2" s="75"/>
      <c r="C2" s="184" t="s">
        <v>73</v>
      </c>
      <c r="D2" s="184"/>
      <c r="E2" s="184"/>
      <c r="F2" s="184"/>
      <c r="G2" s="76"/>
      <c r="H2" s="76"/>
      <c r="I2" s="85"/>
    </row>
    <row r="3" spans="2:9" x14ac:dyDescent="0.2">
      <c r="B3" s="86"/>
      <c r="C3" s="87" t="s">
        <v>77</v>
      </c>
      <c r="D3" s="87" t="s">
        <v>72</v>
      </c>
      <c r="E3" s="88"/>
      <c r="F3" s="87" t="s">
        <v>91</v>
      </c>
      <c r="G3" s="87" t="s">
        <v>74</v>
      </c>
      <c r="H3" s="87"/>
      <c r="I3" s="89" t="s">
        <v>75</v>
      </c>
    </row>
    <row r="4" spans="2:9" x14ac:dyDescent="0.2">
      <c r="B4" s="10" t="s">
        <v>62</v>
      </c>
      <c r="C4" s="35">
        <v>1246</v>
      </c>
      <c r="D4" s="35">
        <v>92</v>
      </c>
      <c r="E4" s="35" t="s">
        <v>78</v>
      </c>
      <c r="F4" s="51">
        <f>D4/C4</f>
        <v>7.3836276083467101E-2</v>
      </c>
      <c r="G4" s="35">
        <v>200000</v>
      </c>
      <c r="H4" s="35" t="s">
        <v>115</v>
      </c>
      <c r="I4" s="58">
        <f>F4*(G4/SUM($G$4:$G$9))</f>
        <v>1.4168820897276068E-2</v>
      </c>
    </row>
    <row r="5" spans="2:9" x14ac:dyDescent="0.2">
      <c r="B5" s="10" t="s">
        <v>64</v>
      </c>
      <c r="C5" s="35">
        <v>1246</v>
      </c>
      <c r="D5" s="35">
        <f>0.2*236</f>
        <v>47.2</v>
      </c>
      <c r="E5" s="35" t="s">
        <v>79</v>
      </c>
      <c r="F5" s="51">
        <f>D5/C5</f>
        <v>3.7881219903691817E-2</v>
      </c>
      <c r="G5" s="35">
        <v>1236</v>
      </c>
      <c r="H5" s="35" t="s">
        <v>116</v>
      </c>
      <c r="I5" s="58">
        <f t="shared" ref="I5:I9" si="0">F5*(G5/SUM($G$4:$G$9))</f>
        <v>4.4923786744041737E-5</v>
      </c>
    </row>
    <row r="6" spans="2:9" x14ac:dyDescent="0.2">
      <c r="B6" s="10" t="s">
        <v>142</v>
      </c>
      <c r="C6" s="35">
        <v>1246</v>
      </c>
      <c r="D6" s="35">
        <v>120</v>
      </c>
      <c r="E6" s="35" t="s">
        <v>80</v>
      </c>
      <c r="F6" s="51">
        <f>D6/C6</f>
        <v>9.6308186195826651E-2</v>
      </c>
      <c r="G6" s="35">
        <v>505000</v>
      </c>
      <c r="H6" s="35" t="s">
        <v>117</v>
      </c>
      <c r="I6" s="58">
        <f t="shared" si="0"/>
        <v>4.6664703607333137E-2</v>
      </c>
    </row>
    <row r="7" spans="2:9" x14ac:dyDescent="0.2">
      <c r="B7" s="10" t="s">
        <v>140</v>
      </c>
      <c r="C7" s="35">
        <v>1246</v>
      </c>
      <c r="D7" s="35">
        <v>1</v>
      </c>
      <c r="E7" s="38" t="s">
        <v>81</v>
      </c>
      <c r="F7" s="51">
        <f>1/1000</f>
        <v>1E-3</v>
      </c>
      <c r="G7" s="35">
        <v>36000</v>
      </c>
      <c r="H7" s="38" t="s">
        <v>118</v>
      </c>
      <c r="I7" s="58">
        <f t="shared" si="0"/>
        <v>3.4541121204794309E-5</v>
      </c>
    </row>
    <row r="8" spans="2:9" x14ac:dyDescent="0.2">
      <c r="B8" s="10" t="s">
        <v>63</v>
      </c>
      <c r="C8" s="35">
        <v>1246</v>
      </c>
      <c r="D8" s="35">
        <v>0</v>
      </c>
      <c r="E8" s="38" t="s">
        <v>83</v>
      </c>
      <c r="F8" s="51">
        <v>0</v>
      </c>
      <c r="G8" s="35">
        <v>50000</v>
      </c>
      <c r="H8" s="38" t="s">
        <v>119</v>
      </c>
      <c r="I8" s="58">
        <f t="shared" si="0"/>
        <v>0</v>
      </c>
    </row>
    <row r="9" spans="2:9" x14ac:dyDescent="0.2">
      <c r="B9" s="37" t="s">
        <v>141</v>
      </c>
      <c r="C9" s="39">
        <v>1246</v>
      </c>
      <c r="D9" s="60" t="s">
        <v>82</v>
      </c>
      <c r="E9" s="39" t="s">
        <v>84</v>
      </c>
      <c r="F9" s="49">
        <v>0.5</v>
      </c>
      <c r="G9" s="39">
        <v>250000</v>
      </c>
      <c r="H9" s="39" t="s">
        <v>120</v>
      </c>
      <c r="I9" s="59">
        <f t="shared" si="0"/>
        <v>0.11993444862775801</v>
      </c>
    </row>
    <row r="10" spans="2:9" ht="17" thickBot="1" x14ac:dyDescent="0.25">
      <c r="H10" s="48"/>
    </row>
    <row r="11" spans="2:9" ht="17" thickBot="1" x14ac:dyDescent="0.25">
      <c r="F11" s="185" t="s">
        <v>76</v>
      </c>
      <c r="G11" s="186"/>
      <c r="H11" s="90">
        <f>SUM(I4:I9)</f>
        <v>0.18084743804031606</v>
      </c>
    </row>
  </sheetData>
  <mergeCells count="2">
    <mergeCell ref="C2:F2"/>
    <mergeCell ref="F11:G11"/>
  </mergeCells>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C5FF733-64EC-F843-A58C-399B9C8B575D}">
  <dimension ref="C1:N58"/>
  <sheetViews>
    <sheetView showGridLines="0" tabSelected="1" workbookViewId="0"/>
  </sheetViews>
  <sheetFormatPr baseColWidth="10" defaultColWidth="11" defaultRowHeight="16" x14ac:dyDescent="0.2"/>
  <cols>
    <col min="1" max="1" width="5.83203125" customWidth="1"/>
    <col min="5" max="8" width="18.33203125" bestFit="1" customWidth="1"/>
    <col min="9" max="9" width="16.5" bestFit="1" customWidth="1"/>
  </cols>
  <sheetData>
    <row r="1" ht="30" customHeight="1" x14ac:dyDescent="0.2"/>
    <row r="26" spans="13:14" x14ac:dyDescent="0.2">
      <c r="M26" s="51"/>
      <c r="N26" s="35"/>
    </row>
    <row r="36" spans="3:12" x14ac:dyDescent="0.2">
      <c r="C36" s="175" t="s">
        <v>68</v>
      </c>
      <c r="D36" s="177"/>
      <c r="H36" s="175" t="s">
        <v>71</v>
      </c>
      <c r="I36" s="177"/>
    </row>
    <row r="37" spans="3:12" x14ac:dyDescent="0.2">
      <c r="C37" s="10" t="s">
        <v>66</v>
      </c>
      <c r="D37" s="36">
        <v>0</v>
      </c>
      <c r="H37" s="10" t="s">
        <v>70</v>
      </c>
      <c r="I37" s="36" t="s">
        <v>69</v>
      </c>
    </row>
    <row r="38" spans="3:12" x14ac:dyDescent="0.2">
      <c r="C38" s="10" t="s">
        <v>67</v>
      </c>
      <c r="D38" s="36">
        <v>1</v>
      </c>
      <c r="H38" s="10">
        <v>0</v>
      </c>
      <c r="I38" s="36">
        <f t="shared" ref="I38:I58" si="0">$D$37+($D$38-$D$37)*(1/(1+EXP(-$D$39*(H38-$D$41)))^$D$40)</f>
        <v>4.5950934646538648E-2</v>
      </c>
    </row>
    <row r="39" spans="3:12" x14ac:dyDescent="0.2">
      <c r="C39" s="10" t="s">
        <v>56</v>
      </c>
      <c r="D39" s="36">
        <v>0.11</v>
      </c>
      <c r="H39" s="10">
        <v>5</v>
      </c>
      <c r="I39" s="36">
        <f t="shared" si="0"/>
        <v>5.7250790860005986E-2</v>
      </c>
    </row>
    <row r="40" spans="3:12" x14ac:dyDescent="0.2">
      <c r="C40" s="10" t="s">
        <v>57</v>
      </c>
      <c r="D40" s="36">
        <v>0.4</v>
      </c>
      <c r="H40" s="10">
        <v>10</v>
      </c>
      <c r="I40" s="36">
        <f t="shared" si="0"/>
        <v>7.1322475457251427E-2</v>
      </c>
    </row>
    <row r="41" spans="3:12" x14ac:dyDescent="0.2">
      <c r="C41" s="37" t="s">
        <v>122</v>
      </c>
      <c r="D41" s="40">
        <v>70</v>
      </c>
      <c r="H41" s="10">
        <v>15</v>
      </c>
      <c r="I41" s="36">
        <f t="shared" si="0"/>
        <v>8.8837889658515828E-2</v>
      </c>
    </row>
    <row r="42" spans="3:12" x14ac:dyDescent="0.2">
      <c r="H42" s="10">
        <v>20</v>
      </c>
      <c r="I42" s="36">
        <f t="shared" si="0"/>
        <v>0.11062254396926989</v>
      </c>
    </row>
    <row r="43" spans="3:12" x14ac:dyDescent="0.2">
      <c r="H43" s="10">
        <v>25</v>
      </c>
      <c r="I43" s="36">
        <f t="shared" si="0"/>
        <v>0.13767996575985145</v>
      </c>
    </row>
    <row r="44" spans="3:12" x14ac:dyDescent="0.2">
      <c r="H44" s="10">
        <v>30</v>
      </c>
      <c r="I44" s="36">
        <f t="shared" si="0"/>
        <v>0.17120715313049154</v>
      </c>
    </row>
    <row r="45" spans="3:12" x14ac:dyDescent="0.2">
      <c r="H45" s="10">
        <v>35</v>
      </c>
      <c r="I45" s="36">
        <f t="shared" si="0"/>
        <v>0.21258303929806019</v>
      </c>
    </row>
    <row r="46" spans="3:12" x14ac:dyDescent="0.2">
      <c r="H46" s="10">
        <v>40</v>
      </c>
      <c r="I46" s="36">
        <f t="shared" si="0"/>
        <v>0.26329302499408092</v>
      </c>
    </row>
    <row r="47" spans="3:12" x14ac:dyDescent="0.2">
      <c r="H47" s="10">
        <v>45</v>
      </c>
      <c r="I47" s="36">
        <f t="shared" si="0"/>
        <v>0.32472161413849371</v>
      </c>
    </row>
    <row r="48" spans="3:12" x14ac:dyDescent="0.2">
      <c r="H48" s="10">
        <v>50</v>
      </c>
      <c r="I48" s="36">
        <f t="shared" si="0"/>
        <v>0.39770954446155277</v>
      </c>
      <c r="K48" s="35"/>
      <c r="L48" s="35"/>
    </row>
    <row r="49" spans="8:12" x14ac:dyDescent="0.2">
      <c r="H49" s="10">
        <v>55</v>
      </c>
      <c r="I49" s="36">
        <f t="shared" si="0"/>
        <v>0.48177900064353635</v>
      </c>
      <c r="K49" s="35"/>
      <c r="L49" s="35"/>
    </row>
    <row r="50" spans="8:12" x14ac:dyDescent="0.2">
      <c r="H50" s="10">
        <v>60</v>
      </c>
      <c r="I50" s="36">
        <f t="shared" si="0"/>
        <v>0.57411007655520907</v>
      </c>
      <c r="K50" s="35"/>
      <c r="L50" s="35"/>
    </row>
    <row r="51" spans="8:12" x14ac:dyDescent="0.2">
      <c r="H51" s="10">
        <v>65</v>
      </c>
      <c r="I51" s="36">
        <f t="shared" si="0"/>
        <v>0.6688489744231213</v>
      </c>
    </row>
    <row r="52" spans="8:12" x14ac:dyDescent="0.2">
      <c r="H52" s="10">
        <v>70</v>
      </c>
      <c r="I52" s="36">
        <f t="shared" si="0"/>
        <v>0.75785828325519911</v>
      </c>
    </row>
    <row r="53" spans="8:12" x14ac:dyDescent="0.2">
      <c r="H53" s="10">
        <v>75</v>
      </c>
      <c r="I53" s="36">
        <f t="shared" si="0"/>
        <v>0.8334371433058857</v>
      </c>
    </row>
    <row r="54" spans="8:12" x14ac:dyDescent="0.2">
      <c r="H54" s="10">
        <v>80</v>
      </c>
      <c r="I54" s="36">
        <f t="shared" si="0"/>
        <v>0.89142486008736899</v>
      </c>
    </row>
    <row r="55" spans="8:12" x14ac:dyDescent="0.2">
      <c r="H55" s="10">
        <v>85</v>
      </c>
      <c r="I55" s="36">
        <f t="shared" si="0"/>
        <v>0.93214231732098562</v>
      </c>
    </row>
    <row r="56" spans="8:12" x14ac:dyDescent="0.2">
      <c r="H56" s="10">
        <v>90</v>
      </c>
      <c r="I56" s="36">
        <f t="shared" si="0"/>
        <v>0.95883782398167994</v>
      </c>
    </row>
    <row r="57" spans="8:12" x14ac:dyDescent="0.2">
      <c r="H57" s="10">
        <v>95</v>
      </c>
      <c r="I57" s="36">
        <f t="shared" si="0"/>
        <v>0.97551764043590661</v>
      </c>
    </row>
    <row r="58" spans="8:12" x14ac:dyDescent="0.2">
      <c r="H58" s="37">
        <v>100</v>
      </c>
      <c r="I58" s="40">
        <f t="shared" si="0"/>
        <v>0.98561673824652107</v>
      </c>
    </row>
  </sheetData>
  <mergeCells count="2">
    <mergeCell ref="C36:D36"/>
    <mergeCell ref="H36:I36"/>
  </mergeCell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TotalTime>0</TotalTime>
  <Application>Microsoft Macintosh Excel</Application>
  <DocSecurity>0</DocSecurity>
  <ScaleCrop>false</ScaleCrop>
  <HeadingPairs>
    <vt:vector size="2" baseType="variant">
      <vt:variant>
        <vt:lpstr>Worksheets</vt:lpstr>
      </vt:variant>
      <vt:variant>
        <vt:i4>6</vt:i4>
      </vt:variant>
    </vt:vector>
  </HeadingPairs>
  <TitlesOfParts>
    <vt:vector size="6" baseType="lpstr">
      <vt:lpstr>Input</vt:lpstr>
      <vt:lpstr>Forecast</vt:lpstr>
      <vt:lpstr>Costs and benefits</vt:lpstr>
      <vt:lpstr>Consortium cost model</vt:lpstr>
      <vt:lpstr>Estimate of PID adoption</vt:lpstr>
      <vt:lpstr>Logistic function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Phill Jones</dc:creator>
  <cp:lastModifiedBy>Phill Jones</cp:lastModifiedBy>
  <dcterms:created xsi:type="dcterms:W3CDTF">2021-05-08T10:26:06Z</dcterms:created>
  <dcterms:modified xsi:type="dcterms:W3CDTF">2021-06-11T11:41:13Z</dcterms:modified>
</cp:coreProperties>
</file>