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ric\Dropbox\WWF HK\Wildlife Hub\Covid\PlosOne\"/>
    </mc:Choice>
  </mc:AlternateContent>
  <bookViews>
    <workbookView xWindow="0" yWindow="0" windowWidth="28800" windowHeight="13020" activeTab="3"/>
  </bookViews>
  <sheets>
    <sheet name="Enter Taxa &amp; Numbers" sheetId="15" r:id="rId1"/>
    <sheet name="High Risk Taxa" sheetId="16" r:id="rId2"/>
    <sheet name="Risk of Wildlife Market " sheetId="14" r:id="rId3"/>
    <sheet name="Market Type Risk" sheetId="17" r:id="rId4"/>
    <sheet name="Traded Taxa Risk" sheetId="12" r:id="rId5"/>
    <sheet name="Record of Changes" sheetId="18" r:id="rId6"/>
    <sheet name="Risk Register Weightings" sheetId="7" r:id="rId7"/>
    <sheet name="Matrix" sheetId="11" state="hidden" r:id="rId8"/>
    <sheet name="Sheet1" sheetId="13" state="hidden" r:id="rId9"/>
  </sheets>
  <definedNames>
    <definedName name="_Hlk48755220" localSheetId="6">'Risk Register Weightings'!#REF!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12" l="1"/>
  <c r="F11" i="12" l="1"/>
  <c r="G11" i="12" s="1"/>
  <c r="E17" i="12"/>
  <c r="F17" i="12" s="1"/>
  <c r="G17" i="12" s="1"/>
  <c r="E16" i="12"/>
  <c r="F16" i="12" s="1"/>
  <c r="G16" i="12" s="1"/>
  <c r="E4" i="12"/>
  <c r="F4" i="12" s="1"/>
  <c r="G4" i="12" s="1"/>
  <c r="E12" i="12"/>
  <c r="F12" i="12" s="1"/>
  <c r="G12" i="12" s="1"/>
  <c r="E9" i="12"/>
  <c r="E14" i="12"/>
  <c r="F14" i="12" s="1"/>
  <c r="G14" i="12" s="1"/>
  <c r="E15" i="12"/>
  <c r="F15" i="12" s="1"/>
  <c r="G15" i="12" s="1"/>
  <c r="E8" i="12"/>
  <c r="F8" i="12" s="1"/>
  <c r="G8" i="12" s="1"/>
  <c r="E20" i="12"/>
  <c r="F20" i="12" s="1"/>
  <c r="G20" i="12" s="1"/>
  <c r="E21" i="12"/>
  <c r="F21" i="12" s="1"/>
  <c r="G21" i="12" s="1"/>
  <c r="E27" i="12"/>
  <c r="F27" i="12" s="1"/>
  <c r="G27" i="12" s="1"/>
  <c r="E26" i="12"/>
  <c r="F26" i="12" s="1"/>
  <c r="G26" i="12" s="1"/>
  <c r="E13" i="12"/>
  <c r="F13" i="12" s="1"/>
  <c r="G13" i="12" s="1"/>
  <c r="E10" i="12"/>
  <c r="F10" i="12" s="1"/>
  <c r="G10" i="12" s="1"/>
  <c r="J3" i="17"/>
  <c r="K3" i="17"/>
  <c r="J4" i="17"/>
  <c r="K4" i="17"/>
  <c r="J5" i="17"/>
  <c r="K5" i="17"/>
  <c r="J6" i="17"/>
  <c r="K6" i="17"/>
  <c r="J7" i="17"/>
  <c r="K7" i="17"/>
  <c r="J8" i="17"/>
  <c r="K8" i="17"/>
  <c r="J9" i="17"/>
  <c r="K9" i="17"/>
  <c r="J10" i="17"/>
  <c r="K10" i="17"/>
  <c r="J11" i="17"/>
  <c r="K11" i="17"/>
  <c r="J12" i="17"/>
  <c r="K12" i="17"/>
  <c r="J13" i="17"/>
  <c r="K13" i="17"/>
  <c r="E6" i="12"/>
  <c r="F6" i="12" s="1"/>
  <c r="G6" i="12" s="1"/>
  <c r="E5" i="12"/>
  <c r="F5" i="12" s="1"/>
  <c r="G5" i="12" s="1"/>
  <c r="E7" i="12"/>
  <c r="F7" i="12" s="1"/>
  <c r="G7" i="12" s="1"/>
  <c r="E22" i="12"/>
  <c r="F22" i="12" s="1"/>
  <c r="G22" i="12" s="1"/>
  <c r="E25" i="12"/>
  <c r="F25" i="12" s="1"/>
  <c r="G25" i="12" s="1"/>
  <c r="E18" i="12"/>
  <c r="F18" i="12" s="1"/>
  <c r="G18" i="12" s="1"/>
  <c r="H21" i="16"/>
  <c r="H13" i="16"/>
  <c r="H33" i="16"/>
  <c r="H32" i="16"/>
  <c r="H31" i="16"/>
  <c r="H30" i="16"/>
  <c r="H29" i="16"/>
  <c r="H28" i="16"/>
  <c r="H27" i="16"/>
  <c r="H26" i="16"/>
  <c r="H25" i="16"/>
  <c r="H24" i="16"/>
  <c r="H19" i="16"/>
  <c r="H20" i="16"/>
  <c r="H18" i="16"/>
  <c r="H16" i="16"/>
  <c r="H15" i="16"/>
  <c r="H14" i="16"/>
  <c r="H12" i="16"/>
  <c r="H11" i="16"/>
  <c r="H10" i="16"/>
  <c r="H9" i="16"/>
  <c r="H8" i="16"/>
  <c r="H7" i="16"/>
  <c r="H6" i="16"/>
  <c r="E29" i="12"/>
  <c r="F29" i="12" s="1"/>
  <c r="G29" i="12" s="1"/>
  <c r="E28" i="12"/>
  <c r="F28" i="12" s="1"/>
  <c r="G28" i="12" s="1"/>
  <c r="E24" i="12"/>
  <c r="F24" i="12" s="1"/>
  <c r="E23" i="12"/>
  <c r="F23" i="12" s="1"/>
  <c r="E19" i="12"/>
  <c r="F19" i="12" s="1"/>
  <c r="M3" i="7"/>
  <c r="Q3" i="7"/>
  <c r="F3" i="7"/>
  <c r="E3" i="7"/>
  <c r="D3" i="7"/>
  <c r="F9" i="12" l="1"/>
  <c r="G9" i="12" l="1"/>
  <c r="G31" i="12" s="1"/>
  <c r="L13" i="14" s="1"/>
  <c r="E7" i="14"/>
  <c r="L4" i="14"/>
  <c r="K10" i="14"/>
  <c r="G11" i="14"/>
  <c r="J9" i="14"/>
  <c r="F6" i="14"/>
  <c r="L8" i="14"/>
  <c r="L14" i="14"/>
  <c r="M5" i="14"/>
  <c r="M4" i="14"/>
  <c r="G12" i="14"/>
  <c r="M6" i="14"/>
  <c r="M8" i="14"/>
  <c r="N7" i="14"/>
  <c r="F7" i="14"/>
  <c r="I11" i="14"/>
  <c r="L11" i="14"/>
  <c r="G5" i="14"/>
  <c r="G10" i="14"/>
  <c r="E12" i="14"/>
  <c r="N11" i="14"/>
  <c r="L10" i="14"/>
  <c r="N9" i="14"/>
  <c r="N8" i="14"/>
  <c r="M13" i="14"/>
  <c r="G13" i="14"/>
  <c r="F14" i="14"/>
  <c r="M10" i="14"/>
  <c r="L6" i="14"/>
  <c r="M12" i="14"/>
  <c r="M11" i="14"/>
  <c r="K5" i="14"/>
  <c r="G8" i="14"/>
  <c r="E10" i="14"/>
  <c r="J6" i="14"/>
  <c r="H13" i="14"/>
  <c r="I10" i="14"/>
  <c r="M7" i="14"/>
  <c r="E9" i="14"/>
  <c r="M9" i="14"/>
  <c r="N6" i="14"/>
  <c r="I12" i="14"/>
  <c r="N4" i="14"/>
  <c r="H11" i="14"/>
  <c r="I14" i="14"/>
  <c r="M14" i="14"/>
  <c r="I8" i="14"/>
  <c r="H12" i="14"/>
  <c r="G4" i="14"/>
  <c r="H10" i="14"/>
  <c r="H8" i="14"/>
  <c r="K13" i="14"/>
  <c r="J4" i="14"/>
  <c r="N10" i="14"/>
  <c r="N12" i="14"/>
  <c r="K6" i="14"/>
  <c r="I6" i="14"/>
  <c r="F8" i="14"/>
  <c r="H14" i="14"/>
  <c r="N5" i="14"/>
  <c r="L5" i="14"/>
  <c r="I4" i="14"/>
  <c r="K12" i="14"/>
  <c r="F4" i="14"/>
  <c r="H4" i="14"/>
  <c r="I5" i="14"/>
  <c r="E14" i="14"/>
  <c r="J13" i="14"/>
  <c r="J7" i="14"/>
  <c r="N13" i="14"/>
  <c r="H9" i="14"/>
  <c r="F10" i="14"/>
  <c r="K7" i="14"/>
  <c r="G6" i="14"/>
  <c r="E8" i="14"/>
  <c r="L7" i="14"/>
  <c r="J5" i="14"/>
  <c r="J12" i="14"/>
  <c r="F11" i="14"/>
  <c r="K4" i="14"/>
  <c r="G9" i="14"/>
  <c r="E11" i="14"/>
  <c r="J10" i="14"/>
  <c r="I7" i="14"/>
  <c r="J8" i="14"/>
  <c r="J11" i="14"/>
  <c r="K9" i="14"/>
  <c r="F13" i="14"/>
  <c r="E6" i="14"/>
  <c r="H6" i="14"/>
  <c r="F5" i="14"/>
  <c r="F12" i="14"/>
  <c r="I9" i="14"/>
  <c r="G7" i="14"/>
  <c r="E5" i="14"/>
  <c r="I13" i="14"/>
  <c r="E13" i="14"/>
  <c r="N14" i="14"/>
  <c r="L9" i="14"/>
  <c r="K14" i="14"/>
  <c r="K8" i="14" l="1"/>
  <c r="J14" i="14"/>
  <c r="H7" i="14"/>
  <c r="L12" i="14"/>
  <c r="E4" i="14"/>
  <c r="K11" i="14"/>
  <c r="G14" i="14"/>
  <c r="F31" i="12"/>
  <c r="F9" i="14"/>
  <c r="H5" i="14"/>
</calcChain>
</file>

<file path=xl/sharedStrings.xml><?xml version="1.0" encoding="utf-8"?>
<sst xmlns="http://schemas.openxmlformats.org/spreadsheetml/2006/main" count="635" uniqueCount="327">
  <si>
    <t>Country</t>
  </si>
  <si>
    <t>Reptiles</t>
  </si>
  <si>
    <t>Pangolins</t>
  </si>
  <si>
    <t>No</t>
  </si>
  <si>
    <t>Absent</t>
  </si>
  <si>
    <t>MARKET DESCRIPTION</t>
  </si>
  <si>
    <t>Market description: who, where, what, how (1 sentence)</t>
  </si>
  <si>
    <t>Never</t>
  </si>
  <si>
    <t>Amphibians</t>
  </si>
  <si>
    <t>historical evidence as primary or intermediate host of serious emerging infectious disease &amp; pandemics</t>
  </si>
  <si>
    <t>taxon known to host diverse serious pathogen community</t>
  </si>
  <si>
    <t>likelihood of diversity of unknown serious pathogens hosted by taxa</t>
  </si>
  <si>
    <t>Wild Felids</t>
  </si>
  <si>
    <t>Wild Canids</t>
  </si>
  <si>
    <t>relatedness to humans</t>
  </si>
  <si>
    <t>TAXON</t>
  </si>
  <si>
    <t>Strong evidence and multiple events (&gt;3) - 10; strong evidence and few events - 9; little evidence and/or rare events - 3</t>
  </si>
  <si>
    <t>TAXON FEATURE</t>
  </si>
  <si>
    <t>Fishes</t>
  </si>
  <si>
    <t>Invertebrates</t>
  </si>
  <si>
    <t>diverse risk pathogens well documented - 6; uncertain - 3; few know risk pathogens - 2; low risk - 1</t>
  </si>
  <si>
    <t>VHR</t>
  </si>
  <si>
    <t>HR</t>
  </si>
  <si>
    <t>Marsupials</t>
  </si>
  <si>
    <t>LR</t>
  </si>
  <si>
    <t>VHR - very high risk; HR - high risk; MR - medium risk; LR - lower risk</t>
  </si>
  <si>
    <t xml:space="preserve">dangerous emerging infectious disease prevalence </t>
  </si>
  <si>
    <t>transmission risk</t>
  </si>
  <si>
    <t>RISK LEVEL</t>
  </si>
  <si>
    <t xml:space="preserve">SUBSCORE </t>
  </si>
  <si>
    <t>SUBSCORE</t>
  </si>
  <si>
    <t>dangerous emerging infectious disease prevalence score 70%</t>
  </si>
  <si>
    <t>transmission risk score 30%</t>
  </si>
  <si>
    <t>TAXA being regularly sold RISK LEVEL: very high - 30; high - 24 ; medium - 10; lower - 2</t>
  </si>
  <si>
    <t>market trade type:  11 types key below</t>
  </si>
  <si>
    <t>RISK LEVEL SUBSCORES</t>
  </si>
  <si>
    <t>live wildlife kept in close contact with live peri-domestic or domestic species: yes/usually - 5 ; no/rarely - 0</t>
  </si>
  <si>
    <t>animals kept alive close to or beyond point of sale: mostly - 20  ; sometimes - 10; rarely or no -5 ; only dried, smoked, frozen, packaged products - 2</t>
  </si>
  <si>
    <t>Number of different high and very high risk taxa regularly together in trade chain: many, often - 5; several, often - 4; several, occassionally -  1; few or none - 0</t>
  </si>
  <si>
    <t>live animals kept in crowded conditions: yes - 5 ; no - 0</t>
  </si>
  <si>
    <t>trade chain length/duration/stops: long, multiple stops, long duration - 5 ; long, few stops - 4; medium to short length, fewer stops, shorter duration - 2</t>
  </si>
  <si>
    <t>trade transport or sale setting has close contact of live wildlife with many people: yes, many, regularly - 20; yes, many, at times in trade chain - 14; no or not regularly - 8</t>
  </si>
  <si>
    <t>Trade chain &amp; market hygiene (e.g. storage, butchering practices, refrigeration, running water): good throughout - 1; poor in trade chain stages - 3; poor throughout - 5</t>
  </si>
  <si>
    <t xml:space="preserve">governance &amp; testing: good throughout trade chain - 1; some - ; poor to none - 5 </t>
  </si>
  <si>
    <t>Emerging Infectious Disease Risk Level (derived from prevalence and transmission risk): VERY HIGH - 100 to 57; HIGH - 56 to 52; MEDIUM - 51 to 46; LOWER - 44 to 16</t>
  </si>
  <si>
    <t>high - 4; medium or uncertain - 1, low - 0</t>
  </si>
  <si>
    <t>SARS</t>
  </si>
  <si>
    <t xml:space="preserve">influenza, Flaviviridae (West Nile), </t>
  </si>
  <si>
    <t>influenza, Retroviridae, Filoviridae (e.g. Ebola, Marburg), Poxviridae (Monkeypox)</t>
  </si>
  <si>
    <t>influenza, Paramyxoviridae (Nipah), Hepaviridae (Hepatitis E), Filoviridae (e.g. Ebola), Bunyavirales (e.g. Hanta), Rotaviridae, Beta Coronavirus (SARS)</t>
  </si>
  <si>
    <t xml:space="preserve">Beta coronavirus (SARS) </t>
  </si>
  <si>
    <t>Hepaviridae (Hepatitis E)</t>
  </si>
  <si>
    <t>Bornaviridae, Arenaviridae, Hepaviridae (Hepatitis E), Bunyavirales (e.g. Hanta)</t>
  </si>
  <si>
    <t>Ebola, Monkeypox, HIV</t>
  </si>
  <si>
    <t>Beta Coronavirus (SARS), Paramyxoviridae (Nipah, Hendra), Filoviridae (e.g. Marburg, Ebola), Reovirus (e.g. Melaka), Bunyavirales (e.g. Hanta, Rift Valley)</t>
  </si>
  <si>
    <t>strong likelihood of role in Covid 19 as of Oct 2020</t>
  </si>
  <si>
    <t>SARS, Flaviridae (Pestivirus), Reoviridae (Coltivirus), Parainfluenza Virus 5, Paramyxoviridae (Sendai virus)</t>
  </si>
  <si>
    <t>Nipah, infuenza</t>
  </si>
  <si>
    <t>H5N1 influenza, West Nile Fever</t>
  </si>
  <si>
    <t>very closely related - 5; other primates &amp; relatives - 4; mammal but not closely related - 3; non-mammal - 1</t>
  </si>
  <si>
    <t>?</t>
  </si>
  <si>
    <t>Paramyxoviridae (Avian), Poxviridae (Monkeypox), Retroviridae (e.g. Simian Foamy virus), Flavivirus (e.g. YF virus - vector insect, Kyasanur - insect vector)</t>
  </si>
  <si>
    <t>Flaviviridae, Bunyavirales (e.g. Hanta, Crimean-Congo HF, Rift Valley), Poxviridae (e.g. Monkeypox, Cowpox), Arenavirus (e.g. Lymphocytic choriomeningitis virus in Sciuridae, S American HF, Lassa Fever), Filoviridae (e.g. Ebola), Hepaviridae (Hepatitis E), influenza, Rotaviridae (Rotavirus B), Beta Coronavirus (SARS), bubonic plague</t>
  </si>
  <si>
    <t>monkeypox, Ebola Reston, Flavivirus (e.g. Kyasanur - insect vector)</t>
  </si>
  <si>
    <t>Hendra (horses from bats)</t>
  </si>
  <si>
    <t>SARS (MERS)</t>
  </si>
  <si>
    <t>Hepatitis E</t>
  </si>
  <si>
    <t>Wild birds</t>
  </si>
  <si>
    <t>Market risk factor</t>
  </si>
  <si>
    <t>Market Risk based on estimated numbers for sale (assigned via formulae in Column F [hidden] for estimated numbers entered into Column E)</t>
  </si>
  <si>
    <t>High Risk</t>
  </si>
  <si>
    <t>Medium Risk</t>
  </si>
  <si>
    <t>Low Risk</t>
  </si>
  <si>
    <t>Market Type descriptor</t>
  </si>
  <si>
    <t>Market Type</t>
  </si>
  <si>
    <t>Transient stalls</t>
  </si>
  <si>
    <t>Wildlife sales from restaurants</t>
  </si>
  <si>
    <t>Wildlife sales from stores or retrieved from warehouse on demand</t>
  </si>
  <si>
    <t>Warehouse sales</t>
  </si>
  <si>
    <t>TCM shops</t>
  </si>
  <si>
    <t>Wildlife sales from online or offline ads – shipped or picked up or delivered</t>
  </si>
  <si>
    <t>Online trade delivery</t>
  </si>
  <si>
    <t>Roadside sale of recently caught wildlife</t>
  </si>
  <si>
    <t>Roadside sales</t>
  </si>
  <si>
    <t>Rural bushmarkets</t>
  </si>
  <si>
    <t>Temporary sales points</t>
  </si>
  <si>
    <t>Research facility</t>
  </si>
  <si>
    <t>HHR</t>
  </si>
  <si>
    <t>High</t>
  </si>
  <si>
    <t>Medium</t>
  </si>
  <si>
    <t>Low</t>
  </si>
  <si>
    <t>No risk</t>
  </si>
  <si>
    <t>&gt; 0</t>
  </si>
  <si>
    <t>&gt;50</t>
  </si>
  <si>
    <t>&gt;20</t>
  </si>
  <si>
    <t>&gt;100</t>
  </si>
  <si>
    <t xml:space="preserve">&gt;50 </t>
  </si>
  <si>
    <t>&gt;10</t>
  </si>
  <si>
    <t>11-50</t>
  </si>
  <si>
    <t>51-100</t>
  </si>
  <si>
    <t xml:space="preserve">1-10 </t>
  </si>
  <si>
    <t xml:space="preserve">&gt;20 </t>
  </si>
  <si>
    <t xml:space="preserve">&gt;10 </t>
  </si>
  <si>
    <t xml:space="preserve">11-50 </t>
  </si>
  <si>
    <t>6-20</t>
  </si>
  <si>
    <t>1-50</t>
  </si>
  <si>
    <t>1-10</t>
  </si>
  <si>
    <t>1-5</t>
  </si>
  <si>
    <t xml:space="preserve">1-50 </t>
  </si>
  <si>
    <t>&gt;500</t>
  </si>
  <si>
    <t>TR</t>
  </si>
  <si>
    <t>SP</t>
  </si>
  <si>
    <r>
      <rPr>
        <b/>
        <sz val="12"/>
        <color theme="1"/>
        <rFont val="Calibri"/>
        <family val="2"/>
        <scheme val="minor"/>
      </rPr>
      <t>Transmission Risk (TR)</t>
    </r>
    <r>
      <rPr>
        <sz val="12"/>
        <color theme="1"/>
        <rFont val="Calibri"/>
        <family val="2"/>
        <scheme val="minor"/>
      </rPr>
      <t xml:space="preserve">
For a given pathogen, transmission risk refers to the suite of conditions associated with a step in the trade chain that, on average, increases the risk of transmission of a pathogen from animals to humans. For example, high viral loads may accumulate and pathogens widely and frequently shared in situations where wildlife is crowded together in large numbers, especially mixed species and wild/domestic species, in unhygienic conditions. Situations where many people interact closely with wildlife are another red flag. Unhygienic butchering practices, butchering and consumption in close proximity, and lack of running water may also raise transmission risk.
• </t>
    </r>
    <r>
      <rPr>
        <b/>
        <sz val="12"/>
        <color theme="1"/>
        <rFont val="Calibri"/>
        <family val="2"/>
        <scheme val="minor"/>
      </rPr>
      <t>Very High:</t>
    </r>
    <r>
      <rPr>
        <sz val="12"/>
        <color theme="1"/>
        <rFont val="Calibri"/>
        <family val="2"/>
        <scheme val="minor"/>
      </rPr>
      <t xml:space="preserve"> Within the scope, there could be a &gt;=80% risk of transmission because of the crowding of the mixing of very high and high risk wildlife taxa in crowded and densely packed and unhygienic conditions where wildlife is highly stressed, and there is a high turnover of people through the market, especially in markets that are far downstream along the trade chains. (score 9-10 based on criteria) 
•</t>
    </r>
    <r>
      <rPr>
        <b/>
        <sz val="12"/>
        <color theme="1"/>
        <rFont val="Calibri"/>
        <family val="2"/>
        <scheme val="minor"/>
      </rPr>
      <t xml:space="preserve"> High:</t>
    </r>
    <r>
      <rPr>
        <sz val="12"/>
        <color theme="1"/>
        <rFont val="Calibri"/>
        <family val="2"/>
        <scheme val="minor"/>
      </rPr>
      <t xml:space="preserve"> Within the scope, there could be a 50% but &lt;80% risk of transmission because of  crowding and mixing of large numbers of high risk taxonomic groups of wildlife under stressful conditions, and with high turnover of people through the markets. (score 6-8 based on criteria)
• </t>
    </r>
    <r>
      <rPr>
        <b/>
        <sz val="12"/>
        <color theme="1"/>
        <rFont val="Calibri"/>
        <family val="2"/>
        <scheme val="minor"/>
      </rPr>
      <t>Medium:</t>
    </r>
    <r>
      <rPr>
        <sz val="12"/>
        <color theme="1"/>
        <rFont val="Calibri"/>
        <family val="2"/>
        <scheme val="minor"/>
      </rPr>
      <t xml:space="preserve"> Within the scope, there could be a 20% but &lt;50% risk of transmission because of  presence and mixing of medium to highest risk wildlife species or taxonomic groups held under stressful and/or unhygienic conditions, with high turnover of people or high densities of people interacting with wildlife in anyway. (score 3-5 based on criteria)
• </t>
    </r>
    <r>
      <rPr>
        <b/>
        <sz val="12"/>
        <color theme="1"/>
        <rFont val="Calibri"/>
        <family val="2"/>
        <scheme val="minor"/>
      </rPr>
      <t xml:space="preserve">Low: </t>
    </r>
    <r>
      <rPr>
        <sz val="12"/>
        <color theme="1"/>
        <rFont val="Calibri"/>
        <family val="2"/>
        <scheme val="minor"/>
      </rPr>
      <t xml:space="preserve">Within the scope, the risk of transmission or zoonotic outbreak is &lt;20% because of the mixing of animals and the conditions under which they are kept, and the numbers of people who pass through the trade site. (score 0-2 based on criteria)
</t>
    </r>
  </si>
  <si>
    <r>
      <rPr>
        <b/>
        <sz val="12"/>
        <color theme="1"/>
        <rFont val="Calibri"/>
        <family val="2"/>
        <scheme val="minor"/>
      </rPr>
      <t>Spread Potential (SP)</t>
    </r>
    <r>
      <rPr>
        <sz val="12"/>
        <color theme="1"/>
        <rFont val="Calibri"/>
        <family val="2"/>
        <scheme val="minor"/>
      </rPr>
      <t xml:space="preserve">
Spread potential refers to conditions or processes associated with a step in the trade chain that increase the risk of rapid and wide spread of infections in human populations after initial infections of a given pathogen. Features that might increase risk might include crowded markets in urban areas where people disperse far and wide after shopping and roadside stalls where infected buyers might disperse far distances over a short period of time.
• </t>
    </r>
    <r>
      <rPr>
        <b/>
        <sz val="12"/>
        <color theme="1"/>
        <rFont val="Calibri"/>
        <family val="2"/>
        <scheme val="minor"/>
      </rPr>
      <t>Very High</t>
    </r>
    <r>
      <rPr>
        <sz val="12"/>
        <color theme="1"/>
        <rFont val="Calibri"/>
        <family val="2"/>
        <scheme val="minor"/>
      </rPr>
      <t xml:space="preserve">: There could be &gt;=80% risk of potential spread of pathogen, based on the numbers and densities of people who used the market, the location and exposure (such as an urban area), and the possible travel distances of people who use the market (potential for travel to far off destinations after purchase, vs local travel). (score 9-10 based on criteria) 
• </t>
    </r>
    <r>
      <rPr>
        <b/>
        <sz val="12"/>
        <color theme="1"/>
        <rFont val="Calibri"/>
        <family val="2"/>
        <scheme val="minor"/>
      </rPr>
      <t>High</t>
    </r>
    <r>
      <rPr>
        <sz val="12"/>
        <color theme="1"/>
        <rFont val="Calibri"/>
        <family val="2"/>
        <scheme val="minor"/>
      </rPr>
      <t xml:space="preserve">: There could be &gt;=50% but &lt;80% risk of potential spread of pathogen based on the numbers and densities of people who use the market, the location and exposure, and the possible travel distances of people who use the market directly. (score 6-8 based on criteria)
• </t>
    </r>
    <r>
      <rPr>
        <b/>
        <sz val="12"/>
        <color theme="1"/>
        <rFont val="Calibri"/>
        <family val="2"/>
        <scheme val="minor"/>
      </rPr>
      <t>Medium</t>
    </r>
    <r>
      <rPr>
        <sz val="12"/>
        <color theme="1"/>
        <rFont val="Calibri"/>
        <family val="2"/>
        <scheme val="minor"/>
      </rPr>
      <t xml:space="preserve">: There could be &gt;=20% but &lt;50% risk of potential spread of pathogen based on the numbers and densities of people who use the market, the location and exposure of the market. (score 3-5 based on criteria)
• </t>
    </r>
    <r>
      <rPr>
        <b/>
        <sz val="12"/>
        <color theme="1"/>
        <rFont val="Calibri"/>
        <family val="2"/>
        <scheme val="minor"/>
      </rPr>
      <t>Low:</t>
    </r>
    <r>
      <rPr>
        <sz val="12"/>
        <color theme="1"/>
        <rFont val="Calibri"/>
        <family val="2"/>
        <scheme val="minor"/>
      </rPr>
      <t xml:space="preserve"> There could be &lt;20% risk of potential spread of pathogen based on the numbers and densities of people who use the market, the location and exposure of the market. (score 0-2 based on criteria) </t>
    </r>
  </si>
  <si>
    <t>Urban (town) bushmeat markets</t>
  </si>
  <si>
    <t>NR</t>
  </si>
  <si>
    <t>MR</t>
  </si>
  <si>
    <t>Uncertainty</t>
  </si>
  <si>
    <t>L</t>
  </si>
  <si>
    <t>M</t>
  </si>
  <si>
    <t>H</t>
  </si>
  <si>
    <t>Very High</t>
  </si>
  <si>
    <t xml:space="preserve">Market risk </t>
  </si>
  <si>
    <t>Risk category</t>
  </si>
  <si>
    <t>Permanent wildlife markets</t>
  </si>
  <si>
    <t>Restaurant sales</t>
  </si>
  <si>
    <t>Urban (town) bushmeat markets
Restaurant sales</t>
  </si>
  <si>
    <t xml:space="preserve">Online trade delivery
Research facility
</t>
  </si>
  <si>
    <t>Rural bushmarkets
Temporary sales points</t>
  </si>
  <si>
    <t>Species risk</t>
  </si>
  <si>
    <t>Local village sales/trade/barter</t>
  </si>
  <si>
    <t>1-20</t>
  </si>
  <si>
    <t>21-50</t>
  </si>
  <si>
    <t>11-20</t>
  </si>
  <si>
    <t xml:space="preserve">&gt;5 </t>
  </si>
  <si>
    <t>Elephantidae</t>
  </si>
  <si>
    <t>&gt;1</t>
  </si>
  <si>
    <t>Estimated number of animals in market</t>
  </si>
  <si>
    <t>Taxonomic Group</t>
  </si>
  <si>
    <t>Taxonomic risk factor</t>
  </si>
  <si>
    <t>Cumulative Risk Factor</t>
  </si>
  <si>
    <t xml:space="preserve">PRESENCE RISK
Presence risk refers to the propensity of a given wildlife taxon to be host to a high-risk virus or other pathogen. Certain taxa, on average, have a higher chance of hosting high risk pathogens due to their natural history, nature of their immunological tolerances and accumulations of hosted pathogens, known hosted viral diversity, and number of species in the taxon. Taxa documented to harbor high-risk pathogens that have led to serious outbreaks, epidemics, or pandemics in the past are clear high-risk taxa. Great apes and other higher primates are thought to be high-risk, in part, due to the close similarity of their physiologies to humans and the assumption this can facilitate hosted pathogens jumping successfully to humans. 
CONSEQUENCE RISK
Consequence risk refers to the potential of a given zoonotic pathogen to lead to serious outbreaks, epidemics, or pandemics in human populations, all with associated impacts on public health, economies, culture, and socio-political situations in human society. Some features of high risk pathogens that confer high consequence risk are highly infectious transmission rates, transmission pathways via airborne particles in additions to surfaces and direct contact with infected persons, relatively long incubation times, and severe consequences to human health and high mortality in broad age groups. </t>
  </si>
  <si>
    <t>Primates-Great Apes (Orangutan, Gibbons)</t>
  </si>
  <si>
    <t>Pteropodidae - fruit bats/flying foxes</t>
  </si>
  <si>
    <t>Rhinolophidae - horseshoe bats</t>
  </si>
  <si>
    <t>Sciurognathi - mice, rats, hamsters, jerboas, voles, others</t>
  </si>
  <si>
    <t>Manidae - pangolins</t>
  </si>
  <si>
    <t>Viverridae - civets, mongooses</t>
  </si>
  <si>
    <t>Primates -  monkeys, macaque, loris, tarsier, other non-great ape</t>
  </si>
  <si>
    <t>Wild birds - notably waterbirds</t>
  </si>
  <si>
    <t>Sciuridae - squirrels</t>
  </si>
  <si>
    <t>Mustelidae - weasels, mink, otter, badgers, hog badgers, polecats, marten</t>
  </si>
  <si>
    <t>Felidae - wild cats</t>
  </si>
  <si>
    <t xml:space="preserve">Canidae - wild dogs, jackals, foxes, wolves, </t>
  </si>
  <si>
    <t>Hystricidae - porcupines</t>
  </si>
  <si>
    <t>Perissodactyla - tapir, rhinoceros, asses, horses</t>
  </si>
  <si>
    <t>Ailuridae - red panda</t>
  </si>
  <si>
    <t>Ursidae - bears</t>
  </si>
  <si>
    <t>Tupaidae - tree shrews</t>
  </si>
  <si>
    <t>Dermoptera - colugo</t>
  </si>
  <si>
    <t>Leporidae - hares</t>
  </si>
  <si>
    <t>Risk weighting</t>
  </si>
  <si>
    <t>Beta coronavirus (e.g. SARS), influenza, Bunyavirales (e.g. Crimean-Congo HF), Hepaviridae (Hepatitis E)</t>
  </si>
  <si>
    <t>Hares &amp; rabbits</t>
  </si>
  <si>
    <t>Elephant</t>
  </si>
  <si>
    <t>unlock pw: iwt</t>
  </si>
  <si>
    <t>unlock ow: iwt</t>
  </si>
  <si>
    <t>Note: intermediate hosts are not considered, we acknowledge there is considerable uncertainty as to the diversity and identify of pathogens within many taxa, for example, within hyper-diverse mammalian taxa, such as bats and rodents</t>
  </si>
  <si>
    <t>Wild camels</t>
  </si>
  <si>
    <t>MERS from domestic camel</t>
  </si>
  <si>
    <t>High uncertainty</t>
  </si>
  <si>
    <t>Colour Code</t>
  </si>
  <si>
    <r>
      <rPr>
        <b/>
        <sz val="14"/>
        <color theme="1"/>
        <rFont val="Calibri"/>
        <family val="2"/>
        <scheme val="minor"/>
      </rPr>
      <t>Target zoonotic diseases</t>
    </r>
    <r>
      <rPr>
        <sz val="14"/>
        <color theme="1"/>
        <rFont val="Calibri"/>
        <family val="2"/>
        <scheme val="minor"/>
      </rPr>
      <t xml:space="preserve"> - Paramyxoviridae, Beta Coronaviruses, Influenza viruses (Orthomyxoviridae) are highest priority, while Bunyaviridae, Retroviridae, Arenaviridae, Filoviruses, Poxiviridae, Rotaviridae (Rotavirus B), Hepaviridae (Hepatitis E), Reovirus, and Flaviviridae are high priority and precautionary</t>
    </r>
  </si>
  <si>
    <t>VLR</t>
  </si>
  <si>
    <t>DESCRIPTIONS</t>
  </si>
  <si>
    <t>influenza, possible corona virus (including COVID 19)</t>
  </si>
  <si>
    <t>High Risk (HR)</t>
  </si>
  <si>
    <t>Medium Risk (MR)</t>
  </si>
  <si>
    <t>Low Risk (LR)</t>
  </si>
  <si>
    <t>No Risk (NR)</t>
  </si>
  <si>
    <t>Documented viruses hosted</t>
  </si>
  <si>
    <t>Examples of documented outbreaks and pandemics</t>
  </si>
  <si>
    <r>
      <rPr>
        <b/>
        <sz val="12"/>
        <color theme="1"/>
        <rFont val="Calibri"/>
        <family val="2"/>
        <scheme val="minor"/>
      </rPr>
      <t>Zoonotic Virus Risk (ZVR)</t>
    </r>
    <r>
      <rPr>
        <sz val="12"/>
        <color theme="1"/>
        <rFont val="Calibri"/>
        <family val="2"/>
        <scheme val="minor"/>
      </rPr>
      <t xml:space="preserve">
Zoonotic virus risk risk refers to the presence of conditions that increase the amount of a given pathogen or the risk of novel pathogens in wildlife through accumulation of viral loads along a trade chain, through viral shedding and mutation resulting in novel potentially high-risk pathogens. Having high volumes of individual animals crowded together, unhygienic conditions, stressors on animals, and a mix of wild species and wild and domestic species can amplify the risk  (viral load and diversity within an individual animal or a trade chain step as whole) of harmful pathogens.
• </t>
    </r>
    <r>
      <rPr>
        <b/>
        <sz val="12"/>
        <color theme="1"/>
        <rFont val="Calibri"/>
        <family val="2"/>
        <scheme val="minor"/>
      </rPr>
      <t>Very High</t>
    </r>
    <r>
      <rPr>
        <sz val="12"/>
        <color theme="1"/>
        <rFont val="Calibri"/>
        <family val="2"/>
        <scheme val="minor"/>
      </rPr>
      <t xml:space="preserve">: Within the scope, there could be a &gt;=80% risk of accumulation and increase of viral loads in animals because of crowding and mixing of very high and high risk wildlife taxa as they are moved along the trade chains or stored, especially highly stressful conditions (score 9-10 based on criteria) 
• </t>
    </r>
    <r>
      <rPr>
        <b/>
        <sz val="12"/>
        <color theme="1"/>
        <rFont val="Calibri"/>
        <family val="2"/>
        <scheme val="minor"/>
      </rPr>
      <t>High:</t>
    </r>
    <r>
      <rPr>
        <sz val="12"/>
        <color theme="1"/>
        <rFont val="Calibri"/>
        <family val="2"/>
        <scheme val="minor"/>
      </rPr>
      <t xml:space="preserve"> Within the scope, there could be a 50%, but &lt;80% risk of accumulation and increase of viral loads in animals because of crowding and mixing of very high and high risk wildlife taxa as they are moved along the trade chains or stored, especially highly stressful conditions. (score 6-8 based on criteria)
• </t>
    </r>
    <r>
      <rPr>
        <b/>
        <sz val="12"/>
        <color theme="1"/>
        <rFont val="Calibri"/>
        <family val="2"/>
        <scheme val="minor"/>
      </rPr>
      <t>Medium</t>
    </r>
    <r>
      <rPr>
        <sz val="12"/>
        <color theme="1"/>
        <rFont val="Calibri"/>
        <family val="2"/>
        <scheme val="minor"/>
      </rPr>
      <t xml:space="preserve">: Within the scope, there could be a 20%, but &lt;50% risk of accumulation and increase of viral loads in animals because of crowding and mixing of very high and high risk wildlife taxa as they are moved along the trade chains or stored, especially highly stressful conditions. (score 3-5 based on criteria)
• </t>
    </r>
    <r>
      <rPr>
        <b/>
        <sz val="12"/>
        <color theme="1"/>
        <rFont val="Calibri"/>
        <family val="2"/>
        <scheme val="minor"/>
      </rPr>
      <t>Low</t>
    </r>
    <r>
      <rPr>
        <sz val="12"/>
        <color theme="1"/>
        <rFont val="Calibri"/>
        <family val="2"/>
        <scheme val="minor"/>
      </rPr>
      <t xml:space="preserve">: Within the scope, there could be a &lt;20% risk of accumulation and increase of viral loads in animals because of crowding and mixing of very high and high risk wildlife taxa as they are moved along the trade chains or stored, especially highly stressful conditions. (score 0-2 based on criteria)
</t>
    </r>
  </si>
  <si>
    <r>
      <t xml:space="preserve">Suidae - wild pigs (e.g., </t>
    </r>
    <r>
      <rPr>
        <b/>
        <i/>
        <sz val="12"/>
        <color rgb="FF000000"/>
        <rFont val="Calibri"/>
        <family val="2"/>
        <scheme val="minor"/>
      </rPr>
      <t>Sus scrofa</t>
    </r>
    <r>
      <rPr>
        <b/>
        <sz val="12"/>
        <color rgb="FF000000"/>
        <rFont val="Calibri"/>
        <family val="2"/>
        <scheme val="minor"/>
      </rPr>
      <t>), babirussa</t>
    </r>
  </si>
  <si>
    <t>The removal of keystone and threatened species from natural habitats degrades ecosystems and creates conditions that elevate the risk of zoonotic events and the introduction of novel pathogens into the wildlife trade and human populations</t>
  </si>
  <si>
    <t>very high vulnerability</t>
  </si>
  <si>
    <t>high vulnerability to exploitation</t>
  </si>
  <si>
    <t>medium</t>
  </si>
  <si>
    <t>medium, important seed predators/dispersers and prey in food webs</t>
  </si>
  <si>
    <t>low</t>
  </si>
  <si>
    <t>very high vulnerability, low density, slow reproducing species, easy to catch</t>
  </si>
  <si>
    <t>medium, small carnivores regulating prey species, some seed dispersals</t>
  </si>
  <si>
    <t>medium to low</t>
  </si>
  <si>
    <t>high, important seed dispersers</t>
  </si>
  <si>
    <t>medium, seed dispersal, regulators of invertebrate and vertebrate prey</t>
  </si>
  <si>
    <t>high, some species highly vulnerable to low levels of exploitation, such as hornbills</t>
  </si>
  <si>
    <t>medium, seed dispersal</t>
  </si>
  <si>
    <t>medium, seed dispersal, wetland modification, predators on understory reptils</t>
  </si>
  <si>
    <t>medium, highly targeted by hunters</t>
  </si>
  <si>
    <t>very high, top predators regulate prey and trophic levels</t>
  </si>
  <si>
    <t>very high vulnerability, low density, slow reproduction, highly targeted</t>
  </si>
  <si>
    <t>high, seed dispersers, vegetation modification</t>
  </si>
  <si>
    <t>very high vulnerability to hunting, larger vertebrates</t>
  </si>
  <si>
    <t>medium, seed dispersers</t>
  </si>
  <si>
    <t>very high, targeted by hunters</t>
  </si>
  <si>
    <t>high, seed dispersers, top predators</t>
  </si>
  <si>
    <t>high vulnerability to exploitation, targeted</t>
  </si>
  <si>
    <t>medium, uncommon, slow reproduction</t>
  </si>
  <si>
    <t>very high, landscape and habitat modifiers, keystone species, seed dispersers, maintain clearings and waterholes</t>
  </si>
  <si>
    <t>very high, targeted by hunters, easy to hunt, low density populations, slow reproduction</t>
  </si>
  <si>
    <t>medium, poorly known</t>
  </si>
  <si>
    <t>low, prey for predators</t>
  </si>
  <si>
    <t>medium to low, predators and seed dispersers</t>
  </si>
  <si>
    <t>high, slow reproduction, easy to hunt, targeted by pet trade</t>
  </si>
  <si>
    <t>medium, some species rare and many declining, pet trade targets</t>
  </si>
  <si>
    <t>high to medium</t>
  </si>
  <si>
    <r>
      <t xml:space="preserve">Justification </t>
    </r>
    <r>
      <rPr>
        <sz val="10"/>
        <color theme="1"/>
        <rFont val="Calibri"/>
        <family val="2"/>
        <scheme val="minor"/>
      </rPr>
      <t>- The risk levels associated with different combinations of numbers of animals and taxa (one can have multiple species in a market each with different one-time or average numbers involved in the trade) are based on the following: taxa that are close relatives of humans, taxa that are documented zoonotic diseases causing outbreaks/epidemics/ pandemics, and taxa with known or likely to have high diversity of potentially risky pathogens.</t>
    </r>
  </si>
  <si>
    <t>Most higher primates have high disease risk due to known risky pathogens and documented outbreaks. Thus there is a &gt;90% probability that any intreactions with these primates could cause dangerous zoonotic episodes, and even a single animal in the trade at any level is considered very high risk. The larger primates are also keystone species in tropical forests and their removal could cause forest degradation. which will encourage other high risk species for zoonoses to proliferate.</t>
  </si>
  <si>
    <t>Most bats are known to carry a diverse complement of very risky pathogens, and there have been many documented outbreaks/pandemics associated with bats.  Therefore, Thus there is a &gt;90% probability that any intreactions with even small numbers of bats of any kind could cause dangerous zoonotic episodes, and interactions at any level in the trade is considered very high risk. Bats are also keystone seed dispersers in tropical forests, larger bats disperse largers seed and are known to host risky pathogens</t>
  </si>
  <si>
    <t xml:space="preserve">Most bats are known to carry a diverse complement of very risky pathogens, and there have been many documented outbreaks/pandemics associated with bats.  Therefore, Thus there is a &gt;90% probability that any intreactions with even small numbers of bats of any kind could cause dangerous zoonotic episodes, and interactions at any level in the trade is considered very high risk. Bats are also keystone seed dispersers and control insect outbreaks in tropical forests. Pathogens of many species of smaller bats still poorly known and as a precautionary principle interaction with bats and allowing their trade or consumption should be prohibited. </t>
  </si>
  <si>
    <t>Rodents are a diverse group, with some taxa known to host diverse and risky pathogens. Many different taxa are traded and some are not known to harbor risky pathogens, the numbers here reflect this uncertainty and are precautionary. Trade locations where larger groups are kept together increase stress and accumulation of viral loads, causing conditions that are more risky. The trade should use the precautionary principle and stop the trade of rodents until the species that are known to be safe or safer can be allowed.</t>
  </si>
  <si>
    <t>Pangolins are known to accumulate coronavirus as they are moved through live trade chains. Virus similar to COVID 19 have been documented in two seizures in China and there is strong likelihood that pangolins are implicated in some way in the current pandemic. Pangolins are also keystone species regulating populations of ants and termites in tropical forests and savannas.</t>
  </si>
  <si>
    <t>Viverids are known to be the host of the SARS outbreak as well as a diversity of other potentially other risky pathogens, They are often traded in large numbers, and under these conditions the risk of viral load accumulations are increased, creating more risky situations for zoonotic outbreaks that can cause epidemics and even pandemics.</t>
  </si>
  <si>
    <t>Most primates are known to harbor diverse pathogens that have the potential to result in zoonotic outbreaks. Smaller primates have been implicated as hosts in several disease outbreaks, especially when kept under stressful situations and in larger numbers.</t>
  </si>
  <si>
    <t xml:space="preserve">Wild birds, particularly wild waterfowl, are known hosts of H5N1 influenza with high pandemic potential. They are known to be reservoirs of viral pathogens with highly zoonotic potential. </t>
  </si>
  <si>
    <t>Squirrels are known to host several risky pathogens and are widely traded as pets and for food.</t>
  </si>
  <si>
    <t>Wild pigs are known to harbor some risky zoonotic pathogens, and have been implicated in outbreaks. While pigs are widely killed and sold for consumption in wildlife markets, care and caution should be exercised, and large numbers should not be kept together to reduce risks</t>
  </si>
  <si>
    <t>Related to viverids, and likely have similar zoonotic risks associated with this taxa. They have been associated with SARS viruses, with new evidence to show they are affected by coronavirus.</t>
  </si>
  <si>
    <t>Cervids are known to harbor some risky zoonotic pathogens, and some have been implicated in outbreaks. While cervids are widely killed and sold for consumption in wildlife markets, care and caution should be exercised, and large numbers should not be kept together to reduce risks.</t>
  </si>
  <si>
    <t>Although there have been few outbreak-level zoonotic disases recorded among felids, they are known to become infected and harbour viruses, including coronavirus. Captive felids are known to become infected with Covid19. Therefore, there is a need for a precautionary approach, and the numbers reflect this. Felids are also top predators that regulate prey species, including rodents that are also high risk species for zoonotic pathogens.</t>
  </si>
  <si>
    <t>Although there have been few serious outbreak-level zoonotic disases recorded among canids, they are known to become infected and harbour viruses, including coronavirus. Captive and domestic canids are known to become infected with Covid19. Therefore, there is a need for a precautionary approach, and the numbers reflect this. Felids are also top predators that regulate prey species, including rodents that are also high risk species for zoonotic pathogens.</t>
  </si>
  <si>
    <t>There are few outbreak-level zoonotic diseases recorded among these species, but there should be a precautionary approach to restrict the numbers that are traded.</t>
  </si>
  <si>
    <t>Few outbreak-level zoonotic disases recorded but precautionary approach to numbers that are traded is needed.</t>
  </si>
  <si>
    <t>Little known pathogen profile, precautionary approach, animals are traded</t>
  </si>
  <si>
    <t>Few outbreak-level zoonotic disases recorded but precautionary approach to numbers that are traded.</t>
  </si>
  <si>
    <t>Uncertain risk level. But related to primates, and will require precautionary approach.</t>
  </si>
  <si>
    <t>Few outbreak-level zoonotic diseases. An important keystone species in maintaining tropical forest ecosystems through seed dispersal, maintaining clearings, and other habitat modification</t>
  </si>
  <si>
    <t>Uncertain risk level. Precautionary principle is necessary until more information is available.</t>
  </si>
  <si>
    <t>Few outbreak-level zoonotic disases recorded. But trade centres with high numbers under stressful conditions should be avoided as a precuation.</t>
  </si>
  <si>
    <t>A few outbreak-level zoonotic risks known. Trade in high numbers should be avoided as a precaution.</t>
  </si>
  <si>
    <t>Little zoonotic risk through trade</t>
  </si>
  <si>
    <t>Risk from Traded Taxa</t>
  </si>
  <si>
    <t>Trade Chains &amp; Points of Sale</t>
  </si>
  <si>
    <t>Relative Zoonotic Disease Risk of Major Types of Wildlife Trade Chains &amp; Points of Sale</t>
  </si>
  <si>
    <r>
      <t xml:space="preserve">Ecological Role (not used in disease risk assessments of markets) - </t>
    </r>
    <r>
      <rPr>
        <sz val="11"/>
        <color theme="1"/>
        <rFont val="Calibri"/>
        <family val="2"/>
        <scheme val="minor"/>
      </rPr>
      <t>keystone species, landscape or habitat engineers, top predators, major seed dispersers, trophic level regulators</t>
    </r>
  </si>
  <si>
    <r>
      <t xml:space="preserve">Conservation Vulnerability to trade (not used in disease risk assessments of markets) - </t>
    </r>
    <r>
      <rPr>
        <sz val="11"/>
        <color theme="1"/>
        <rFont val="Calibri"/>
        <family val="2"/>
        <scheme val="minor"/>
      </rPr>
      <t>highly targeted, low densities, rare, slow reproduction, easy to hunt, threatened globally</t>
    </r>
  </si>
  <si>
    <t>Risk from Traded Taxa for a Given Wildlife Trade Point of Sale</t>
  </si>
  <si>
    <t>Disease Risk by Traded Taxa and Numbers of Animals</t>
  </si>
  <si>
    <t>The risk register proposed here informed the development of the tool in regards to important factors and relative weightings of factors and conditions - however this is not used directly in the analytical steps of the tool</t>
  </si>
  <si>
    <t>TAXONOMIC RISK FACTOR
(sum of variables from column B to F)</t>
  </si>
  <si>
    <t>Taxonomic Risk Category</t>
  </si>
  <si>
    <t>TAXONOMIC RISK CATEGORY</t>
  </si>
  <si>
    <t>Number-based Category</t>
  </si>
  <si>
    <t>Very high, important species for seed dispersal</t>
  </si>
  <si>
    <t>high, important species for seed dispersal, insectivore regulation</t>
  </si>
  <si>
    <t>high, regulators of termites, ants, burrow builders</t>
  </si>
  <si>
    <t>Research animal facilities</t>
  </si>
  <si>
    <t>bubonic plague, Hanta virus, Lymphocytic choriomeningitis virus (LCMV) 1933, 
Junin virus-Argentine hemorrhagic fever 1958, Machupo virus-Bolivian hemorrhagic fever 1963, Lassa fever 1969, Guanarito virus -Venezuelan hemorrhagic fever 1989, Brazilian hemorrhagic fever 1993, Chapare hemorrhagic fever 2004, Lujo hemorrhagic fever 2008</t>
  </si>
  <si>
    <t>Wild pigs &amp; babirussa</t>
  </si>
  <si>
    <t>poxviruses</t>
  </si>
  <si>
    <t>Mustelidae (weasels, mink, otter, badgers, hog badgers, polecats, marten)</t>
  </si>
  <si>
    <t>Canidae (wild dogs, jackals, foxes, wolves, raccoon dog)</t>
  </si>
  <si>
    <t>Leporidae (hares, rabbits)</t>
  </si>
  <si>
    <t>Dermoptera (colugo)</t>
  </si>
  <si>
    <t>Scandentia (tree shrews)</t>
  </si>
  <si>
    <t>Hystricidae (porcupines)</t>
  </si>
  <si>
    <t>Ursidae (bears)</t>
  </si>
  <si>
    <t>Felidae (wild cats)</t>
  </si>
  <si>
    <t>Perissodactyla (e.g. tapir, rhinoceros, asses, horses)</t>
  </si>
  <si>
    <t>Ailuridae (red panda)</t>
  </si>
  <si>
    <t>Suidae (wild pigs, babirussa)</t>
  </si>
  <si>
    <t>Sciuridae (squirrels)</t>
  </si>
  <si>
    <t>Wild birds -(notably waterbirds)</t>
  </si>
  <si>
    <t>Primates (monkeys, macaque, loris, tarsier, other non-great ape)</t>
  </si>
  <si>
    <t>Viverridae (civets, mongooses)</t>
  </si>
  <si>
    <t>Manidae (pangolins)</t>
  </si>
  <si>
    <t>Sciurognathi (e.g. mice, rats, hamsters, jerboas, voles)</t>
  </si>
  <si>
    <t>Pteropodidae (fruit bats/flying foxes)</t>
  </si>
  <si>
    <t>Primates (great apes, such as orangutan, gibbons)</t>
  </si>
  <si>
    <t>Primates (Great Apes, such as orangutan, gibbons)</t>
  </si>
  <si>
    <t>Sciurognathi (mice, rats, hamsters, jerboas, voles, others)</t>
  </si>
  <si>
    <t>Primates (monkeys, macaque, loris, tarsier, other non-great apes)</t>
  </si>
  <si>
    <t>Viverids (e.g. civets, mongoose)</t>
  </si>
  <si>
    <t>Eulipotyphla (shrews, moles, moonrats, gymnures, hedgehogs)</t>
  </si>
  <si>
    <t>Dermoptera (flying lemurs, colugo)</t>
  </si>
  <si>
    <t>Beta coronavirus, SARS in snakes</t>
  </si>
  <si>
    <t>influenza, Bunyavirales (e.g. Crimean-Congo HF, Rift Valley), Paramyxoviridae (Nipah),  Beta corona virus (including COVID 19, SARS)</t>
  </si>
  <si>
    <t>Wildlife farms</t>
  </si>
  <si>
    <t>Wildlife farms for terrestrial mammals &amp; birds</t>
  </si>
  <si>
    <t>Cervidae, Moschidae, Tragulidae, Bovidae (selected Artiodactyla)</t>
  </si>
  <si>
    <t>1-3</t>
  </si>
  <si>
    <t>&gt;3</t>
  </si>
  <si>
    <t>&gt;5</t>
  </si>
  <si>
    <t>other bats</t>
  </si>
  <si>
    <t>Perissodactyla (e.g. tapir, rhinoceros, asses, horses) &amp; Elephants</t>
  </si>
  <si>
    <t>Pteropid and other Bats</t>
  </si>
  <si>
    <t>Ursidae (Bears)</t>
  </si>
  <si>
    <t>m</t>
  </si>
  <si>
    <t>TCM shops &amp; stalls</t>
  </si>
  <si>
    <t>Wildlife sales from TCM shops &amp; stalls (usually dead, dried, frozen)</t>
  </si>
  <si>
    <t>Larger permanent wildlife markets (cities)</t>
  </si>
  <si>
    <t>Wildlife stalls in larger, permanent markets in cities (consumption, pets, parts) (locally wild caught, possibly transported over distance or international, or captive bred, alive and dead)</t>
  </si>
  <si>
    <t>Roadside stalls</t>
  </si>
  <si>
    <t>Urban (town) bushmeat markets (domestic markets, caught in region, shorter transport)</t>
  </si>
  <si>
    <t>Rural &amp; village bushmeat markets (locally-caught or transported within region – live, dead, smoked)</t>
  </si>
  <si>
    <t>Local village sales/trade/barter &amp; one-off sales from vehicles/boats of freshly caught wildlife</t>
  </si>
  <si>
    <t>Rural &amp; village bushmarkets</t>
  </si>
  <si>
    <t xml:space="preserve">Research facility
</t>
  </si>
  <si>
    <t>ALL DATA SHOULD BE ENTERED INTO THIS COLUMN</t>
  </si>
  <si>
    <t>Types of Wildlife Being Traded &amp; Numbers of Individual Animals</t>
  </si>
  <si>
    <r>
      <rPr>
        <b/>
        <sz val="12"/>
        <color theme="1"/>
        <rFont val="Calibri"/>
        <family val="2"/>
        <scheme val="minor"/>
      </rPr>
      <t>Market Risk</t>
    </r>
    <r>
      <rPr>
        <b/>
        <sz val="11"/>
        <color theme="1"/>
        <rFont val="Calibri"/>
        <family val="2"/>
        <scheme val="minor"/>
      </rPr>
      <t xml:space="preserve"> (TR+SP+PR)/3
&lt;1 = Lowest Risk; 1-2 = Low Risk; 3-5 = Medium Risk; 6-8 = High Risk; 9-10 = Very High Risk</t>
    </r>
  </si>
  <si>
    <t>For questions contact: 
David Olson (dolson@wwf.org.hk) or 
Eric Wikramanayake (ericw@wwf.org.hk)
WWF Hong Kong</t>
  </si>
  <si>
    <t>worksheet unlock password: iwt</t>
  </si>
  <si>
    <t xml:space="preserve">Relative Risk of Asia-Pacific Terrestrial Wildlife Taxa for Future 
Serious Epidemic/Pandemic Emerging Infectious Disease </t>
  </si>
  <si>
    <t>Sources for information on hosted virus families and documented oubreaks, epidemics, pandemics: refer to Appendix 2</t>
  </si>
  <si>
    <t>Please add details of any changes made to the framework and save as new version (e.g., Ver 1.1, 1.2)</t>
  </si>
  <si>
    <t>Name</t>
  </si>
  <si>
    <t>Organization or affiliation</t>
  </si>
  <si>
    <t>Date change was made</t>
  </si>
  <si>
    <t>New file name</t>
  </si>
  <si>
    <t>Description of changes</t>
  </si>
  <si>
    <t>Eric Wikramanayake</t>
  </si>
  <si>
    <t>WWF Hong Kong</t>
  </si>
  <si>
    <t>ver 1.0</t>
  </si>
  <si>
    <t>Final version of Appendix 1</t>
  </si>
  <si>
    <t>Feb 22 2021</t>
  </si>
  <si>
    <t>Mustelidae (weasels, mink, otter, badgers, hog badgers, ferret badgers, polecats, marten)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</si>
</sst>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409]mmmm\ d\,\ yyyy;@"/>
  </numFmts>
  <fonts count="33" x14ac:knownFonts="1">
    <font>
      <sz val="12"/>
      <color theme="1"/>
      <name val="Calibri"/>
      <family val="2"/>
      <scheme val="minor"/>
    </font>
    <font>
      <sz val="11"/>
      <color theme="1"/>
      <name val="Calibri"/>
      <family val="2"/>
      <scheme val="minor"/>
    </font>
    <font>
      <sz val="11"/>
      <color theme="1"/>
      <name val="Calibri"/>
      <family val="2"/>
      <scheme val="minor"/>
    </font>
    <font>
      <b/>
      <sz val="12"/>
      <color theme="1"/>
      <name val="Calibri"/>
      <family val="2"/>
      <scheme val="minor"/>
    </font>
    <font>
      <sz val="12"/>
      <color theme="0"/>
      <name val="Calibri"/>
      <family val="2"/>
      <scheme val="minor"/>
    </font>
    <font>
      <sz val="8"/>
      <name val="Calibri"/>
      <family val="2"/>
      <scheme val="minor"/>
    </font>
    <font>
      <b/>
      <sz val="14"/>
      <color theme="1"/>
      <name val="Calibri"/>
      <family val="2"/>
      <scheme val="minor"/>
    </font>
    <font>
      <b/>
      <i/>
      <sz val="12"/>
      <color theme="1"/>
      <name val="Calibri"/>
      <family val="2"/>
      <scheme val="minor"/>
    </font>
    <font>
      <b/>
      <sz val="18"/>
      <color theme="1"/>
      <name val="Calibri"/>
      <family val="2"/>
      <scheme val="minor"/>
    </font>
    <font>
      <b/>
      <sz val="18"/>
      <name val="Calibri"/>
      <family val="2"/>
      <scheme val="minor"/>
    </font>
    <font>
      <b/>
      <sz val="22"/>
      <color theme="1"/>
      <name val="Calibri"/>
      <family val="2"/>
      <scheme val="minor"/>
    </font>
    <font>
      <sz val="18"/>
      <color theme="1"/>
      <name val="Calibri"/>
      <family val="2"/>
      <scheme val="minor"/>
    </font>
    <font>
      <sz val="9"/>
      <color theme="1"/>
      <name val="Calibri"/>
      <family val="2"/>
      <scheme val="minor"/>
    </font>
    <font>
      <sz val="12"/>
      <color rgb="FFFF0000"/>
      <name val="Calibri"/>
      <family val="2"/>
      <scheme val="minor"/>
    </font>
    <font>
      <sz val="12"/>
      <color theme="1"/>
      <name val="Calibri"/>
      <family val="2"/>
      <scheme val="minor"/>
    </font>
    <font>
      <b/>
      <sz val="11"/>
      <color theme="1"/>
      <name val="Calibri"/>
      <family val="2"/>
      <scheme val="minor"/>
    </font>
    <font>
      <b/>
      <sz val="11"/>
      <color rgb="FF000000"/>
      <name val="Calibri"/>
      <family val="2"/>
      <scheme val="minor"/>
    </font>
    <font>
      <b/>
      <sz val="14"/>
      <color rgb="FF000000"/>
      <name val="Calibri"/>
      <family val="2"/>
      <scheme val="minor"/>
    </font>
    <font>
      <b/>
      <sz val="16"/>
      <color theme="1"/>
      <name val="Calibri"/>
      <family val="2"/>
      <scheme val="minor"/>
    </font>
    <font>
      <b/>
      <sz val="20"/>
      <color theme="1"/>
      <name val="Calibri"/>
      <family val="2"/>
      <scheme val="minor"/>
    </font>
    <font>
      <sz val="14"/>
      <color theme="1"/>
      <name val="Calibri"/>
      <family val="2"/>
      <scheme val="minor"/>
    </font>
    <font>
      <i/>
      <sz val="12"/>
      <color theme="1"/>
      <name val="Calibri"/>
      <family val="2"/>
      <scheme val="minor"/>
    </font>
    <font>
      <i/>
      <sz val="11"/>
      <color theme="1"/>
      <name val="Calibri"/>
      <family val="2"/>
      <scheme val="minor"/>
    </font>
    <font>
      <b/>
      <sz val="12"/>
      <color rgb="FF000000"/>
      <name val="Calibri"/>
      <family val="2"/>
      <scheme val="minor"/>
    </font>
    <font>
      <b/>
      <i/>
      <sz val="12"/>
      <color rgb="FF000000"/>
      <name val="Calibri"/>
      <family val="2"/>
      <scheme val="minor"/>
    </font>
    <font>
      <b/>
      <sz val="10"/>
      <color theme="1"/>
      <name val="Calibri"/>
      <family val="2"/>
      <scheme val="minor"/>
    </font>
    <font>
      <sz val="10"/>
      <color theme="1"/>
      <name val="Calibri"/>
      <family val="2"/>
      <scheme val="minor"/>
    </font>
    <font>
      <b/>
      <sz val="12"/>
      <color rgb="FFFF0000"/>
      <name val="Calibri"/>
      <family val="2"/>
      <scheme val="minor"/>
    </font>
    <font>
      <b/>
      <sz val="12"/>
      <color theme="0"/>
      <name val="Calibri"/>
      <family val="2"/>
      <scheme val="minor"/>
    </font>
    <font>
      <b/>
      <sz val="12"/>
      <name val="Calibri"/>
      <family val="2"/>
      <scheme val="minor"/>
    </font>
    <font>
      <sz val="16"/>
      <color theme="1"/>
      <name val="Calibri"/>
      <family val="2"/>
      <scheme val="minor"/>
    </font>
    <font>
      <b/>
      <sz val="14"/>
      <color rgb="FFFF0000"/>
      <name val="Calibri"/>
      <family val="2"/>
      <scheme val="minor"/>
    </font>
    <font>
      <b/>
      <sz val="16"/>
      <color rgb="FFFF0000"/>
      <name val="Calibri"/>
      <family val="2"/>
      <scheme val="minor"/>
    </font>
  </fonts>
  <fills count="25">
    <fill>
      <patternFill patternType="none"/>
    </fill>
    <fill>
      <patternFill patternType="gray125"/>
    </fill>
    <fill>
      <patternFill patternType="solid">
        <fgColor theme="7" tint="0.59999389629810485"/>
        <bgColor indexed="64"/>
      </patternFill>
    </fill>
    <fill>
      <patternFill patternType="solid">
        <fgColor rgb="FFFFFF00"/>
        <bgColor indexed="64"/>
      </patternFill>
    </fill>
    <fill>
      <patternFill patternType="solid">
        <fgColor theme="5" tint="0.59999389629810485"/>
        <bgColor indexed="64"/>
      </patternFill>
    </fill>
    <fill>
      <patternFill patternType="solid">
        <fgColor rgb="FFFF0000"/>
        <bgColor indexed="64"/>
      </patternFill>
    </fill>
    <fill>
      <patternFill patternType="solid">
        <fgColor theme="7" tint="0.39997558519241921"/>
        <bgColor indexed="64"/>
      </patternFill>
    </fill>
    <fill>
      <patternFill patternType="solid">
        <fgColor rgb="FFFFC000"/>
        <bgColor indexed="64"/>
      </patternFill>
    </fill>
    <fill>
      <patternFill patternType="solid">
        <fgColor rgb="FFFF9900"/>
        <bgColor indexed="64"/>
      </patternFill>
    </fill>
    <fill>
      <patternFill patternType="solid">
        <fgColor rgb="FFFFCCCC"/>
        <bgColor indexed="64"/>
      </patternFill>
    </fill>
    <fill>
      <patternFill patternType="solid">
        <fgColor theme="7" tint="0.79998168889431442"/>
        <bgColor indexed="64"/>
      </patternFill>
    </fill>
    <fill>
      <patternFill patternType="solid">
        <fgColor rgb="FF00B0F0"/>
        <bgColor indexed="64"/>
      </patternFill>
    </fill>
    <fill>
      <patternFill patternType="solid">
        <fgColor rgb="FFC000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92D050"/>
        <bgColor indexed="64"/>
      </patternFill>
    </fill>
    <fill>
      <patternFill patternType="solid">
        <fgColor rgb="FFCCFF99"/>
        <bgColor indexed="64"/>
      </patternFill>
    </fill>
    <fill>
      <patternFill patternType="solid">
        <fgColor rgb="FFFFFF99"/>
        <bgColor indexed="64"/>
      </patternFill>
    </fill>
    <fill>
      <patternFill patternType="solid">
        <fgColor theme="7"/>
        <bgColor indexed="64"/>
      </patternFill>
    </fill>
  </fills>
  <borders count="36">
    <border>
      <left/>
      <right/>
      <top/>
      <bottom/>
      <diagonal/>
    </border>
    <border>
      <left style="medium">
        <color indexed="64"/>
      </left>
      <right/>
      <top/>
      <bottom/>
      <diagonal/>
    </border>
    <border>
      <left/>
      <right style="medium">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auto="1"/>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s>
  <cellStyleXfs count="2">
    <xf numFmtId="0" fontId="0" fillId="0" borderId="0"/>
    <xf numFmtId="43" fontId="14" fillId="0" borderId="0" applyFont="0" applyFill="0" applyBorder="0" applyAlignment="0" applyProtection="0"/>
  </cellStyleXfs>
  <cellXfs count="304">
    <xf numFmtId="0" fontId="0" fillId="0" borderId="0" xfId="0"/>
    <xf numFmtId="0" fontId="0" fillId="0" borderId="0" xfId="0" applyAlignment="1">
      <alignment wrapText="1"/>
    </xf>
    <xf numFmtId="0" fontId="0" fillId="0" borderId="1" xfId="0" applyBorder="1"/>
    <xf numFmtId="0" fontId="0" fillId="0" borderId="2" xfId="0" applyBorder="1"/>
    <xf numFmtId="0" fontId="0" fillId="0" borderId="0" xfId="0" applyBorder="1" applyAlignment="1">
      <alignment wrapText="1"/>
    </xf>
    <xf numFmtId="0" fontId="0" fillId="0" borderId="0" xfId="0" applyBorder="1"/>
    <xf numFmtId="0" fontId="0" fillId="0" borderId="3" xfId="0" applyBorder="1"/>
    <xf numFmtId="0" fontId="0" fillId="0" borderId="3" xfId="0" applyBorder="1" applyAlignment="1">
      <alignment wrapText="1"/>
    </xf>
    <xf numFmtId="0" fontId="0" fillId="0" borderId="0" xfId="0" applyAlignment="1">
      <alignment vertical="top"/>
    </xf>
    <xf numFmtId="0" fontId="0" fillId="0" borderId="0" xfId="0" applyFill="1" applyAlignment="1">
      <alignment wrapText="1"/>
    </xf>
    <xf numFmtId="0" fontId="3" fillId="0" borderId="4" xfId="0" applyFont="1" applyFill="1" applyBorder="1" applyAlignment="1">
      <alignment horizontal="center" vertical="top" wrapText="1"/>
    </xf>
    <xf numFmtId="0" fontId="3" fillId="6" borderId="4" xfId="0" applyFont="1" applyFill="1" applyBorder="1" applyAlignment="1">
      <alignment horizontal="left" vertical="top" wrapText="1"/>
    </xf>
    <xf numFmtId="0" fontId="0" fillId="0" borderId="0" xfId="0" applyFill="1" applyAlignment="1">
      <alignment vertical="top" wrapText="1"/>
    </xf>
    <xf numFmtId="0" fontId="3" fillId="2" borderId="4" xfId="0" applyFont="1" applyFill="1" applyBorder="1" applyAlignment="1">
      <alignment horizontal="center" wrapText="1"/>
    </xf>
    <xf numFmtId="0" fontId="3" fillId="2" borderId="4" xfId="0" applyFont="1" applyFill="1" applyBorder="1" applyAlignment="1">
      <alignment horizontal="center" vertical="top" wrapText="1"/>
    </xf>
    <xf numFmtId="0" fontId="7" fillId="2" borderId="4" xfId="0" applyFont="1" applyFill="1" applyBorder="1" applyAlignment="1">
      <alignment horizontal="left" vertical="top" wrapText="1"/>
    </xf>
    <xf numFmtId="0" fontId="9" fillId="5" borderId="4" xfId="0" applyFont="1" applyFill="1" applyBorder="1" applyAlignment="1">
      <alignment vertical="top" wrapText="1"/>
    </xf>
    <xf numFmtId="0" fontId="0" fillId="0" borderId="4" xfId="0" applyBorder="1"/>
    <xf numFmtId="0" fontId="4" fillId="0" borderId="2" xfId="0" applyFont="1" applyFill="1" applyBorder="1" applyAlignment="1">
      <alignment wrapText="1"/>
    </xf>
    <xf numFmtId="0" fontId="0" fillId="0" borderId="0" xfId="0" applyFont="1" applyFill="1" applyAlignment="1">
      <alignment wrapText="1"/>
    </xf>
    <xf numFmtId="0" fontId="9" fillId="8" borderId="4" xfId="0" applyFont="1" applyFill="1" applyBorder="1" applyAlignment="1">
      <alignment vertical="top" wrapText="1"/>
    </xf>
    <xf numFmtId="0" fontId="9" fillId="4" borderId="4" xfId="0" applyFont="1" applyFill="1" applyBorder="1" applyAlignment="1">
      <alignment vertical="top" wrapText="1"/>
    </xf>
    <xf numFmtId="0" fontId="9" fillId="7" borderId="4" xfId="0" applyFont="1" applyFill="1" applyBorder="1" applyAlignment="1">
      <alignment vertical="top" wrapText="1"/>
    </xf>
    <xf numFmtId="0" fontId="9" fillId="3" borderId="4" xfId="0" applyFont="1" applyFill="1" applyBorder="1" applyAlignment="1">
      <alignment vertical="top" wrapText="1"/>
    </xf>
    <xf numFmtId="0" fontId="0" fillId="0" borderId="5" xfId="0" applyBorder="1"/>
    <xf numFmtId="0" fontId="9" fillId="5" borderId="4" xfId="0" applyFont="1" applyFill="1" applyBorder="1" applyAlignment="1">
      <alignment horizontal="center" vertical="top" wrapText="1"/>
    </xf>
    <xf numFmtId="0" fontId="0" fillId="0" borderId="4" xfId="0" applyBorder="1" applyAlignment="1">
      <alignment wrapText="1"/>
    </xf>
    <xf numFmtId="9" fontId="4" fillId="0" borderId="4" xfId="0" applyNumberFormat="1" applyFont="1" applyFill="1" applyBorder="1" applyAlignment="1">
      <alignment wrapText="1"/>
    </xf>
    <xf numFmtId="9" fontId="0" fillId="0" borderId="4" xfId="0" applyNumberFormat="1" applyFont="1" applyFill="1" applyBorder="1" applyAlignment="1">
      <alignment wrapText="1"/>
    </xf>
    <xf numFmtId="2" fontId="0" fillId="0" borderId="4" xfId="0" applyNumberFormat="1" applyBorder="1"/>
    <xf numFmtId="0" fontId="0" fillId="0" borderId="0" xfId="0" applyFill="1" applyAlignment="1">
      <alignment horizontal="left" vertical="top" wrapText="1"/>
    </xf>
    <xf numFmtId="0" fontId="0" fillId="3" borderId="0" xfId="0" applyFill="1"/>
    <xf numFmtId="0" fontId="0" fillId="7" borderId="0" xfId="0" applyFill="1"/>
    <xf numFmtId="0" fontId="0" fillId="5" borderId="0" xfId="0" applyFill="1"/>
    <xf numFmtId="2" fontId="0" fillId="0" borderId="0" xfId="0" applyNumberFormat="1"/>
    <xf numFmtId="0" fontId="0" fillId="10" borderId="0" xfId="0" applyFill="1"/>
    <xf numFmtId="0" fontId="0" fillId="11" borderId="0" xfId="0" applyFill="1" applyAlignment="1" applyProtection="1">
      <alignment vertical="center"/>
    </xf>
    <xf numFmtId="0" fontId="0" fillId="12" borderId="0" xfId="0" applyFill="1"/>
    <xf numFmtId="0" fontId="0" fillId="0" borderId="0" xfId="0" applyAlignment="1">
      <alignment horizontal="center" vertical="center"/>
    </xf>
    <xf numFmtId="0" fontId="0" fillId="12" borderId="0" xfId="0" applyFill="1" applyAlignment="1">
      <alignment horizontal="center" vertical="center"/>
    </xf>
    <xf numFmtId="0" fontId="0" fillId="5" borderId="0" xfId="0" applyFill="1" applyAlignment="1">
      <alignment horizontal="center" vertical="center"/>
    </xf>
    <xf numFmtId="0" fontId="0" fillId="7" borderId="0" xfId="0" applyFill="1" applyAlignment="1">
      <alignment horizontal="center" vertical="center"/>
    </xf>
    <xf numFmtId="0" fontId="0" fillId="3" borderId="0" xfId="0" applyFill="1" applyAlignment="1">
      <alignment horizontal="center" vertical="center"/>
    </xf>
    <xf numFmtId="0" fontId="0" fillId="10" borderId="0" xfId="0" applyFill="1" applyAlignment="1">
      <alignment horizontal="center" vertical="center"/>
    </xf>
    <xf numFmtId="0" fontId="0" fillId="12" borderId="4" xfId="0" applyFill="1" applyBorder="1"/>
    <xf numFmtId="0" fontId="0" fillId="5" borderId="4" xfId="0" applyFill="1" applyBorder="1"/>
    <xf numFmtId="0" fontId="0" fillId="7" borderId="4" xfId="0" applyFill="1" applyBorder="1"/>
    <xf numFmtId="0" fontId="0" fillId="3" borderId="4" xfId="0" applyFill="1" applyBorder="1"/>
    <xf numFmtId="0" fontId="13" fillId="7" borderId="4" xfId="0" applyFont="1" applyFill="1" applyBorder="1"/>
    <xf numFmtId="0" fontId="0" fillId="10" borderId="4" xfId="0" applyFill="1" applyBorder="1"/>
    <xf numFmtId="164" fontId="0" fillId="0" borderId="0" xfId="0" applyNumberFormat="1"/>
    <xf numFmtId="43" fontId="0" fillId="0" borderId="0" xfId="1" applyFont="1" applyAlignment="1">
      <alignment vertical="top" textRotation="90" wrapText="1"/>
    </xf>
    <xf numFmtId="0" fontId="0" fillId="0" borderId="0" xfId="0" applyAlignment="1">
      <alignment vertical="top" textRotation="90" wrapText="1"/>
    </xf>
    <xf numFmtId="0" fontId="0" fillId="0" borderId="0" xfId="0" applyAlignment="1">
      <alignment vertical="top" textRotation="90"/>
    </xf>
    <xf numFmtId="43" fontId="0" fillId="0" borderId="0" xfId="1" applyFont="1" applyAlignment="1">
      <alignment horizontal="left" vertical="top" textRotation="90" wrapText="1"/>
    </xf>
    <xf numFmtId="0" fontId="3" fillId="5" borderId="4" xfId="0" applyFont="1" applyFill="1" applyBorder="1" applyAlignment="1">
      <alignment horizontal="center" vertical="center"/>
    </xf>
    <xf numFmtId="0" fontId="3" fillId="7" borderId="4" xfId="0" applyFont="1" applyFill="1" applyBorder="1" applyAlignment="1">
      <alignment horizontal="center" vertical="center"/>
    </xf>
    <xf numFmtId="164" fontId="0" fillId="11" borderId="0" xfId="0" applyNumberFormat="1" applyFill="1" applyAlignment="1" applyProtection="1">
      <alignment vertical="center"/>
    </xf>
    <xf numFmtId="0" fontId="3" fillId="3" borderId="4" xfId="0" applyFont="1" applyFill="1" applyBorder="1" applyAlignment="1">
      <alignment horizontal="center" vertical="center"/>
    </xf>
    <xf numFmtId="0" fontId="3" fillId="10" borderId="4" xfId="0" applyFont="1" applyFill="1" applyBorder="1" applyAlignment="1">
      <alignment horizontal="center" vertical="center"/>
    </xf>
    <xf numFmtId="0" fontId="0" fillId="13" borderId="0" xfId="0" applyFill="1" applyBorder="1"/>
    <xf numFmtId="0" fontId="0" fillId="15" borderId="4" xfId="0" applyFill="1" applyBorder="1" applyAlignment="1" applyProtection="1">
      <alignment horizontal="left" vertical="top"/>
    </xf>
    <xf numFmtId="0" fontId="0" fillId="6" borderId="4" xfId="0" applyFill="1" applyBorder="1" applyAlignment="1" applyProtection="1">
      <alignment horizontal="left" vertical="top"/>
    </xf>
    <xf numFmtId="0" fontId="0" fillId="16" borderId="4" xfId="0" applyFill="1" applyBorder="1" applyAlignment="1" applyProtection="1">
      <alignment horizontal="left" vertical="top"/>
    </xf>
    <xf numFmtId="0" fontId="3" fillId="13" borderId="4" xfId="0" applyFont="1" applyFill="1" applyBorder="1" applyAlignment="1">
      <alignment horizontal="left" vertical="top" wrapText="1"/>
    </xf>
    <xf numFmtId="0" fontId="3" fillId="15" borderId="4" xfId="0" applyFont="1" applyFill="1" applyBorder="1" applyAlignment="1">
      <alignment horizontal="left" vertical="top" wrapText="1"/>
    </xf>
    <xf numFmtId="0" fontId="3" fillId="15" borderId="4" xfId="0" applyFont="1" applyFill="1" applyBorder="1" applyAlignment="1">
      <alignment horizontal="left" vertical="top" textRotation="90" wrapText="1"/>
    </xf>
    <xf numFmtId="0" fontId="3" fillId="6" borderId="4" xfId="0" applyFont="1" applyFill="1" applyBorder="1" applyAlignment="1">
      <alignment horizontal="left" vertical="top" textRotation="90" wrapText="1"/>
    </xf>
    <xf numFmtId="0" fontId="3" fillId="16" borderId="4" xfId="0" applyFont="1" applyFill="1" applyBorder="1" applyAlignment="1">
      <alignment horizontal="left" vertical="top" wrapText="1"/>
    </xf>
    <xf numFmtId="0" fontId="3" fillId="16" borderId="4" xfId="0" applyFont="1" applyFill="1" applyBorder="1" applyAlignment="1">
      <alignment horizontal="left" vertical="top" textRotation="90" wrapText="1"/>
    </xf>
    <xf numFmtId="164" fontId="0" fillId="2" borderId="4" xfId="0" applyNumberFormat="1" applyFill="1" applyBorder="1" applyAlignment="1">
      <alignment horizontal="left" vertical="top"/>
    </xf>
    <xf numFmtId="0" fontId="0" fillId="0" borderId="0" xfId="0" applyAlignment="1">
      <alignment horizontal="left"/>
    </xf>
    <xf numFmtId="0" fontId="3" fillId="0" borderId="0" xfId="0" applyFont="1" applyFill="1" applyAlignment="1">
      <alignment horizontal="left" wrapText="1"/>
    </xf>
    <xf numFmtId="0" fontId="3" fillId="0" borderId="0" xfId="0" applyFont="1" applyFill="1" applyAlignment="1">
      <alignment vertical="top" wrapText="1"/>
    </xf>
    <xf numFmtId="0" fontId="3" fillId="0" borderId="4" xfId="0" applyFont="1" applyBorder="1"/>
    <xf numFmtId="0" fontId="3" fillId="5" borderId="4" xfId="0" applyFont="1" applyFill="1" applyBorder="1"/>
    <xf numFmtId="49" fontId="3" fillId="0" borderId="4" xfId="0" applyNumberFormat="1" applyFont="1" applyBorder="1"/>
    <xf numFmtId="49" fontId="3" fillId="7" borderId="4" xfId="0" quotePrefix="1" applyNumberFormat="1" applyFont="1" applyFill="1" applyBorder="1"/>
    <xf numFmtId="49" fontId="3" fillId="7" borderId="4" xfId="0" applyNumberFormat="1" applyFont="1" applyFill="1" applyBorder="1"/>
    <xf numFmtId="49" fontId="3" fillId="10" borderId="4" xfId="0" applyNumberFormat="1" applyFont="1" applyFill="1" applyBorder="1"/>
    <xf numFmtId="49" fontId="3" fillId="3" borderId="4" xfId="0" applyNumberFormat="1" applyFont="1" applyFill="1" applyBorder="1"/>
    <xf numFmtId="0" fontId="3" fillId="10" borderId="4" xfId="0" applyFont="1" applyFill="1" applyBorder="1"/>
    <xf numFmtId="0" fontId="3" fillId="3" borderId="4" xfId="0" applyFont="1" applyFill="1" applyBorder="1" applyAlignment="1">
      <alignment horizontal="center" vertical="center" textRotation="255"/>
    </xf>
    <xf numFmtId="0" fontId="0" fillId="10" borderId="4" xfId="0" applyFill="1" applyBorder="1" applyAlignment="1">
      <alignment horizontal="center" vertical="center"/>
    </xf>
    <xf numFmtId="0" fontId="0" fillId="3" borderId="4" xfId="0" applyFill="1" applyBorder="1" applyAlignment="1">
      <alignment horizontal="center" vertical="center"/>
    </xf>
    <xf numFmtId="0" fontId="0" fillId="7" borderId="4" xfId="0" applyFill="1" applyBorder="1" applyAlignment="1">
      <alignment horizontal="center" vertical="center"/>
    </xf>
    <xf numFmtId="0" fontId="0" fillId="5" borderId="4" xfId="0" applyFill="1" applyBorder="1" applyAlignment="1">
      <alignment horizontal="center" vertical="center"/>
    </xf>
    <xf numFmtId="0" fontId="3" fillId="0" borderId="4" xfId="0" applyFont="1" applyBorder="1" applyAlignment="1">
      <alignment horizontal="center" vertical="center"/>
    </xf>
    <xf numFmtId="0" fontId="6" fillId="0" borderId="0" xfId="0" applyFont="1" applyFill="1" applyAlignment="1">
      <alignment vertical="top"/>
    </xf>
    <xf numFmtId="0" fontId="6" fillId="2" borderId="4" xfId="0" applyFont="1" applyFill="1" applyBorder="1" applyAlignment="1">
      <alignment horizontal="left"/>
    </xf>
    <xf numFmtId="0" fontId="0" fillId="2" borderId="4" xfId="0" applyFill="1" applyBorder="1" applyAlignment="1">
      <alignment horizontal="left"/>
    </xf>
    <xf numFmtId="0" fontId="17" fillId="5" borderId="4" xfId="0" applyFont="1" applyFill="1" applyBorder="1" applyAlignment="1">
      <alignment horizontal="left"/>
    </xf>
    <xf numFmtId="2" fontId="3" fillId="5" borderId="4" xfId="0" applyNumberFormat="1" applyFont="1" applyFill="1" applyBorder="1" applyAlignment="1">
      <alignment horizontal="left"/>
    </xf>
    <xf numFmtId="0" fontId="17" fillId="7" borderId="4" xfId="0" applyFont="1" applyFill="1" applyBorder="1" applyAlignment="1">
      <alignment horizontal="left"/>
    </xf>
    <xf numFmtId="2" fontId="3" fillId="7" borderId="4" xfId="0" applyNumberFormat="1" applyFont="1" applyFill="1" applyBorder="1" applyAlignment="1">
      <alignment horizontal="left"/>
    </xf>
    <xf numFmtId="0" fontId="17" fillId="3" borderId="4" xfId="0" applyFont="1" applyFill="1" applyBorder="1" applyAlignment="1">
      <alignment horizontal="left"/>
    </xf>
    <xf numFmtId="2" fontId="3" fillId="10" borderId="4" xfId="0" applyNumberFormat="1" applyFont="1" applyFill="1" applyBorder="1" applyAlignment="1">
      <alignment horizontal="left"/>
    </xf>
    <xf numFmtId="0" fontId="17" fillId="10" borderId="4" xfId="0" applyFont="1" applyFill="1" applyBorder="1" applyAlignment="1">
      <alignment horizontal="left"/>
    </xf>
    <xf numFmtId="0" fontId="6" fillId="0" borderId="0" xfId="0" applyFont="1" applyAlignment="1">
      <alignment horizontal="left"/>
    </xf>
    <xf numFmtId="2" fontId="0" fillId="0" borderId="0" xfId="0" applyNumberFormat="1" applyAlignment="1">
      <alignment horizontal="left"/>
    </xf>
    <xf numFmtId="0" fontId="0" fillId="0" borderId="0" xfId="0" applyNumberFormat="1" applyBorder="1" applyAlignment="1" applyProtection="1">
      <alignment horizontal="left"/>
    </xf>
    <xf numFmtId="0" fontId="3" fillId="0" borderId="0" xfId="0" applyFont="1" applyAlignment="1">
      <alignment horizontal="left"/>
    </xf>
    <xf numFmtId="0" fontId="3" fillId="0" borderId="0" xfId="0" applyNumberFormat="1" applyFont="1" applyAlignment="1" applyProtection="1">
      <alignment horizontal="left"/>
    </xf>
    <xf numFmtId="0" fontId="0" fillId="0" borderId="0" xfId="0" applyNumberFormat="1" applyAlignment="1" applyProtection="1">
      <alignment horizontal="left"/>
    </xf>
    <xf numFmtId="0" fontId="0" fillId="0" borderId="0" xfId="0" applyAlignment="1" applyProtection="1">
      <alignment horizontal="left"/>
    </xf>
    <xf numFmtId="0" fontId="0" fillId="13" borderId="13" xfId="0" applyFill="1" applyBorder="1"/>
    <xf numFmtId="0" fontId="0" fillId="13" borderId="14" xfId="0" applyFill="1" applyBorder="1"/>
    <xf numFmtId="0" fontId="0" fillId="13" borderId="15" xfId="0" applyFill="1" applyBorder="1"/>
    <xf numFmtId="0" fontId="0" fillId="13" borderId="16" xfId="0" applyFill="1" applyBorder="1"/>
    <xf numFmtId="0" fontId="0" fillId="13" borderId="3" xfId="0" applyFill="1" applyBorder="1"/>
    <xf numFmtId="0" fontId="0" fillId="13" borderId="17" xfId="0" applyFill="1" applyBorder="1"/>
    <xf numFmtId="0" fontId="0" fillId="13" borderId="18" xfId="0" applyFill="1" applyBorder="1"/>
    <xf numFmtId="0" fontId="0" fillId="13" borderId="19" xfId="0" applyFill="1" applyBorder="1"/>
    <xf numFmtId="0" fontId="3" fillId="2" borderId="4" xfId="0" applyFont="1" applyFill="1" applyBorder="1" applyAlignment="1">
      <alignment horizontal="left" vertical="top" wrapText="1"/>
    </xf>
    <xf numFmtId="0" fontId="15" fillId="2" borderId="4" xfId="0" applyFont="1" applyFill="1" applyBorder="1" applyAlignment="1">
      <alignment horizontal="left" vertical="top" wrapText="1"/>
    </xf>
    <xf numFmtId="0" fontId="2" fillId="0" borderId="0" xfId="0" applyFont="1"/>
    <xf numFmtId="0" fontId="3" fillId="9" borderId="4" xfId="0" applyFont="1" applyFill="1" applyBorder="1" applyAlignment="1">
      <alignment vertical="top" wrapText="1"/>
    </xf>
    <xf numFmtId="0" fontId="0" fillId="0" borderId="4" xfId="0" applyFont="1" applyFill="1" applyBorder="1" applyAlignment="1">
      <alignment vertical="top" wrapText="1"/>
    </xf>
    <xf numFmtId="0" fontId="0" fillId="0" borderId="4" xfId="0" applyFont="1" applyFill="1" applyBorder="1" applyAlignment="1">
      <alignment horizontal="left" vertical="top" wrapText="1"/>
    </xf>
    <xf numFmtId="0" fontId="0" fillId="9" borderId="4" xfId="0" applyFont="1" applyFill="1" applyBorder="1" applyAlignment="1">
      <alignment vertical="top" wrapText="1"/>
    </xf>
    <xf numFmtId="0" fontId="0" fillId="9" borderId="4" xfId="0" applyFont="1" applyFill="1" applyBorder="1" applyAlignment="1">
      <alignment horizontal="left" vertical="top" wrapText="1"/>
    </xf>
    <xf numFmtId="0" fontId="3" fillId="9" borderId="4" xfId="0" applyFont="1" applyFill="1" applyBorder="1" applyAlignment="1">
      <alignment horizontal="left" vertical="top" wrapText="1"/>
    </xf>
    <xf numFmtId="0" fontId="6" fillId="0" borderId="21" xfId="0" applyFont="1" applyFill="1" applyBorder="1" applyAlignment="1">
      <alignment vertical="top"/>
    </xf>
    <xf numFmtId="0" fontId="6" fillId="5" borderId="22" xfId="0" applyFont="1" applyFill="1" applyBorder="1" applyAlignment="1">
      <alignment vertical="top"/>
    </xf>
    <xf numFmtId="0" fontId="6" fillId="7" borderId="22" xfId="0" applyFont="1" applyFill="1" applyBorder="1" applyAlignment="1">
      <alignment vertical="top"/>
    </xf>
    <xf numFmtId="0" fontId="6" fillId="3" borderId="22" xfId="0" applyFont="1" applyFill="1" applyBorder="1" applyAlignment="1">
      <alignment vertical="top"/>
    </xf>
    <xf numFmtId="0" fontId="6" fillId="9" borderId="23" xfId="0" applyFont="1" applyFill="1" applyBorder="1" applyAlignment="1">
      <alignment vertical="top"/>
    </xf>
    <xf numFmtId="0" fontId="21" fillId="2" borderId="4" xfId="0" applyFont="1" applyFill="1" applyBorder="1" applyAlignment="1">
      <alignment horizontal="left" vertical="top" wrapText="1"/>
    </xf>
    <xf numFmtId="0" fontId="4" fillId="0" borderId="4" xfId="0" applyFont="1" applyBorder="1" applyAlignment="1">
      <alignment horizontal="left" vertical="top"/>
    </xf>
    <xf numFmtId="0" fontId="3" fillId="0" borderId="0" xfId="0" applyFont="1" applyAlignment="1">
      <alignment horizontal="left" vertical="center" wrapText="1"/>
    </xf>
    <xf numFmtId="0" fontId="3" fillId="9" borderId="4" xfId="0" applyFont="1" applyFill="1" applyBorder="1" applyAlignment="1">
      <alignment horizontal="center" vertical="top" wrapText="1"/>
    </xf>
    <xf numFmtId="0" fontId="3" fillId="0" borderId="4" xfId="0" applyFont="1" applyBorder="1" applyAlignment="1">
      <alignment horizontal="center" vertical="top" wrapText="1"/>
    </xf>
    <xf numFmtId="0" fontId="3" fillId="2" borderId="30" xfId="0" applyFont="1" applyFill="1" applyBorder="1" applyAlignment="1">
      <alignment horizontal="center" vertical="top" wrapText="1"/>
    </xf>
    <xf numFmtId="0" fontId="15" fillId="2" borderId="30" xfId="0" applyFont="1" applyFill="1" applyBorder="1" applyAlignment="1">
      <alignment horizontal="left" vertical="top" wrapText="1"/>
    </xf>
    <xf numFmtId="0" fontId="6" fillId="6" borderId="32" xfId="0" applyFont="1" applyFill="1" applyBorder="1" applyAlignment="1">
      <alignment horizontal="left" vertical="top" wrapText="1"/>
    </xf>
    <xf numFmtId="0" fontId="22" fillId="2" borderId="30" xfId="0" applyFont="1" applyFill="1" applyBorder="1" applyAlignment="1">
      <alignment horizontal="left" vertical="top" wrapText="1"/>
    </xf>
    <xf numFmtId="0" fontId="3" fillId="5" borderId="32" xfId="0" applyFont="1" applyFill="1" applyBorder="1" applyAlignment="1">
      <alignment vertical="top" wrapText="1"/>
    </xf>
    <xf numFmtId="0" fontId="3" fillId="7" borderId="32" xfId="0" applyFont="1" applyFill="1" applyBorder="1" applyAlignment="1">
      <alignment vertical="top" wrapText="1"/>
    </xf>
    <xf numFmtId="0" fontId="3" fillId="7" borderId="30" xfId="0" applyFont="1" applyFill="1" applyBorder="1" applyAlignment="1">
      <alignment vertical="top" wrapText="1"/>
    </xf>
    <xf numFmtId="0" fontId="3" fillId="7" borderId="32" xfId="0" applyFont="1" applyFill="1" applyBorder="1" applyAlignment="1">
      <alignment horizontal="left" vertical="top" wrapText="1"/>
    </xf>
    <xf numFmtId="0" fontId="3" fillId="7" borderId="32" xfId="0" applyFont="1" applyFill="1" applyBorder="1" applyAlignment="1">
      <alignment vertical="top"/>
    </xf>
    <xf numFmtId="0" fontId="3" fillId="3" borderId="32" xfId="0" applyFont="1" applyFill="1" applyBorder="1" applyAlignment="1">
      <alignment vertical="top"/>
    </xf>
    <xf numFmtId="0" fontId="3" fillId="3" borderId="30" xfId="0" applyFont="1" applyFill="1" applyBorder="1" applyAlignment="1">
      <alignment vertical="top" wrapText="1"/>
    </xf>
    <xf numFmtId="0" fontId="3" fillId="3" borderId="32" xfId="0" applyFont="1" applyFill="1" applyBorder="1" applyAlignment="1">
      <alignment vertical="top" wrapText="1"/>
    </xf>
    <xf numFmtId="0" fontId="3" fillId="10" borderId="32" xfId="0" applyFont="1" applyFill="1" applyBorder="1" applyAlignment="1">
      <alignment vertical="top" wrapText="1"/>
    </xf>
    <xf numFmtId="0" fontId="3" fillId="10" borderId="30" xfId="0" applyFont="1" applyFill="1" applyBorder="1" applyAlignment="1">
      <alignment vertical="top" wrapText="1"/>
    </xf>
    <xf numFmtId="0" fontId="3" fillId="10" borderId="33" xfId="0" applyFont="1" applyFill="1" applyBorder="1" applyAlignment="1">
      <alignment vertical="top" wrapText="1"/>
    </xf>
    <xf numFmtId="0" fontId="3" fillId="0" borderId="34" xfId="0" applyFont="1" applyFill="1" applyBorder="1" applyAlignment="1">
      <alignment horizontal="center" vertical="top" wrapText="1"/>
    </xf>
    <xf numFmtId="0" fontId="0" fillId="0" borderId="34" xfId="0" applyFont="1" applyFill="1" applyBorder="1" applyAlignment="1">
      <alignment vertical="top" wrapText="1"/>
    </xf>
    <xf numFmtId="0" fontId="0" fillId="0" borderId="34" xfId="0" applyFont="1" applyFill="1" applyBorder="1" applyAlignment="1">
      <alignment horizontal="left" vertical="top" wrapText="1"/>
    </xf>
    <xf numFmtId="0" fontId="3" fillId="10" borderId="35" xfId="0" applyFont="1" applyFill="1" applyBorder="1" applyAlignment="1">
      <alignment vertical="top" wrapText="1"/>
    </xf>
    <xf numFmtId="2" fontId="3" fillId="3" borderId="4" xfId="0" applyNumberFormat="1" applyFont="1" applyFill="1" applyBorder="1" applyAlignment="1">
      <alignment horizontal="left"/>
    </xf>
    <xf numFmtId="0" fontId="8" fillId="20" borderId="4" xfId="0" applyFont="1" applyFill="1" applyBorder="1" applyAlignment="1">
      <alignment horizontal="left" vertical="top"/>
    </xf>
    <xf numFmtId="0" fontId="25" fillId="2" borderId="4" xfId="0" applyFont="1" applyFill="1" applyBorder="1" applyAlignment="1">
      <alignment vertical="top" wrapText="1"/>
    </xf>
    <xf numFmtId="0" fontId="0" fillId="11" borderId="0" xfId="0" applyFill="1" applyAlignment="1" applyProtection="1">
      <alignment horizontal="center" vertical="center"/>
    </xf>
    <xf numFmtId="49" fontId="3" fillId="0" borderId="4" xfId="0" applyNumberFormat="1" applyFont="1" applyBorder="1" applyAlignment="1">
      <alignment horizontal="center" vertical="center"/>
    </xf>
    <xf numFmtId="49" fontId="3" fillId="7" borderId="4" xfId="0" quotePrefix="1" applyNumberFormat="1" applyFont="1" applyFill="1" applyBorder="1" applyAlignment="1">
      <alignment horizontal="center" vertical="center"/>
    </xf>
    <xf numFmtId="49" fontId="3" fillId="7" borderId="4" xfId="0" applyNumberFormat="1" applyFont="1" applyFill="1" applyBorder="1" applyAlignment="1">
      <alignment horizontal="center" vertical="center"/>
    </xf>
    <xf numFmtId="49" fontId="3" fillId="10" borderId="4" xfId="0" applyNumberFormat="1" applyFont="1" applyFill="1" applyBorder="1" applyAlignment="1">
      <alignment horizontal="center" vertical="center"/>
    </xf>
    <xf numFmtId="49" fontId="3" fillId="3" borderId="4" xfId="0" applyNumberFormat="1" applyFont="1" applyFill="1" applyBorder="1" applyAlignment="1">
      <alignment horizontal="center" vertical="center"/>
    </xf>
    <xf numFmtId="0" fontId="3" fillId="2" borderId="4" xfId="0" applyFont="1" applyFill="1" applyBorder="1" applyAlignment="1">
      <alignment horizontal="left" vertical="top" wrapText="1"/>
    </xf>
    <xf numFmtId="0" fontId="3" fillId="5" borderId="30" xfId="0" applyFont="1" applyFill="1" applyBorder="1" applyAlignment="1">
      <alignment vertical="top" wrapText="1"/>
    </xf>
    <xf numFmtId="0" fontId="3" fillId="2" borderId="4" xfId="0" applyFont="1" applyFill="1" applyBorder="1" applyAlignment="1">
      <alignment vertical="top"/>
    </xf>
    <xf numFmtId="0" fontId="0" fillId="0" borderId="1" xfId="0" applyBorder="1" applyAlignment="1">
      <alignment vertical="top"/>
    </xf>
    <xf numFmtId="0" fontId="3" fillId="2" borderId="4" xfId="0" applyFont="1" applyFill="1" applyBorder="1" applyAlignment="1">
      <alignment horizontal="left" vertical="top"/>
    </xf>
    <xf numFmtId="0" fontId="0" fillId="0" borderId="1" xfId="0" applyBorder="1" applyAlignment="1">
      <alignment horizontal="left" vertical="top"/>
    </xf>
    <xf numFmtId="0" fontId="16" fillId="5" borderId="4" xfId="0" applyFont="1" applyFill="1" applyBorder="1" applyAlignment="1">
      <alignment horizontal="left" vertical="top" wrapText="1"/>
    </xf>
    <xf numFmtId="0" fontId="16" fillId="7" borderId="4" xfId="0" applyFont="1" applyFill="1" applyBorder="1" applyAlignment="1">
      <alignment horizontal="left" vertical="top" wrapText="1"/>
    </xf>
    <xf numFmtId="0" fontId="16" fillId="3" borderId="4" xfId="0" applyFont="1" applyFill="1" applyBorder="1" applyAlignment="1">
      <alignment horizontal="left" vertical="top" wrapText="1"/>
    </xf>
    <xf numFmtId="0" fontId="16" fillId="10" borderId="4" xfId="0" applyFont="1" applyFill="1" applyBorder="1" applyAlignment="1">
      <alignment horizontal="left" vertical="top" wrapText="1"/>
    </xf>
    <xf numFmtId="0" fontId="0" fillId="0" borderId="0" xfId="0" applyAlignment="1">
      <alignment horizontal="left" vertical="top"/>
    </xf>
    <xf numFmtId="0" fontId="28" fillId="12" borderId="4" xfId="0" applyFont="1" applyFill="1" applyBorder="1" applyAlignment="1">
      <alignment horizontal="center" vertical="center"/>
    </xf>
    <xf numFmtId="0" fontId="3" fillId="0" borderId="4" xfId="0" applyFont="1" applyBorder="1" applyAlignment="1">
      <alignment horizontal="left" vertical="top"/>
    </xf>
    <xf numFmtId="0" fontId="3" fillId="10" borderId="4" xfId="0" applyFont="1" applyFill="1" applyBorder="1" applyAlignment="1">
      <alignment horizontal="left" vertical="top"/>
    </xf>
    <xf numFmtId="0" fontId="3" fillId="7" borderId="0" xfId="0" applyFont="1" applyFill="1"/>
    <xf numFmtId="0" fontId="3" fillId="7" borderId="4" xfId="0" applyFont="1" applyFill="1" applyBorder="1" applyAlignment="1">
      <alignment horizontal="left" vertical="top"/>
    </xf>
    <xf numFmtId="0" fontId="6" fillId="7" borderId="4" xfId="0" applyFont="1" applyFill="1" applyBorder="1" applyAlignment="1">
      <alignment horizontal="left"/>
    </xf>
    <xf numFmtId="0" fontId="0" fillId="7" borderId="4" xfId="0" applyFill="1" applyBorder="1" applyAlignment="1">
      <alignment horizontal="left"/>
    </xf>
    <xf numFmtId="0" fontId="0" fillId="7" borderId="4" xfId="0" applyNumberFormat="1" applyFill="1" applyBorder="1" applyAlignment="1" applyProtection="1">
      <alignment horizontal="left"/>
    </xf>
    <xf numFmtId="0" fontId="0" fillId="7" borderId="4" xfId="0" applyFill="1" applyBorder="1" applyAlignment="1" applyProtection="1">
      <alignment horizontal="left"/>
    </xf>
    <xf numFmtId="0" fontId="0" fillId="7" borderId="0" xfId="0" applyFill="1" applyAlignment="1">
      <alignment vertical="top"/>
    </xf>
    <xf numFmtId="0" fontId="3" fillId="2" borderId="4" xfId="0" applyNumberFormat="1" applyFont="1" applyFill="1" applyBorder="1" applyAlignment="1" applyProtection="1">
      <alignment horizontal="left" vertical="top" wrapText="1"/>
    </xf>
    <xf numFmtId="0" fontId="3" fillId="2" borderId="4" xfId="0" applyFont="1" applyFill="1" applyBorder="1" applyAlignment="1" applyProtection="1">
      <alignment horizontal="left" vertical="top" wrapText="1"/>
    </xf>
    <xf numFmtId="0" fontId="0" fillId="18" borderId="0" xfId="0" applyFill="1" applyAlignment="1">
      <alignment horizontal="left" vertical="top"/>
    </xf>
    <xf numFmtId="0" fontId="8" fillId="7" borderId="4" xfId="0" applyFont="1" applyFill="1" applyBorder="1" applyAlignment="1">
      <alignment horizontal="left" vertical="top"/>
    </xf>
    <xf numFmtId="0" fontId="23" fillId="5" borderId="4" xfId="0" applyFont="1" applyFill="1" applyBorder="1" applyAlignment="1">
      <alignment horizontal="left" vertical="top" wrapText="1"/>
    </xf>
    <xf numFmtId="0" fontId="23" fillId="7" borderId="4" xfId="0" applyFont="1" applyFill="1" applyBorder="1" applyAlignment="1">
      <alignment horizontal="left" vertical="top" wrapText="1"/>
    </xf>
    <xf numFmtId="0" fontId="23" fillId="3" borderId="4" xfId="0" applyFont="1" applyFill="1" applyBorder="1" applyAlignment="1">
      <alignment horizontal="left" vertical="top" wrapText="1"/>
    </xf>
    <xf numFmtId="0" fontId="23" fillId="10" borderId="4" xfId="0" applyFont="1" applyFill="1" applyBorder="1" applyAlignment="1">
      <alignment horizontal="left" vertical="top" wrapText="1"/>
    </xf>
    <xf numFmtId="0" fontId="8" fillId="20" borderId="4" xfId="0" applyFont="1" applyFill="1" applyBorder="1" applyAlignment="1">
      <alignment vertical="top"/>
    </xf>
    <xf numFmtId="0" fontId="15" fillId="21" borderId="4" xfId="0" applyFont="1" applyFill="1" applyBorder="1" applyAlignment="1">
      <alignment vertical="top" wrapText="1"/>
    </xf>
    <xf numFmtId="0" fontId="0" fillId="0" borderId="0" xfId="0" applyAlignment="1">
      <alignment vertical="top" wrapText="1"/>
    </xf>
    <xf numFmtId="0" fontId="25" fillId="3" borderId="4" xfId="0" applyFont="1" applyFill="1" applyBorder="1" applyAlignment="1">
      <alignment vertical="top" wrapText="1"/>
    </xf>
    <xf numFmtId="0" fontId="25" fillId="8" borderId="4" xfId="0" applyFont="1" applyFill="1" applyBorder="1" applyAlignment="1">
      <alignment vertical="top" wrapText="1"/>
    </xf>
    <xf numFmtId="0" fontId="25" fillId="5" borderId="4" xfId="0" applyFont="1" applyFill="1" applyBorder="1" applyAlignment="1">
      <alignment vertical="top" wrapText="1"/>
    </xf>
    <xf numFmtId="0" fontId="25" fillId="10" borderId="4" xfId="0" applyFont="1" applyFill="1" applyBorder="1" applyAlignment="1">
      <alignment vertical="top" wrapText="1"/>
    </xf>
    <xf numFmtId="0" fontId="12" fillId="10" borderId="4" xfId="0" applyFont="1" applyFill="1" applyBorder="1" applyAlignment="1">
      <alignment vertical="top" wrapText="1"/>
    </xf>
    <xf numFmtId="0" fontId="0" fillId="7" borderId="4" xfId="0" applyFill="1" applyBorder="1" applyAlignment="1">
      <alignment vertical="top" wrapText="1"/>
    </xf>
    <xf numFmtId="2" fontId="3" fillId="5" borderId="4" xfId="0" applyNumberFormat="1" applyFont="1" applyFill="1" applyBorder="1" applyAlignment="1">
      <alignment horizontal="left" vertical="top"/>
    </xf>
    <xf numFmtId="0" fontId="3" fillId="17" borderId="4" xfId="0" applyFont="1" applyFill="1" applyBorder="1" applyAlignment="1">
      <alignment horizontal="left" vertical="top"/>
    </xf>
    <xf numFmtId="0" fontId="3" fillId="11" borderId="4" xfId="0" applyNumberFormat="1" applyFont="1" applyFill="1" applyBorder="1" applyAlignment="1" applyProtection="1">
      <alignment horizontal="left" vertical="top"/>
    </xf>
    <xf numFmtId="0" fontId="28" fillId="14" borderId="4" xfId="0" applyFont="1" applyFill="1" applyBorder="1" applyAlignment="1" applyProtection="1">
      <alignment horizontal="left" vertical="top"/>
    </xf>
    <xf numFmtId="0" fontId="3" fillId="14" borderId="4" xfId="0" applyFont="1" applyFill="1" applyBorder="1" applyAlignment="1" applyProtection="1">
      <alignment horizontal="left" vertical="top"/>
    </xf>
    <xf numFmtId="2" fontId="3" fillId="7" borderId="4" xfId="0" applyNumberFormat="1" applyFont="1" applyFill="1" applyBorder="1" applyAlignment="1">
      <alignment horizontal="left" vertical="top"/>
    </xf>
    <xf numFmtId="2" fontId="3" fillId="3" borderId="4" xfId="0" applyNumberFormat="1" applyFont="1" applyFill="1" applyBorder="1" applyAlignment="1">
      <alignment horizontal="left" vertical="top"/>
    </xf>
    <xf numFmtId="2" fontId="3" fillId="10" borderId="4" xfId="0" applyNumberFormat="1" applyFont="1" applyFill="1" applyBorder="1" applyAlignment="1">
      <alignment horizontal="left" vertical="top"/>
    </xf>
    <xf numFmtId="0" fontId="23" fillId="5" borderId="4" xfId="0" applyFont="1" applyFill="1" applyBorder="1" applyAlignment="1">
      <alignment horizontal="left" vertical="top"/>
    </xf>
    <xf numFmtId="0" fontId="23" fillId="7" borderId="4" xfId="0" applyFont="1" applyFill="1" applyBorder="1" applyAlignment="1">
      <alignment horizontal="left" vertical="top"/>
    </xf>
    <xf numFmtId="0" fontId="23" fillId="3" borderId="4" xfId="0" applyFont="1" applyFill="1" applyBorder="1" applyAlignment="1">
      <alignment horizontal="left" vertical="top"/>
    </xf>
    <xf numFmtId="0" fontId="23" fillId="10" borderId="4" xfId="0" applyFont="1" applyFill="1" applyBorder="1" applyAlignment="1">
      <alignment horizontal="left" vertical="top"/>
    </xf>
    <xf numFmtId="0" fontId="29" fillId="14" borderId="4" xfId="0" applyFont="1" applyFill="1" applyBorder="1" applyAlignment="1" applyProtection="1">
      <alignment horizontal="left" vertical="top"/>
    </xf>
    <xf numFmtId="0" fontId="4" fillId="12" borderId="4" xfId="0" applyFont="1" applyFill="1" applyBorder="1" applyAlignment="1">
      <alignment horizontal="center" vertical="center"/>
    </xf>
    <xf numFmtId="164" fontId="3" fillId="0" borderId="0" xfId="0" applyNumberFormat="1" applyFont="1" applyAlignment="1" applyProtection="1">
      <alignment horizontal="left"/>
    </xf>
    <xf numFmtId="0" fontId="27" fillId="21" borderId="4" xfId="0" applyFont="1" applyFill="1" applyBorder="1" applyAlignment="1">
      <alignment horizontal="center" vertical="top"/>
    </xf>
    <xf numFmtId="0" fontId="0" fillId="0" borderId="0" xfId="0" applyAlignment="1">
      <alignment horizontal="center" vertical="top"/>
    </xf>
    <xf numFmtId="0" fontId="3" fillId="0" borderId="0" xfId="0" applyFont="1" applyAlignment="1">
      <alignment horizontal="center" vertical="top"/>
    </xf>
    <xf numFmtId="0" fontId="3" fillId="23" borderId="4" xfId="0" applyFont="1" applyFill="1" applyBorder="1" applyAlignment="1">
      <alignment horizontal="left" vertical="top" wrapText="1"/>
    </xf>
    <xf numFmtId="0" fontId="3" fillId="23" borderId="4" xfId="0" applyFont="1" applyFill="1" applyBorder="1" applyAlignment="1">
      <alignment horizontal="left" vertical="top"/>
    </xf>
    <xf numFmtId="43" fontId="6" fillId="0" borderId="4" xfId="1" applyFont="1" applyBorder="1" applyAlignment="1">
      <alignment horizontal="center" vertical="top" textRotation="90" wrapText="1"/>
    </xf>
    <xf numFmtId="0" fontId="6" fillId="0" borderId="4" xfId="0" applyFont="1" applyBorder="1" applyAlignment="1">
      <alignment horizontal="center" vertical="top" textRotation="90" wrapText="1"/>
    </xf>
    <xf numFmtId="0" fontId="6" fillId="0" borderId="4" xfId="0" applyFont="1" applyBorder="1" applyAlignment="1">
      <alignment vertical="top" textRotation="90" wrapText="1"/>
    </xf>
    <xf numFmtId="0" fontId="6" fillId="0" borderId="4" xfId="0" applyFont="1" applyBorder="1" applyAlignment="1">
      <alignment horizontal="center" vertical="top" textRotation="90"/>
    </xf>
    <xf numFmtId="0" fontId="0" fillId="15" borderId="4" xfId="0" applyFill="1" applyBorder="1" applyAlignment="1">
      <alignment horizontal="left"/>
    </xf>
    <xf numFmtId="0" fontId="0" fillId="6" borderId="4" xfId="0" applyFill="1" applyBorder="1" applyAlignment="1">
      <alignment horizontal="left"/>
    </xf>
    <xf numFmtId="0" fontId="0" fillId="16" borderId="4" xfId="0" applyFill="1" applyBorder="1" applyAlignment="1">
      <alignment horizontal="left"/>
    </xf>
    <xf numFmtId="0" fontId="3" fillId="5" borderId="4" xfId="0" applyFont="1" applyFill="1" applyBorder="1" applyAlignment="1">
      <alignment horizontal="left"/>
    </xf>
    <xf numFmtId="0" fontId="26" fillId="10" borderId="4" xfId="0" applyFont="1" applyFill="1" applyBorder="1" applyAlignment="1">
      <alignment horizontal="left" vertical="top"/>
    </xf>
    <xf numFmtId="0" fontId="26" fillId="10" borderId="4" xfId="0" applyFont="1" applyFill="1" applyBorder="1" applyAlignment="1">
      <alignment horizontal="left" vertical="top" wrapText="1"/>
    </xf>
    <xf numFmtId="0" fontId="3" fillId="6" borderId="4" xfId="0" applyFont="1" applyFill="1" applyBorder="1" applyAlignment="1">
      <alignment horizontal="left" vertical="top"/>
    </xf>
    <xf numFmtId="0" fontId="0" fillId="24" borderId="4" xfId="0" applyFill="1" applyBorder="1" applyAlignment="1">
      <alignment horizontal="center" vertical="center"/>
    </xf>
    <xf numFmtId="0" fontId="27" fillId="22" borderId="4" xfId="0" applyFont="1" applyFill="1" applyBorder="1" applyAlignment="1">
      <alignment horizontal="left" vertical="top" wrapText="1"/>
    </xf>
    <xf numFmtId="0" fontId="6" fillId="7" borderId="4" xfId="0" applyFont="1" applyFill="1" applyBorder="1" applyAlignment="1">
      <alignment horizontal="left" vertical="top" wrapText="1"/>
    </xf>
    <xf numFmtId="0" fontId="0" fillId="20" borderId="16" xfId="0" applyFill="1" applyBorder="1"/>
    <xf numFmtId="0" fontId="0" fillId="20" borderId="0" xfId="0" applyFill="1"/>
    <xf numFmtId="0" fontId="0" fillId="20" borderId="0" xfId="0" applyFill="1" applyBorder="1"/>
    <xf numFmtId="0" fontId="32" fillId="0" borderId="0" xfId="0" applyFont="1" applyAlignment="1">
      <alignment vertical="center"/>
    </xf>
    <xf numFmtId="165" fontId="32" fillId="0" borderId="0" xfId="0" applyNumberFormat="1" applyFont="1" applyAlignment="1">
      <alignment vertical="center"/>
    </xf>
    <xf numFmtId="0" fontId="3" fillId="13" borderId="0" xfId="0" applyFont="1" applyFill="1" applyAlignment="1">
      <alignment horizontal="center" vertical="center"/>
    </xf>
    <xf numFmtId="165" fontId="3" fillId="13" borderId="0" xfId="0" applyNumberFormat="1" applyFont="1" applyFill="1" applyAlignment="1">
      <alignment horizontal="center" vertical="center"/>
    </xf>
    <xf numFmtId="0" fontId="3" fillId="13" borderId="0" xfId="0" applyFont="1" applyFill="1" applyAlignment="1">
      <alignment vertical="center" wrapText="1"/>
    </xf>
    <xf numFmtId="165" fontId="0" fillId="0" borderId="0" xfId="0" applyNumberFormat="1"/>
    <xf numFmtId="0" fontId="15" fillId="7" borderId="4" xfId="0" applyFont="1" applyFill="1" applyBorder="1" applyAlignment="1">
      <alignment horizontal="left" vertical="top" wrapText="1"/>
    </xf>
    <xf numFmtId="0" fontId="3" fillId="19" borderId="4" xfId="0" applyFont="1" applyFill="1" applyBorder="1" applyAlignment="1">
      <alignment horizontal="left" vertical="top" wrapText="1"/>
    </xf>
    <xf numFmtId="0" fontId="0" fillId="19" borderId="4" xfId="0" applyFill="1" applyBorder="1" applyAlignment="1">
      <alignment horizontal="left" vertical="top"/>
    </xf>
    <xf numFmtId="0" fontId="3" fillId="7" borderId="25" xfId="0" applyFont="1" applyFill="1" applyBorder="1" applyAlignment="1">
      <alignment horizontal="left" vertical="top" wrapText="1"/>
    </xf>
    <xf numFmtId="0" fontId="3" fillId="7" borderId="26" xfId="0" applyFont="1" applyFill="1" applyBorder="1" applyAlignment="1">
      <alignment horizontal="left" vertical="top" wrapText="1"/>
    </xf>
    <xf numFmtId="0" fontId="10" fillId="8" borderId="24" xfId="0" applyFont="1" applyFill="1" applyBorder="1" applyAlignment="1">
      <alignment horizontal="center" vertical="top" wrapText="1"/>
    </xf>
    <xf numFmtId="0" fontId="10" fillId="8" borderId="25" xfId="0" applyFont="1" applyFill="1" applyBorder="1" applyAlignment="1">
      <alignment horizontal="center" vertical="top" wrapText="1"/>
    </xf>
    <xf numFmtId="0" fontId="20" fillId="7" borderId="27" xfId="0" applyFont="1" applyFill="1" applyBorder="1" applyAlignment="1">
      <alignment horizontal="left" vertical="top" wrapText="1"/>
    </xf>
    <xf numFmtId="0" fontId="20" fillId="7" borderId="20" xfId="0" applyFont="1" applyFill="1" applyBorder="1" applyAlignment="1">
      <alignment horizontal="left" vertical="top" wrapText="1"/>
    </xf>
    <xf numFmtId="0" fontId="20" fillId="7" borderId="4" xfId="0" applyFont="1" applyFill="1" applyBorder="1" applyAlignment="1">
      <alignment horizontal="left" vertical="top" wrapText="1"/>
    </xf>
    <xf numFmtId="0" fontId="20" fillId="7" borderId="6" xfId="0" applyFont="1" applyFill="1" applyBorder="1" applyAlignment="1">
      <alignment horizontal="left" vertical="top" wrapText="1"/>
    </xf>
    <xf numFmtId="0" fontId="20" fillId="7" borderId="28" xfId="0" applyFont="1" applyFill="1" applyBorder="1" applyAlignment="1">
      <alignment horizontal="left" vertical="top" wrapText="1"/>
    </xf>
    <xf numFmtId="0" fontId="31" fillId="0" borderId="29" xfId="0" applyFont="1" applyFill="1" applyBorder="1" applyAlignment="1">
      <alignment horizontal="center" vertical="top" wrapText="1"/>
    </xf>
    <xf numFmtId="0" fontId="6" fillId="0" borderId="31" xfId="0" applyFont="1" applyFill="1" applyBorder="1" applyAlignment="1">
      <alignment horizontal="center" vertical="top" wrapText="1"/>
    </xf>
    <xf numFmtId="0" fontId="18" fillId="6" borderId="6" xfId="0" applyFont="1" applyFill="1" applyBorder="1" applyAlignment="1">
      <alignment horizontal="center" vertical="top" wrapText="1"/>
    </xf>
    <xf numFmtId="0" fontId="18" fillId="6" borderId="20" xfId="0" applyFont="1" applyFill="1" applyBorder="1" applyAlignment="1">
      <alignment horizontal="center" vertical="top" wrapText="1"/>
    </xf>
    <xf numFmtId="0" fontId="18" fillId="6" borderId="5" xfId="0" applyFont="1" applyFill="1" applyBorder="1" applyAlignment="1">
      <alignment horizontal="center" vertical="top" wrapText="1"/>
    </xf>
    <xf numFmtId="0" fontId="18" fillId="0" borderId="4" xfId="0" applyFont="1" applyBorder="1" applyAlignment="1">
      <alignment vertical="center" textRotation="90"/>
    </xf>
    <xf numFmtId="0" fontId="18" fillId="20" borderId="4" xfId="0" applyFont="1" applyFill="1" applyBorder="1" applyAlignment="1">
      <alignment horizontal="center"/>
    </xf>
    <xf numFmtId="0" fontId="30" fillId="20" borderId="4" xfId="0" applyFont="1" applyFill="1" applyBorder="1" applyAlignment="1">
      <alignment horizontal="center"/>
    </xf>
    <xf numFmtId="0" fontId="8" fillId="7" borderId="4" xfId="0" applyFont="1" applyFill="1" applyBorder="1" applyAlignment="1">
      <alignment horizontal="center" vertical="top"/>
    </xf>
    <xf numFmtId="0" fontId="11" fillId="7" borderId="4" xfId="0" applyFont="1" applyFill="1" applyBorder="1" applyAlignment="1">
      <alignment horizontal="center" vertical="top"/>
    </xf>
    <xf numFmtId="0" fontId="0" fillId="0" borderId="13" xfId="0" applyBorder="1"/>
    <xf numFmtId="0" fontId="0" fillId="0" borderId="15" xfId="0" applyBorder="1"/>
    <xf numFmtId="0" fontId="0" fillId="0" borderId="17" xfId="0" applyBorder="1"/>
    <xf numFmtId="0" fontId="0" fillId="0" borderId="19" xfId="0" applyBorder="1"/>
    <xf numFmtId="0" fontId="18" fillId="7" borderId="18" xfId="0" applyFont="1" applyFill="1" applyBorder="1" applyAlignment="1">
      <alignment horizontal="left" vertical="top"/>
    </xf>
    <xf numFmtId="0" fontId="15" fillId="2" borderId="6" xfId="0" applyFont="1" applyFill="1" applyBorder="1" applyAlignment="1">
      <alignment horizontal="left" vertical="top" wrapText="1"/>
    </xf>
    <xf numFmtId="0" fontId="15" fillId="2" borderId="5" xfId="0" applyFont="1" applyFill="1" applyBorder="1" applyAlignment="1">
      <alignment horizontal="left" vertical="top" wrapText="1"/>
    </xf>
    <xf numFmtId="0" fontId="0" fillId="15" borderId="9" xfId="0" applyFill="1" applyBorder="1" applyAlignment="1">
      <alignment vertical="top" wrapText="1"/>
    </xf>
    <xf numFmtId="0" fontId="0" fillId="15" borderId="7" xfId="0" applyFill="1" applyBorder="1" applyAlignment="1">
      <alignment vertical="top"/>
    </xf>
    <xf numFmtId="0" fontId="0" fillId="15" borderId="8" xfId="0" applyFill="1" applyBorder="1" applyAlignment="1">
      <alignment vertical="top"/>
    </xf>
    <xf numFmtId="0" fontId="0" fillId="15" borderId="1" xfId="0" applyFill="1" applyBorder="1" applyAlignment="1">
      <alignment vertical="top"/>
    </xf>
    <xf numFmtId="0" fontId="0" fillId="15" borderId="0" xfId="0" applyFill="1" applyBorder="1" applyAlignment="1">
      <alignment vertical="top"/>
    </xf>
    <xf numFmtId="0" fontId="0" fillId="15" borderId="2" xfId="0" applyFill="1" applyBorder="1" applyAlignment="1">
      <alignment vertical="top"/>
    </xf>
    <xf numFmtId="0" fontId="0" fillId="15" borderId="10" xfId="0" applyFill="1" applyBorder="1" applyAlignment="1">
      <alignment vertical="top"/>
    </xf>
    <xf numFmtId="0" fontId="0" fillId="15" borderId="11" xfId="0" applyFill="1" applyBorder="1" applyAlignment="1">
      <alignment vertical="top"/>
    </xf>
    <xf numFmtId="0" fontId="0" fillId="15" borderId="12" xfId="0" applyFill="1" applyBorder="1" applyAlignment="1">
      <alignment vertical="top"/>
    </xf>
    <xf numFmtId="0" fontId="0" fillId="6" borderId="9" xfId="0" applyFill="1" applyBorder="1" applyAlignment="1">
      <alignment vertical="top" wrapText="1"/>
    </xf>
    <xf numFmtId="0" fontId="0" fillId="6" borderId="7" xfId="0" applyFill="1" applyBorder="1" applyAlignment="1">
      <alignment vertical="top"/>
    </xf>
    <xf numFmtId="0" fontId="0" fillId="6" borderId="8" xfId="0" applyFill="1" applyBorder="1" applyAlignment="1">
      <alignment vertical="top"/>
    </xf>
    <xf numFmtId="0" fontId="0" fillId="6" borderId="1" xfId="0" applyFill="1" applyBorder="1" applyAlignment="1">
      <alignment vertical="top"/>
    </xf>
    <xf numFmtId="0" fontId="0" fillId="6" borderId="0" xfId="0" applyFill="1" applyBorder="1" applyAlignment="1">
      <alignment vertical="top"/>
    </xf>
    <xf numFmtId="0" fontId="0" fillId="6" borderId="2" xfId="0" applyFill="1" applyBorder="1" applyAlignment="1">
      <alignment vertical="top"/>
    </xf>
    <xf numFmtId="0" fontId="0" fillId="6" borderId="10" xfId="0" applyFill="1" applyBorder="1" applyAlignment="1">
      <alignment vertical="top"/>
    </xf>
    <xf numFmtId="0" fontId="0" fillId="6" borderId="11" xfId="0" applyFill="1" applyBorder="1" applyAlignment="1">
      <alignment vertical="top"/>
    </xf>
    <xf numFmtId="0" fontId="0" fillId="6" borderId="12" xfId="0" applyFill="1" applyBorder="1" applyAlignment="1">
      <alignment vertical="top"/>
    </xf>
    <xf numFmtId="0" fontId="0" fillId="16" borderId="9" xfId="0" applyFill="1" applyBorder="1" applyAlignment="1">
      <alignment wrapText="1"/>
    </xf>
    <xf numFmtId="0" fontId="0" fillId="16" borderId="7" xfId="0" applyFill="1" applyBorder="1"/>
    <xf numFmtId="0" fontId="0" fillId="16" borderId="8" xfId="0" applyFill="1" applyBorder="1"/>
    <xf numFmtId="0" fontId="0" fillId="16" borderId="1" xfId="0" applyFill="1" applyBorder="1"/>
    <xf numFmtId="0" fontId="0" fillId="16" borderId="0" xfId="0" applyFill="1" applyBorder="1"/>
    <xf numFmtId="0" fontId="0" fillId="16" borderId="2" xfId="0" applyFill="1" applyBorder="1"/>
    <xf numFmtId="0" fontId="0" fillId="16" borderId="10" xfId="0" applyFill="1" applyBorder="1"/>
    <xf numFmtId="0" fontId="0" fillId="16" borderId="11" xfId="0" applyFill="1" applyBorder="1"/>
    <xf numFmtId="0" fontId="0" fillId="16" borderId="12" xfId="0" applyFill="1" applyBorder="1"/>
    <xf numFmtId="0" fontId="18" fillId="7" borderId="4" xfId="0" applyFont="1" applyFill="1" applyBorder="1" applyAlignment="1">
      <alignment horizontal="left" vertical="top" wrapText="1"/>
    </xf>
    <xf numFmtId="0" fontId="15" fillId="21" borderId="4" xfId="0" applyFont="1" applyFill="1" applyBorder="1" applyAlignment="1">
      <alignment vertical="top" wrapText="1"/>
    </xf>
    <xf numFmtId="0" fontId="8" fillId="4" borderId="4" xfId="0" applyFont="1" applyFill="1" applyBorder="1" applyAlignment="1">
      <alignment horizontal="center" vertical="top" wrapText="1"/>
    </xf>
    <xf numFmtId="0" fontId="10" fillId="7" borderId="4" xfId="0" applyFont="1" applyFill="1" applyBorder="1" applyAlignment="1">
      <alignment horizontal="center" vertical="top" wrapText="1"/>
    </xf>
    <xf numFmtId="0" fontId="10" fillId="3" borderId="4" xfId="0" applyFont="1" applyFill="1" applyBorder="1" applyAlignment="1">
      <alignment horizontal="center" vertical="top" wrapText="1"/>
    </xf>
    <xf numFmtId="0" fontId="8" fillId="8" borderId="4" xfId="0" applyFont="1" applyFill="1" applyBorder="1" applyAlignment="1">
      <alignment horizontal="center" vertical="top" wrapText="1"/>
    </xf>
    <xf numFmtId="0" fontId="19" fillId="7" borderId="4" xfId="0" applyFont="1" applyFill="1" applyBorder="1" applyAlignment="1">
      <alignment horizontal="left" vertical="top" wrapText="1"/>
    </xf>
  </cellXfs>
  <cellStyles count="2">
    <cellStyle name="Comma" xfId="1" builtinId="3"/>
    <cellStyle name="Normal" xfId="0" builtinId="0"/>
  </cellStyles>
  <dxfs count="47">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2" formatCode="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2" formatCode="0.0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theme="1"/>
        <name val="Calibri"/>
        <scheme val="minor"/>
      </font>
      <numFmt numFmtId="13" formatCode="0%"/>
      <fill>
        <patternFill patternType="none">
          <fgColor indexed="64"/>
          <bgColor auto="1"/>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theme="1"/>
        <name val="Calibri"/>
        <scheme val="minor"/>
      </font>
      <numFmt numFmtId="13" formatCode="0%"/>
      <fill>
        <patternFill patternType="none">
          <fgColor indexed="64"/>
          <bgColor auto="1"/>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2"/>
        <color theme="0"/>
        <name val="Calibri"/>
        <scheme val="minor"/>
      </font>
      <numFmt numFmtId="13" formatCode="0%"/>
      <fill>
        <patternFill patternType="none">
          <fgColor indexed="64"/>
          <bgColor auto="1"/>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outline="0">
        <right style="medium">
          <color indexed="64"/>
        </right>
        <top style="medium">
          <color indexed="64"/>
        </top>
      </border>
    </dxf>
    <dxf>
      <border>
        <bottom style="thin">
          <color indexed="64"/>
        </bottom>
      </border>
    </dxf>
    <dxf>
      <font>
        <b/>
        <i val="0"/>
        <strike val="0"/>
        <condense val="0"/>
        <extend val="0"/>
        <outline val="0"/>
        <shadow val="0"/>
        <u val="none"/>
        <vertAlign val="baseline"/>
        <sz val="12"/>
        <color theme="1"/>
        <name val="Calibri"/>
        <scheme val="minor"/>
      </font>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i val="0"/>
      </font>
      <fill>
        <patternFill>
          <bgColor rgb="FFC00000"/>
        </patternFill>
      </fill>
    </dxf>
    <dxf>
      <fill>
        <patternFill>
          <bgColor rgb="FFFF0000"/>
        </patternFill>
      </fill>
    </dxf>
    <dxf>
      <fill>
        <patternFill>
          <bgColor rgb="FFC00000"/>
        </patternFill>
      </fill>
    </dxf>
    <dxf>
      <fill>
        <patternFill>
          <bgColor rgb="FFC00000"/>
        </patternFill>
      </fill>
    </dxf>
    <dxf>
      <fill>
        <patternFill>
          <bgColor rgb="FFFFC000"/>
        </patternFill>
      </fill>
    </dxf>
    <dxf>
      <fill>
        <patternFill>
          <bgColor rgb="FFFFFF00"/>
        </patternFill>
      </fill>
    </dxf>
    <dxf>
      <font>
        <b/>
        <i val="0"/>
      </font>
      <fill>
        <patternFill>
          <bgColor rgb="FFC00000"/>
        </patternFill>
      </fill>
    </dxf>
    <dxf>
      <fill>
        <patternFill>
          <bgColor rgb="FFFF0000"/>
        </patternFill>
      </fill>
    </dxf>
    <dxf>
      <fill>
        <patternFill>
          <bgColor rgb="FFC00000"/>
        </patternFill>
      </fill>
    </dxf>
    <dxf>
      <fill>
        <patternFill>
          <bgColor rgb="FFC00000"/>
        </patternFill>
      </fill>
    </dxf>
    <dxf>
      <fill>
        <patternFill>
          <bgColor rgb="FFFFC000"/>
        </patternFill>
      </fill>
    </dxf>
    <dxf>
      <fill>
        <patternFill>
          <bgColor rgb="FFFFFF0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theme="7" tint="0.79998168889431442"/>
        </patternFill>
      </fill>
    </dxf>
    <dxf>
      <fill>
        <patternFill>
          <bgColor rgb="FFFF0000"/>
        </patternFill>
      </fill>
    </dxf>
    <dxf>
      <fill>
        <patternFill>
          <bgColor rgb="FFFF0000"/>
        </patternFill>
      </fill>
    </dxf>
    <dxf>
      <fill>
        <patternFill>
          <bgColor rgb="FFFFC000"/>
        </patternFill>
      </fill>
    </dxf>
    <dxf>
      <font>
        <b/>
        <i val="0"/>
      </font>
      <fill>
        <patternFill>
          <bgColor rgb="FFC00000"/>
        </patternFill>
      </fill>
    </dxf>
    <dxf>
      <fill>
        <patternFill>
          <bgColor rgb="FFFFFF00"/>
        </patternFill>
      </fill>
    </dxf>
    <dxf>
      <fill>
        <patternFill>
          <bgColor rgb="FFFF0000"/>
        </patternFill>
      </fill>
    </dxf>
    <dxf>
      <fill>
        <patternFill>
          <bgColor rgb="FFFF0000"/>
        </patternFill>
      </fill>
    </dxf>
    <dxf>
      <fill>
        <patternFill>
          <bgColor rgb="FFFFC000"/>
        </patternFill>
      </fill>
    </dxf>
    <dxf>
      <font>
        <b/>
        <i val="0"/>
      </font>
      <fill>
        <patternFill>
          <bgColor rgb="FFC00000"/>
        </patternFill>
      </fill>
    </dxf>
    <dxf>
      <fill>
        <patternFill>
          <bgColor rgb="FFFFFF00"/>
        </patternFill>
      </fill>
    </dxf>
  </dxfs>
  <tableStyles count="0" defaultTableStyle="TableStyleMedium2" defaultPivotStyle="PivotStyleLight16"/>
  <colors>
    <mruColors>
      <color rgb="FFFFCC66"/>
      <color rgb="FFFFCC00"/>
      <color rgb="FFFFFF99"/>
      <color rgb="FFFFFFCC"/>
      <color rgb="FFCCFF99"/>
      <color rgb="FFFF9900"/>
      <color rgb="FFFFCCCC"/>
      <color rgb="FFFF0000"/>
      <color rgb="FFFFCCFF"/>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211063798957376"/>
          <c:y val="4.1465107728562801E-2"/>
          <c:w val="0.86788936201042621"/>
          <c:h val="0.65482927929978751"/>
        </c:manualLayout>
      </c:layout>
      <c:lineChart>
        <c:grouping val="standard"/>
        <c:varyColors val="0"/>
        <c:ser>
          <c:idx val="0"/>
          <c:order val="0"/>
          <c:tx>
            <c:strRef>
              <c:f>Sheet1!$C$3</c:f>
              <c:strCache>
                <c:ptCount val="1"/>
                <c:pt idx="0">
                  <c:v>Species risk</c:v>
                </c:pt>
              </c:strCache>
            </c:strRef>
          </c:tx>
          <c:spPr>
            <a:ln w="28575" cap="rnd">
              <a:noFill/>
              <a:round/>
            </a:ln>
            <a:effectLst/>
          </c:spPr>
          <c:marker>
            <c:symbol val="none"/>
          </c:marker>
          <c:cat>
            <c:strRef>
              <c:f>Sheet1!$B$4:$B$14</c:f>
              <c:strCache>
                <c:ptCount val="11"/>
                <c:pt idx="0">
                  <c:v>TCM shops</c:v>
                </c:pt>
                <c:pt idx="1">
                  <c:v>Rural bushmarkets</c:v>
                </c:pt>
                <c:pt idx="2">
                  <c:v>Temporary sales points</c:v>
                </c:pt>
                <c:pt idx="3">
                  <c:v>Roadside sales</c:v>
                </c:pt>
                <c:pt idx="4">
                  <c:v>Warehouse sales</c:v>
                </c:pt>
                <c:pt idx="5">
                  <c:v>Online trade delivery</c:v>
                </c:pt>
                <c:pt idx="6">
                  <c:v>Research facility</c:v>
                </c:pt>
                <c:pt idx="7">
                  <c:v>Transient stalls</c:v>
                </c:pt>
                <c:pt idx="8">
                  <c:v>Urban (town) bushmeat markets</c:v>
                </c:pt>
                <c:pt idx="9">
                  <c:v>Restaurant sales</c:v>
                </c:pt>
                <c:pt idx="10">
                  <c:v>Permanent wildlife markets</c:v>
                </c:pt>
              </c:strCache>
            </c:strRef>
          </c:cat>
          <c:val>
            <c:numRef>
              <c:f>Sheet1!$C$4:$C$14</c:f>
              <c:numCache>
                <c:formatCode>General</c:formatCode>
                <c:ptCount val="11"/>
                <c:pt idx="0">
                  <c:v>0</c:v>
                </c:pt>
                <c:pt idx="1">
                  <c:v>2</c:v>
                </c:pt>
                <c:pt idx="2">
                  <c:v>1</c:v>
                </c:pt>
                <c:pt idx="3">
                  <c:v>3</c:v>
                </c:pt>
                <c:pt idx="4">
                  <c:v>4</c:v>
                </c:pt>
                <c:pt idx="5">
                  <c:v>5</c:v>
                </c:pt>
                <c:pt idx="6">
                  <c:v>6</c:v>
                </c:pt>
                <c:pt idx="7">
                  <c:v>7</c:v>
                </c:pt>
                <c:pt idx="8">
                  <c:v>8</c:v>
                </c:pt>
                <c:pt idx="9">
                  <c:v>9</c:v>
                </c:pt>
                <c:pt idx="10">
                  <c:v>10</c:v>
                </c:pt>
              </c:numCache>
            </c:numRef>
          </c:val>
          <c:smooth val="0"/>
          <c:extLst xmlns:c16r2="http://schemas.microsoft.com/office/drawing/2015/06/chart">
            <c:ext xmlns:c16="http://schemas.microsoft.com/office/drawing/2014/chart" uri="{C3380CC4-5D6E-409C-BE32-E72D297353CC}">
              <c16:uniqueId val="{00000000-75A4-4594-BEEA-3D0C042A2A31}"/>
            </c:ext>
          </c:extLst>
        </c:ser>
        <c:dLbls>
          <c:showLegendKey val="0"/>
          <c:showVal val="0"/>
          <c:showCatName val="0"/>
          <c:showSerName val="0"/>
          <c:showPercent val="0"/>
          <c:showBubbleSize val="0"/>
        </c:dLbls>
        <c:smooth val="0"/>
        <c:axId val="-1679506816"/>
        <c:axId val="-1679514976"/>
      </c:lineChart>
      <c:catAx>
        <c:axId val="-16795068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accent1"/>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79514976"/>
        <c:crosses val="autoZero"/>
        <c:auto val="0"/>
        <c:lblAlgn val="ctr"/>
        <c:lblOffset val="100"/>
        <c:noMultiLvlLbl val="0"/>
      </c:catAx>
      <c:valAx>
        <c:axId val="-1679514976"/>
        <c:scaling>
          <c:orientation val="minMax"/>
          <c:max val="1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79506816"/>
        <c:crosses val="autoZero"/>
        <c:crossBetween val="between"/>
      </c:valAx>
      <c:spPr>
        <a:solidFill>
          <a:srgbClr val="FFC000"/>
        </a:solidFill>
        <a:ln>
          <a:solidFill>
            <a:schemeClr val="accent1"/>
          </a:solid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647700</xdr:colOff>
      <xdr:row>4</xdr:row>
      <xdr:rowOff>36196</xdr:rowOff>
    </xdr:from>
    <xdr:to>
      <xdr:col>18</xdr:col>
      <xdr:colOff>236220</xdr:colOff>
      <xdr:row>31</xdr:row>
      <xdr:rowOff>148590</xdr:rowOff>
    </xdr:to>
    <xdr:graphicFrame macro="">
      <xdr:nvGraphicFramePr>
        <xdr:cNvPr id="2" name="Chart 1">
          <a:extLst>
            <a:ext uri="{FF2B5EF4-FFF2-40B4-BE49-F238E27FC236}">
              <a16:creationId xmlns:a16="http://schemas.microsoft.com/office/drawing/2014/main" xmlns="" id="{691CA98C-C880-4896-8746-DEB74ADF744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2" name="Table2" displayName="Table2" ref="A2:Q3" totalsRowShown="0" headerRowDxfId="19" headerRowBorderDxfId="18" tableBorderDxfId="17">
  <autoFilter ref="A2:Q3"/>
  <tableColumns count="17">
    <tableColumn id="1" name="Country" dataDxfId="16"/>
    <tableColumn id="2" name="Market description: who, where, what, how (1 sentence)" dataDxfId="15"/>
    <tableColumn id="26" name="market trade type:  11 types key below" dataDxfId="14"/>
    <tableColumn id="4" name="Emerging Infectious Disease Risk Level (derived from prevalence and transmission risk): VERY HIGH - 100 to 57; HIGH - 56 to 52; MEDIUM - 51 to 46; LOWER - 44 to 16" dataDxfId="13">
      <calculatedColumnFormula>Table2[[#This Row],[dangerous emerging infectious disease prevalence score 70%]]*((Table2[[#This Row],[transmission risk score 30%]]+#REF!)/2)</calculatedColumnFormula>
    </tableColumn>
    <tableColumn id="5" name="dangerous emerging infectious disease prevalence score 70%" dataDxfId="12">
      <calculatedColumnFormula>SUM(G3:M3)/#REF!</calculatedColumnFormula>
    </tableColumn>
    <tableColumn id="6" name="transmission risk score 30%" dataDxfId="11">
      <calculatedColumnFormula>SUM(N3:Q3)/#REF!</calculatedColumnFormula>
    </tableColumn>
    <tableColumn id="8" name="TAXA being regularly sold RISK LEVEL: very high - 30; high - 24 ; medium - 10; lower - 2" dataDxfId="10"/>
    <tableColumn id="9" name="Number of different high and very high risk taxa regularly together in trade chain: many, often - 5; several, often - 4; several, occassionally -  1; few or none - 0" dataDxfId="9"/>
    <tableColumn id="29" name="live wildlife kept in close contact with live peri-domestic or domestic species: yes/usually - 5 ; no/rarely - 0" dataDxfId="8"/>
    <tableColumn id="10" name="animals kept alive close to or beyond point of sale: mostly - 20  ; sometimes - 10; rarely or no -5 ; only dried, smoked, frozen, packaged products - 2" dataDxfId="7"/>
    <tableColumn id="28" name="live animals kept in crowded conditions: yes - 5 ; no - 0" dataDxfId="6"/>
    <tableColumn id="27" name="trade chain length/duration/stops: long, multiple stops, long duration - 5 ; long, few stops - 4; medium to short length, fewer stops, shorter duration - 2" dataDxfId="5"/>
    <tableColumn id="11" name="SUBSCORE " dataDxfId="4">
      <calculatedColumnFormula>IF(J3=#REF!,#REF!,IF(J3=#REF!,#REF!,IF(J3=#REF!,#REF!,IF(J3=#REF!,#REF!))))</calculatedColumnFormula>
    </tableColumn>
    <tableColumn id="12" name="Trade chain &amp; market hygiene (e.g. storage, butchering practices, refrigeration, running water): good throughout - 1; poor in trade chain stages - 3; poor throughout - 5" dataDxfId="3"/>
    <tableColumn id="16" name="governance &amp; testing: good throughout trade chain - 1; some - ; poor to none - 5 " dataDxfId="2"/>
    <tableColumn id="18" name="trade transport or sale setting has close contact of live wildlife with many people: yes, many, regularly - 20; yes, many, at times in trade chain - 14; no or not regularly - 8" dataDxfId="1"/>
    <tableColumn id="19" name="SUBSCORE" dataDxfId="0">
      <calculatedColumnFormula>IF(P3=#REF!,#REF!,IF(P3=#REF!,#REF!,IF(P3=#REF!,#REF!,IF(P3=#REF!,#REF!))))</calculatedColumnFormula>
    </tableColumn>
  </tableColumns>
  <tableStyleInfo name="TableStyleMedium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2:J31"/>
  <sheetViews>
    <sheetView topLeftCell="B1" workbookViewId="0">
      <selection activeCell="B11" sqref="B11"/>
    </sheetView>
  </sheetViews>
  <sheetFormatPr defaultRowHeight="18.75" x14ac:dyDescent="0.3"/>
  <cols>
    <col min="2" max="2" width="39.5" style="170" customWidth="1"/>
    <col min="3" max="3" width="11.375" style="98" hidden="1" customWidth="1"/>
    <col min="4" max="4" width="10.375" style="71" hidden="1" customWidth="1"/>
    <col min="5" max="5" width="12.625" style="214" customWidth="1"/>
    <col min="6" max="6" width="3.625" customWidth="1"/>
    <col min="7" max="7" width="11.125" hidden="1" customWidth="1"/>
    <col min="8" max="8" width="14.875" hidden="1" customWidth="1"/>
    <col min="9" max="9" width="17.375" hidden="1" customWidth="1"/>
    <col min="10" max="10" width="11.875" hidden="1" customWidth="1"/>
  </cols>
  <sheetData>
    <row r="2" spans="1:10" ht="81.75" customHeight="1" x14ac:dyDescent="0.3">
      <c r="A2" s="17"/>
      <c r="B2" s="231" t="s">
        <v>309</v>
      </c>
      <c r="C2" s="89"/>
      <c r="D2" s="90"/>
      <c r="E2" s="230" t="s">
        <v>308</v>
      </c>
      <c r="F2" s="2"/>
      <c r="G2" s="241" t="s">
        <v>69</v>
      </c>
      <c r="H2" s="241"/>
      <c r="I2" s="241"/>
      <c r="J2" s="241"/>
    </row>
    <row r="3" spans="1:10" ht="67.150000000000006" customHeight="1" x14ac:dyDescent="0.25">
      <c r="A3" s="17"/>
      <c r="B3" s="217" t="s">
        <v>138</v>
      </c>
      <c r="C3" s="160" t="s">
        <v>139</v>
      </c>
      <c r="D3" s="160" t="s">
        <v>161</v>
      </c>
      <c r="E3" s="216" t="s">
        <v>137</v>
      </c>
      <c r="F3" s="165"/>
      <c r="G3" s="164" t="s">
        <v>91</v>
      </c>
      <c r="H3" s="164" t="s">
        <v>72</v>
      </c>
      <c r="I3" s="164" t="s">
        <v>71</v>
      </c>
      <c r="J3" s="164" t="s">
        <v>70</v>
      </c>
    </row>
    <row r="4" spans="1:10" ht="30" x14ac:dyDescent="0.3">
      <c r="A4" s="17"/>
      <c r="B4" s="166" t="s">
        <v>278</v>
      </c>
      <c r="C4" s="91">
        <v>25</v>
      </c>
      <c r="D4" s="92" t="s">
        <v>88</v>
      </c>
      <c r="E4" s="213"/>
      <c r="F4" s="2"/>
      <c r="G4" s="74"/>
      <c r="H4" s="74"/>
      <c r="I4" s="74"/>
      <c r="J4" s="75" t="s">
        <v>92</v>
      </c>
    </row>
    <row r="5" spans="1:10" x14ac:dyDescent="0.3">
      <c r="A5" s="17"/>
      <c r="B5" s="166" t="s">
        <v>277</v>
      </c>
      <c r="C5" s="91">
        <v>23</v>
      </c>
      <c r="D5" s="92" t="s">
        <v>88</v>
      </c>
      <c r="E5" s="213"/>
      <c r="F5" s="2"/>
      <c r="G5" s="74"/>
      <c r="H5" s="76"/>
      <c r="I5" s="77" t="s">
        <v>106</v>
      </c>
      <c r="J5" s="75" t="s">
        <v>97</v>
      </c>
    </row>
    <row r="6" spans="1:10" x14ac:dyDescent="0.3">
      <c r="A6" s="17"/>
      <c r="B6" s="166" t="s">
        <v>293</v>
      </c>
      <c r="C6" s="91">
        <v>23</v>
      </c>
      <c r="D6" s="92" t="s">
        <v>88</v>
      </c>
      <c r="E6" s="213"/>
      <c r="F6" s="2"/>
      <c r="G6" s="74"/>
      <c r="H6" s="76"/>
      <c r="I6" s="78" t="s">
        <v>131</v>
      </c>
      <c r="J6" s="75" t="s">
        <v>94</v>
      </c>
    </row>
    <row r="7" spans="1:10" ht="30" x14ac:dyDescent="0.3">
      <c r="A7" s="17"/>
      <c r="B7" s="166" t="s">
        <v>276</v>
      </c>
      <c r="C7" s="91">
        <v>23</v>
      </c>
      <c r="D7" s="92" t="s">
        <v>88</v>
      </c>
      <c r="E7" s="213"/>
      <c r="F7" s="2"/>
      <c r="G7" s="79" t="s">
        <v>100</v>
      </c>
      <c r="H7" s="80" t="s">
        <v>103</v>
      </c>
      <c r="I7" s="78" t="s">
        <v>99</v>
      </c>
      <c r="J7" s="75" t="s">
        <v>95</v>
      </c>
    </row>
    <row r="8" spans="1:10" x14ac:dyDescent="0.3">
      <c r="A8" s="17"/>
      <c r="B8" s="166" t="s">
        <v>275</v>
      </c>
      <c r="C8" s="91">
        <v>22</v>
      </c>
      <c r="D8" s="92" t="s">
        <v>88</v>
      </c>
      <c r="E8" s="213"/>
      <c r="F8" s="2"/>
      <c r="G8" s="76"/>
      <c r="H8" s="76"/>
      <c r="I8" s="78" t="s">
        <v>106</v>
      </c>
      <c r="J8" s="75" t="s">
        <v>102</v>
      </c>
    </row>
    <row r="9" spans="1:10" x14ac:dyDescent="0.3">
      <c r="A9" s="17"/>
      <c r="B9" s="166" t="s">
        <v>274</v>
      </c>
      <c r="C9" s="91">
        <v>22</v>
      </c>
      <c r="D9" s="92" t="s">
        <v>88</v>
      </c>
      <c r="E9" s="213"/>
      <c r="F9" s="2"/>
      <c r="G9" s="74"/>
      <c r="H9" s="76"/>
      <c r="I9" s="78" t="s">
        <v>131</v>
      </c>
      <c r="J9" s="75" t="s">
        <v>94</v>
      </c>
    </row>
    <row r="10" spans="1:10" ht="30" x14ac:dyDescent="0.3">
      <c r="A10" s="17"/>
      <c r="B10" s="166" t="s">
        <v>273</v>
      </c>
      <c r="C10" s="91">
        <v>22</v>
      </c>
      <c r="D10" s="92" t="s">
        <v>88</v>
      </c>
      <c r="E10" s="213"/>
      <c r="F10" s="2"/>
      <c r="G10" s="76"/>
      <c r="H10" s="76"/>
      <c r="I10" s="78" t="s">
        <v>100</v>
      </c>
      <c r="J10" s="75" t="s">
        <v>97</v>
      </c>
    </row>
    <row r="11" spans="1:10" ht="34.15" customHeight="1" x14ac:dyDescent="0.3">
      <c r="A11" s="17"/>
      <c r="B11" s="166" t="s">
        <v>326</v>
      </c>
      <c r="C11" s="91"/>
      <c r="D11" s="92"/>
      <c r="E11" s="213"/>
      <c r="F11" s="2"/>
      <c r="G11" s="74"/>
      <c r="H11" s="80"/>
      <c r="I11" s="78"/>
      <c r="J11" s="75"/>
    </row>
    <row r="12" spans="1:10" x14ac:dyDescent="0.3">
      <c r="A12" s="17"/>
      <c r="B12" s="166" t="s">
        <v>272</v>
      </c>
      <c r="C12" s="91">
        <v>21</v>
      </c>
      <c r="D12" s="92" t="s">
        <v>88</v>
      </c>
      <c r="E12" s="213"/>
      <c r="F12" s="2"/>
      <c r="G12" s="74"/>
      <c r="H12" s="80" t="s">
        <v>100</v>
      </c>
      <c r="I12" s="78" t="s">
        <v>133</v>
      </c>
      <c r="J12" s="75" t="s">
        <v>94</v>
      </c>
    </row>
    <row r="13" spans="1:10" x14ac:dyDescent="0.3">
      <c r="A13" s="17"/>
      <c r="B13" s="167" t="s">
        <v>271</v>
      </c>
      <c r="C13" s="91">
        <v>21</v>
      </c>
      <c r="D13" s="94" t="s">
        <v>89</v>
      </c>
      <c r="E13" s="213"/>
      <c r="F13" s="2"/>
      <c r="G13" s="74"/>
      <c r="H13" s="80" t="s">
        <v>131</v>
      </c>
      <c r="I13" s="78" t="s">
        <v>132</v>
      </c>
      <c r="J13" s="75" t="s">
        <v>93</v>
      </c>
    </row>
    <row r="14" spans="1:10" x14ac:dyDescent="0.3">
      <c r="A14" s="17"/>
      <c r="B14" s="167" t="s">
        <v>270</v>
      </c>
      <c r="C14" s="93">
        <v>16</v>
      </c>
      <c r="D14" s="94" t="s">
        <v>89</v>
      </c>
      <c r="E14" s="213"/>
      <c r="F14" s="2"/>
      <c r="G14" s="79" t="s">
        <v>107</v>
      </c>
      <c r="H14" s="80" t="s">
        <v>104</v>
      </c>
      <c r="I14" s="78" t="s">
        <v>101</v>
      </c>
      <c r="J14" s="74"/>
    </row>
    <row r="15" spans="1:10" ht="30" x14ac:dyDescent="0.3">
      <c r="A15" s="17"/>
      <c r="B15" s="167" t="s">
        <v>289</v>
      </c>
      <c r="C15" s="93">
        <v>13</v>
      </c>
      <c r="D15" s="94" t="s">
        <v>89</v>
      </c>
      <c r="E15" s="213"/>
      <c r="F15" s="2"/>
      <c r="G15" s="79" t="s">
        <v>100</v>
      </c>
      <c r="H15" s="80" t="s">
        <v>98</v>
      </c>
      <c r="I15" s="78" t="s">
        <v>96</v>
      </c>
      <c r="J15" s="74"/>
    </row>
    <row r="16" spans="1:10" x14ac:dyDescent="0.3">
      <c r="A16" s="17"/>
      <c r="B16" s="167" t="s">
        <v>267</v>
      </c>
      <c r="C16" s="93">
        <v>13</v>
      </c>
      <c r="D16" s="94" t="s">
        <v>89</v>
      </c>
      <c r="E16" s="213"/>
      <c r="F16" s="2"/>
      <c r="G16" s="74"/>
      <c r="H16" s="80" t="s">
        <v>106</v>
      </c>
      <c r="I16" s="78" t="s">
        <v>97</v>
      </c>
      <c r="J16" s="74"/>
    </row>
    <row r="17" spans="1:10" ht="33" customHeight="1" x14ac:dyDescent="0.3">
      <c r="A17" s="17"/>
      <c r="B17" s="167" t="s">
        <v>261</v>
      </c>
      <c r="C17" s="93">
        <v>13</v>
      </c>
      <c r="D17" s="94" t="s">
        <v>89</v>
      </c>
      <c r="E17" s="213"/>
      <c r="F17" s="2"/>
      <c r="G17" s="74"/>
      <c r="H17" s="80" t="s">
        <v>106</v>
      </c>
      <c r="I17" s="78" t="s">
        <v>102</v>
      </c>
      <c r="J17" s="74"/>
    </row>
    <row r="18" spans="1:10" ht="31.9" customHeight="1" x14ac:dyDescent="0.3">
      <c r="A18" s="17"/>
      <c r="B18" s="167" t="s">
        <v>294</v>
      </c>
      <c r="C18" s="93">
        <v>10</v>
      </c>
      <c r="D18" s="94" t="s">
        <v>89</v>
      </c>
      <c r="E18" s="213"/>
      <c r="F18" s="2"/>
      <c r="G18" s="74"/>
      <c r="H18" s="80" t="s">
        <v>106</v>
      </c>
      <c r="I18" s="78" t="s">
        <v>97</v>
      </c>
      <c r="J18" s="74"/>
    </row>
    <row r="19" spans="1:10" x14ac:dyDescent="0.3">
      <c r="A19" s="17"/>
      <c r="B19" s="167" t="s">
        <v>269</v>
      </c>
      <c r="C19" s="93">
        <v>10</v>
      </c>
      <c r="D19" s="94" t="s">
        <v>89</v>
      </c>
      <c r="E19" s="213"/>
      <c r="F19" s="2"/>
      <c r="G19" s="74"/>
      <c r="H19" s="80" t="s">
        <v>106</v>
      </c>
      <c r="I19" s="78" t="s">
        <v>97</v>
      </c>
      <c r="J19" s="74"/>
    </row>
    <row r="20" spans="1:10" x14ac:dyDescent="0.3">
      <c r="A20" s="17"/>
      <c r="B20" s="167" t="s">
        <v>266</v>
      </c>
      <c r="C20" s="93">
        <v>10</v>
      </c>
      <c r="D20" s="94" t="s">
        <v>89</v>
      </c>
      <c r="E20" s="213"/>
      <c r="F20" s="2"/>
      <c r="G20" s="74"/>
      <c r="H20" s="80" t="s">
        <v>107</v>
      </c>
      <c r="I20" s="78" t="s">
        <v>134</v>
      </c>
      <c r="J20" s="74"/>
    </row>
    <row r="21" spans="1:10" x14ac:dyDescent="0.3">
      <c r="A21" s="17"/>
      <c r="B21" s="168" t="s">
        <v>265</v>
      </c>
      <c r="C21" s="95"/>
      <c r="D21" s="151" t="s">
        <v>90</v>
      </c>
      <c r="E21" s="213"/>
      <c r="F21" s="2"/>
      <c r="G21" s="79" t="s">
        <v>100</v>
      </c>
      <c r="H21" s="80" t="s">
        <v>103</v>
      </c>
      <c r="I21" s="78" t="s">
        <v>93</v>
      </c>
      <c r="J21" s="74"/>
    </row>
    <row r="22" spans="1:10" x14ac:dyDescent="0.3">
      <c r="A22" s="17"/>
      <c r="B22" s="168" t="s">
        <v>264</v>
      </c>
      <c r="C22" s="95">
        <v>10</v>
      </c>
      <c r="D22" s="151" t="s">
        <v>90</v>
      </c>
      <c r="E22" s="213"/>
      <c r="F22" s="2"/>
      <c r="G22" s="79" t="s">
        <v>106</v>
      </c>
      <c r="H22" s="80" t="s">
        <v>98</v>
      </c>
      <c r="I22" s="78" t="s">
        <v>93</v>
      </c>
      <c r="J22" s="74"/>
    </row>
    <row r="23" spans="1:10" x14ac:dyDescent="0.3">
      <c r="A23" s="17"/>
      <c r="B23" s="168" t="s">
        <v>135</v>
      </c>
      <c r="C23" s="95">
        <v>10</v>
      </c>
      <c r="D23" s="151" t="s">
        <v>90</v>
      </c>
      <c r="E23" s="213"/>
      <c r="F23" s="2"/>
      <c r="G23" s="74"/>
      <c r="H23" s="76"/>
      <c r="I23" s="78" t="s">
        <v>136</v>
      </c>
      <c r="J23" s="74"/>
    </row>
    <row r="24" spans="1:10" x14ac:dyDescent="0.3">
      <c r="A24" s="17"/>
      <c r="B24" s="168" t="s">
        <v>263</v>
      </c>
      <c r="C24" s="95" t="s">
        <v>60</v>
      </c>
      <c r="D24" s="151" t="s">
        <v>90</v>
      </c>
      <c r="E24" s="213"/>
      <c r="F24" s="2"/>
      <c r="G24" s="79" t="s">
        <v>106</v>
      </c>
      <c r="H24" s="80" t="s">
        <v>98</v>
      </c>
      <c r="I24" s="78" t="s">
        <v>93</v>
      </c>
      <c r="J24" s="74"/>
    </row>
    <row r="25" spans="1:10" x14ac:dyDescent="0.3">
      <c r="A25" s="17"/>
      <c r="B25" s="168" t="s">
        <v>262</v>
      </c>
      <c r="C25" s="95">
        <v>9</v>
      </c>
      <c r="D25" s="151" t="s">
        <v>90</v>
      </c>
      <c r="E25" s="213"/>
      <c r="F25" s="2"/>
      <c r="G25" s="79" t="s">
        <v>105</v>
      </c>
      <c r="H25" s="80" t="s">
        <v>99</v>
      </c>
      <c r="I25" s="78" t="s">
        <v>95</v>
      </c>
      <c r="J25" s="74"/>
    </row>
    <row r="26" spans="1:10" x14ac:dyDescent="0.3">
      <c r="A26" s="17"/>
      <c r="B26" s="168" t="s">
        <v>1</v>
      </c>
      <c r="C26" s="97">
        <v>7</v>
      </c>
      <c r="D26" s="151" t="s">
        <v>90</v>
      </c>
      <c r="E26" s="213"/>
      <c r="F26" s="2"/>
      <c r="G26" s="79" t="s">
        <v>108</v>
      </c>
      <c r="H26" s="80" t="s">
        <v>96</v>
      </c>
      <c r="I26" s="74"/>
      <c r="J26" s="74"/>
    </row>
    <row r="27" spans="1:10" x14ac:dyDescent="0.3">
      <c r="A27" s="17"/>
      <c r="B27" s="169" t="s">
        <v>8</v>
      </c>
      <c r="C27" s="97">
        <v>6</v>
      </c>
      <c r="D27" s="96" t="s">
        <v>90</v>
      </c>
      <c r="E27" s="213"/>
      <c r="F27" s="2"/>
      <c r="G27" s="81"/>
      <c r="H27" s="80" t="s">
        <v>109</v>
      </c>
      <c r="I27" s="74"/>
      <c r="J27" s="74"/>
    </row>
    <row r="28" spans="1:10" x14ac:dyDescent="0.3">
      <c r="A28" s="17"/>
      <c r="B28" s="169" t="s">
        <v>18</v>
      </c>
      <c r="C28" s="97">
        <v>5</v>
      </c>
      <c r="D28" s="96" t="s">
        <v>90</v>
      </c>
      <c r="E28" s="213"/>
      <c r="F28" s="2"/>
      <c r="G28" s="81"/>
      <c r="H28" s="74"/>
      <c r="I28" s="74"/>
      <c r="J28" s="74"/>
    </row>
    <row r="29" spans="1:10" x14ac:dyDescent="0.3">
      <c r="A29" s="17"/>
      <c r="B29" s="169" t="s">
        <v>19</v>
      </c>
      <c r="C29" s="97">
        <v>5</v>
      </c>
      <c r="D29" s="96" t="s">
        <v>90</v>
      </c>
      <c r="E29" s="213"/>
      <c r="F29" s="2"/>
      <c r="G29" s="81"/>
      <c r="H29" s="74"/>
      <c r="I29" s="74"/>
      <c r="J29" s="74"/>
    </row>
    <row r="30" spans="1:10" x14ac:dyDescent="0.3">
      <c r="D30" s="99"/>
    </row>
    <row r="31" spans="1:10" x14ac:dyDescent="0.3">
      <c r="E31" s="215"/>
    </row>
  </sheetData>
  <mergeCells count="1">
    <mergeCell ref="G2:J2"/>
  </mergeCells>
  <pageMargins left="0.7" right="0.7" top="0.75" bottom="0.75" header="0.3" footer="0.3"/>
  <pageSetup orientation="portrait" horizontalDpi="200" verticalDpi="200"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topLeftCell="A16" zoomScale="80" zoomScaleNormal="80" workbookViewId="0">
      <selection activeCell="C2" sqref="C2:E2"/>
    </sheetView>
  </sheetViews>
  <sheetFormatPr defaultColWidth="11.25" defaultRowHeight="18.75" x14ac:dyDescent="0.25"/>
  <cols>
    <col min="1" max="1" width="30.25" style="88" customWidth="1"/>
    <col min="2" max="2" width="18.75" style="9" customWidth="1"/>
    <col min="3" max="3" width="18.5" style="9" customWidth="1"/>
    <col min="4" max="4" width="30.75" style="9" customWidth="1"/>
    <col min="5" max="5" width="16.875" style="12" customWidth="1"/>
    <col min="6" max="6" width="23.375" style="9" customWidth="1"/>
    <col min="7" max="7" width="37.75" style="30" customWidth="1"/>
    <col min="8" max="8" width="14.75" style="9" customWidth="1"/>
    <col min="9" max="9" width="27.5" style="73" customWidth="1"/>
  </cols>
  <sheetData>
    <row r="1" spans="1:14" ht="78.75" customHeight="1" thickTop="1" x14ac:dyDescent="0.25">
      <c r="A1" s="246" t="s">
        <v>313</v>
      </c>
      <c r="B1" s="247"/>
      <c r="C1" s="247"/>
      <c r="D1" s="247"/>
      <c r="E1" s="247"/>
      <c r="F1" s="247"/>
      <c r="G1" s="247"/>
      <c r="H1" s="244" t="s">
        <v>311</v>
      </c>
      <c r="I1" s="245"/>
    </row>
    <row r="2" spans="1:14" ht="142.9" customHeight="1" x14ac:dyDescent="0.25">
      <c r="A2" s="248" t="s">
        <v>172</v>
      </c>
      <c r="B2" s="249"/>
      <c r="C2" s="250" t="s">
        <v>167</v>
      </c>
      <c r="D2" s="250"/>
      <c r="E2" s="250"/>
      <c r="F2" s="251" t="s">
        <v>314</v>
      </c>
      <c r="G2" s="249"/>
      <c r="H2" s="249"/>
      <c r="I2" s="252"/>
      <c r="M2" t="s">
        <v>312</v>
      </c>
    </row>
    <row r="3" spans="1:14" ht="21" x14ac:dyDescent="0.25">
      <c r="A3" s="253" t="s">
        <v>312</v>
      </c>
      <c r="B3" s="255" t="s">
        <v>17</v>
      </c>
      <c r="C3" s="256"/>
      <c r="D3" s="256"/>
      <c r="E3" s="256"/>
      <c r="F3" s="256"/>
      <c r="G3" s="257"/>
      <c r="H3" s="13"/>
      <c r="I3" s="132"/>
    </row>
    <row r="4" spans="1:14" ht="78.75" x14ac:dyDescent="0.25">
      <c r="A4" s="254"/>
      <c r="B4" s="113" t="s">
        <v>14</v>
      </c>
      <c r="C4" s="113" t="s">
        <v>10</v>
      </c>
      <c r="D4" s="14" t="s">
        <v>180</v>
      </c>
      <c r="E4" s="113" t="s">
        <v>11</v>
      </c>
      <c r="F4" s="113" t="s">
        <v>9</v>
      </c>
      <c r="G4" s="113" t="s">
        <v>181</v>
      </c>
      <c r="H4" s="114" t="s">
        <v>249</v>
      </c>
      <c r="I4" s="133" t="s">
        <v>251</v>
      </c>
    </row>
    <row r="5" spans="1:14" ht="94.5" x14ac:dyDescent="0.25">
      <c r="A5" s="134" t="s">
        <v>15</v>
      </c>
      <c r="B5" s="127" t="s">
        <v>59</v>
      </c>
      <c r="C5" s="127" t="s">
        <v>20</v>
      </c>
      <c r="D5" s="15"/>
      <c r="E5" s="127" t="s">
        <v>45</v>
      </c>
      <c r="F5" s="127" t="s">
        <v>16</v>
      </c>
      <c r="G5" s="15"/>
      <c r="H5" s="15"/>
      <c r="I5" s="135" t="s">
        <v>25</v>
      </c>
    </row>
    <row r="6" spans="1:14" ht="51.6" customHeight="1" x14ac:dyDescent="0.25">
      <c r="A6" s="136" t="s">
        <v>279</v>
      </c>
      <c r="B6" s="10">
        <v>5</v>
      </c>
      <c r="C6" s="10">
        <v>6</v>
      </c>
      <c r="D6" s="117" t="s">
        <v>48</v>
      </c>
      <c r="E6" s="10">
        <v>4</v>
      </c>
      <c r="F6" s="10">
        <v>10</v>
      </c>
      <c r="G6" s="118" t="s">
        <v>53</v>
      </c>
      <c r="H6" s="10">
        <f t="shared" ref="H6:H21" si="0">SUM(B6:F6)</f>
        <v>25</v>
      </c>
      <c r="I6" s="161" t="s">
        <v>176</v>
      </c>
    </row>
    <row r="7" spans="1:14" ht="83.45" customHeight="1" x14ac:dyDescent="0.25">
      <c r="A7" s="136" t="s">
        <v>295</v>
      </c>
      <c r="B7" s="10">
        <v>3</v>
      </c>
      <c r="C7" s="10">
        <v>6</v>
      </c>
      <c r="D7" s="117" t="s">
        <v>54</v>
      </c>
      <c r="E7" s="10">
        <v>4</v>
      </c>
      <c r="F7" s="10">
        <v>10</v>
      </c>
      <c r="G7" s="118" t="s">
        <v>54</v>
      </c>
      <c r="H7" s="10">
        <f t="shared" si="0"/>
        <v>23</v>
      </c>
      <c r="I7" s="161" t="s">
        <v>176</v>
      </c>
      <c r="N7" s="8"/>
    </row>
    <row r="8" spans="1:14" ht="163.15" customHeight="1" x14ac:dyDescent="0.25">
      <c r="A8" s="136" t="s">
        <v>280</v>
      </c>
      <c r="B8" s="10">
        <v>3</v>
      </c>
      <c r="C8" s="10">
        <v>6</v>
      </c>
      <c r="D8" s="117" t="s">
        <v>62</v>
      </c>
      <c r="E8" s="10">
        <v>4</v>
      </c>
      <c r="F8" s="10">
        <v>10</v>
      </c>
      <c r="G8" s="118" t="s">
        <v>257</v>
      </c>
      <c r="H8" s="10">
        <f t="shared" si="0"/>
        <v>23</v>
      </c>
      <c r="I8" s="161" t="s">
        <v>176</v>
      </c>
      <c r="N8" s="8"/>
    </row>
    <row r="9" spans="1:14" ht="81.599999999999994" customHeight="1" x14ac:dyDescent="0.25">
      <c r="A9" s="136" t="s">
        <v>281</v>
      </c>
      <c r="B9" s="10">
        <v>3</v>
      </c>
      <c r="C9" s="10">
        <v>6</v>
      </c>
      <c r="D9" s="117" t="s">
        <v>61</v>
      </c>
      <c r="E9" s="10">
        <v>4</v>
      </c>
      <c r="F9" s="10">
        <v>9</v>
      </c>
      <c r="G9" s="118" t="s">
        <v>63</v>
      </c>
      <c r="H9" s="10">
        <f t="shared" si="0"/>
        <v>22</v>
      </c>
      <c r="I9" s="161" t="s">
        <v>176</v>
      </c>
      <c r="N9" s="8"/>
    </row>
    <row r="10" spans="1:14" ht="67.900000000000006" customHeight="1" x14ac:dyDescent="0.25">
      <c r="A10" s="136" t="s">
        <v>2</v>
      </c>
      <c r="B10" s="10">
        <v>3</v>
      </c>
      <c r="C10" s="10">
        <v>6</v>
      </c>
      <c r="D10" s="117" t="s">
        <v>56</v>
      </c>
      <c r="E10" s="10">
        <v>4</v>
      </c>
      <c r="F10" s="10">
        <v>9</v>
      </c>
      <c r="G10" s="118" t="s">
        <v>55</v>
      </c>
      <c r="H10" s="10">
        <f t="shared" si="0"/>
        <v>22</v>
      </c>
      <c r="I10" s="161" t="s">
        <v>176</v>
      </c>
    </row>
    <row r="11" spans="1:14" ht="63" x14ac:dyDescent="0.25">
      <c r="A11" s="136" t="s">
        <v>282</v>
      </c>
      <c r="B11" s="10">
        <v>3</v>
      </c>
      <c r="C11" s="10">
        <v>6</v>
      </c>
      <c r="D11" s="117" t="s">
        <v>162</v>
      </c>
      <c r="E11" s="10">
        <v>4</v>
      </c>
      <c r="F11" s="10">
        <v>9</v>
      </c>
      <c r="G11" s="118" t="s">
        <v>46</v>
      </c>
      <c r="H11" s="10">
        <f t="shared" si="0"/>
        <v>22</v>
      </c>
      <c r="I11" s="161" t="s">
        <v>176</v>
      </c>
      <c r="K11" s="1"/>
    </row>
    <row r="12" spans="1:14" ht="21.6" customHeight="1" x14ac:dyDescent="0.25">
      <c r="A12" s="136" t="s">
        <v>67</v>
      </c>
      <c r="B12" s="10">
        <v>1</v>
      </c>
      <c r="C12" s="10">
        <v>6</v>
      </c>
      <c r="D12" s="117" t="s">
        <v>47</v>
      </c>
      <c r="E12" s="10">
        <v>4</v>
      </c>
      <c r="F12" s="10">
        <v>10</v>
      </c>
      <c r="G12" s="118" t="s">
        <v>58</v>
      </c>
      <c r="H12" s="10">
        <f t="shared" si="0"/>
        <v>21</v>
      </c>
      <c r="I12" s="161" t="s">
        <v>176</v>
      </c>
    </row>
    <row r="13" spans="1:14" ht="22.15" customHeight="1" x14ac:dyDescent="0.25">
      <c r="A13" s="137" t="s">
        <v>271</v>
      </c>
      <c r="B13" s="10">
        <v>3</v>
      </c>
      <c r="C13" s="10">
        <v>3</v>
      </c>
      <c r="D13" s="117"/>
      <c r="E13" s="10">
        <v>4</v>
      </c>
      <c r="F13" s="10">
        <v>9</v>
      </c>
      <c r="G13" s="118"/>
      <c r="H13" s="10">
        <f>SUM(B13:F13)</f>
        <v>19</v>
      </c>
      <c r="I13" s="138" t="s">
        <v>177</v>
      </c>
      <c r="K13" s="1"/>
    </row>
    <row r="14" spans="1:14" ht="47.25" x14ac:dyDescent="0.25">
      <c r="A14" s="137" t="s">
        <v>260</v>
      </c>
      <c r="B14" s="10">
        <v>3</v>
      </c>
      <c r="C14" s="10">
        <v>6</v>
      </c>
      <c r="D14" s="117" t="s">
        <v>50</v>
      </c>
      <c r="E14" s="10">
        <v>4</v>
      </c>
      <c r="F14" s="10">
        <v>3</v>
      </c>
      <c r="G14" s="118"/>
      <c r="H14" s="10">
        <f t="shared" si="0"/>
        <v>16</v>
      </c>
      <c r="I14" s="138" t="s">
        <v>177</v>
      </c>
    </row>
    <row r="15" spans="1:14" ht="85.9" customHeight="1" x14ac:dyDescent="0.25">
      <c r="A15" s="139" t="s">
        <v>258</v>
      </c>
      <c r="B15" s="10">
        <v>3</v>
      </c>
      <c r="C15" s="10">
        <v>6</v>
      </c>
      <c r="D15" s="117" t="s">
        <v>49</v>
      </c>
      <c r="E15" s="10">
        <v>4</v>
      </c>
      <c r="F15" s="10">
        <v>3</v>
      </c>
      <c r="G15" s="118" t="s">
        <v>57</v>
      </c>
      <c r="H15" s="10">
        <f t="shared" si="0"/>
        <v>16</v>
      </c>
      <c r="I15" s="138" t="s">
        <v>177</v>
      </c>
    </row>
    <row r="16" spans="1:14" ht="47.25" x14ac:dyDescent="0.25">
      <c r="A16" s="137" t="s">
        <v>283</v>
      </c>
      <c r="B16" s="10">
        <v>3</v>
      </c>
      <c r="C16" s="10">
        <v>6</v>
      </c>
      <c r="D16" s="117" t="s">
        <v>52</v>
      </c>
      <c r="E16" s="10">
        <v>4</v>
      </c>
      <c r="F16" s="10">
        <v>3</v>
      </c>
      <c r="G16" s="118"/>
      <c r="H16" s="10">
        <f t="shared" si="0"/>
        <v>16</v>
      </c>
      <c r="I16" s="138" t="s">
        <v>177</v>
      </c>
    </row>
    <row r="17" spans="1:9" ht="31.5" x14ac:dyDescent="0.25">
      <c r="A17" s="139" t="s">
        <v>289</v>
      </c>
      <c r="B17" s="10">
        <v>3</v>
      </c>
      <c r="C17" s="10">
        <v>6</v>
      </c>
      <c r="D17" s="117" t="s">
        <v>51</v>
      </c>
      <c r="E17" s="10">
        <v>1</v>
      </c>
      <c r="F17" s="10">
        <v>3</v>
      </c>
      <c r="G17" s="118" t="s">
        <v>66</v>
      </c>
      <c r="H17" s="10">
        <v>13</v>
      </c>
      <c r="I17" s="138" t="s">
        <v>177</v>
      </c>
    </row>
    <row r="18" spans="1:9" ht="15.75" x14ac:dyDescent="0.25">
      <c r="A18" s="140" t="s">
        <v>168</v>
      </c>
      <c r="B18" s="10">
        <v>3</v>
      </c>
      <c r="C18" s="10">
        <v>6</v>
      </c>
      <c r="D18" s="117" t="s">
        <v>65</v>
      </c>
      <c r="E18" s="10">
        <v>1</v>
      </c>
      <c r="F18" s="10">
        <v>3</v>
      </c>
      <c r="G18" s="118" t="s">
        <v>169</v>
      </c>
      <c r="H18" s="10">
        <f t="shared" si="0"/>
        <v>13</v>
      </c>
      <c r="I18" s="138" t="s">
        <v>177</v>
      </c>
    </row>
    <row r="19" spans="1:9" ht="78.75" x14ac:dyDescent="0.25">
      <c r="A19" s="137" t="s">
        <v>12</v>
      </c>
      <c r="B19" s="10">
        <v>3</v>
      </c>
      <c r="C19" s="10">
        <v>6</v>
      </c>
      <c r="D19" s="117" t="s">
        <v>286</v>
      </c>
      <c r="E19" s="10">
        <v>1</v>
      </c>
      <c r="F19" s="10">
        <v>3</v>
      </c>
      <c r="G19" s="118"/>
      <c r="H19" s="10">
        <f>SUM(B19:F19)</f>
        <v>13</v>
      </c>
      <c r="I19" s="138" t="s">
        <v>177</v>
      </c>
    </row>
    <row r="20" spans="1:9" ht="39.75" customHeight="1" x14ac:dyDescent="0.25">
      <c r="A20" s="137" t="s">
        <v>13</v>
      </c>
      <c r="B20" s="10">
        <v>3</v>
      </c>
      <c r="C20" s="10">
        <v>6</v>
      </c>
      <c r="D20" s="117" t="s">
        <v>175</v>
      </c>
      <c r="E20" s="10">
        <v>1</v>
      </c>
      <c r="F20" s="10">
        <v>3</v>
      </c>
      <c r="G20" s="118"/>
      <c r="H20" s="10">
        <f t="shared" si="0"/>
        <v>13</v>
      </c>
      <c r="I20" s="138" t="s">
        <v>177</v>
      </c>
    </row>
    <row r="21" spans="1:9" ht="24" customHeight="1" x14ac:dyDescent="0.25">
      <c r="A21" s="143" t="s">
        <v>265</v>
      </c>
      <c r="B21" s="10">
        <v>3</v>
      </c>
      <c r="C21" s="10">
        <v>3</v>
      </c>
      <c r="D21" s="117"/>
      <c r="E21" s="10">
        <v>1</v>
      </c>
      <c r="F21" s="10">
        <v>3</v>
      </c>
      <c r="G21" s="118"/>
      <c r="H21" s="10">
        <f t="shared" si="0"/>
        <v>10</v>
      </c>
      <c r="I21" s="142" t="s">
        <v>178</v>
      </c>
    </row>
    <row r="22" spans="1:9" ht="15.75" x14ac:dyDescent="0.25">
      <c r="A22" s="141" t="s">
        <v>269</v>
      </c>
      <c r="B22" s="130">
        <v>3</v>
      </c>
      <c r="C22" s="130">
        <v>3</v>
      </c>
      <c r="D22" s="119" t="s">
        <v>259</v>
      </c>
      <c r="E22" s="130">
        <v>1</v>
      </c>
      <c r="F22" s="130">
        <v>3</v>
      </c>
      <c r="G22" s="120"/>
      <c r="H22" s="130">
        <v>10</v>
      </c>
      <c r="I22" s="142" t="s">
        <v>178</v>
      </c>
    </row>
    <row r="23" spans="1:9" ht="15.75" x14ac:dyDescent="0.25">
      <c r="A23" s="143" t="s">
        <v>296</v>
      </c>
      <c r="B23" s="10">
        <v>3</v>
      </c>
      <c r="C23" s="10">
        <v>3</v>
      </c>
      <c r="D23" s="117"/>
      <c r="E23" s="10">
        <v>1</v>
      </c>
      <c r="F23" s="10">
        <v>3</v>
      </c>
      <c r="G23" s="118"/>
      <c r="H23" s="10">
        <v>10</v>
      </c>
      <c r="I23" s="142" t="s">
        <v>178</v>
      </c>
    </row>
    <row r="24" spans="1:9" ht="15.75" x14ac:dyDescent="0.25">
      <c r="A24" s="143" t="s">
        <v>264</v>
      </c>
      <c r="B24" s="10">
        <v>3</v>
      </c>
      <c r="C24" s="130">
        <v>3</v>
      </c>
      <c r="D24" s="119" t="s">
        <v>60</v>
      </c>
      <c r="E24" s="130">
        <v>1</v>
      </c>
      <c r="F24" s="130">
        <v>3</v>
      </c>
      <c r="G24" s="120"/>
      <c r="H24" s="130">
        <f t="shared" ref="H24:H33" si="1">SUM(B24:F24)</f>
        <v>10</v>
      </c>
      <c r="I24" s="142" t="s">
        <v>178</v>
      </c>
    </row>
    <row r="25" spans="1:9" ht="19.149999999999999" customHeight="1" x14ac:dyDescent="0.25">
      <c r="A25" s="143" t="s">
        <v>284</v>
      </c>
      <c r="B25" s="10">
        <v>3</v>
      </c>
      <c r="C25" s="130">
        <v>3</v>
      </c>
      <c r="D25" s="119" t="s">
        <v>60</v>
      </c>
      <c r="E25" s="130">
        <v>1</v>
      </c>
      <c r="F25" s="130">
        <v>3</v>
      </c>
      <c r="G25" s="120"/>
      <c r="H25" s="130">
        <f t="shared" si="1"/>
        <v>10</v>
      </c>
      <c r="I25" s="142" t="s">
        <v>178</v>
      </c>
    </row>
    <row r="26" spans="1:9" ht="31.5" x14ac:dyDescent="0.25">
      <c r="A26" s="143" t="s">
        <v>268</v>
      </c>
      <c r="B26" s="10">
        <v>3</v>
      </c>
      <c r="C26" s="130">
        <v>3</v>
      </c>
      <c r="D26" s="119"/>
      <c r="E26" s="130">
        <v>1</v>
      </c>
      <c r="F26" s="130">
        <v>3</v>
      </c>
      <c r="G26" s="120" t="s">
        <v>64</v>
      </c>
      <c r="H26" s="130">
        <f t="shared" si="1"/>
        <v>10</v>
      </c>
      <c r="I26" s="142" t="s">
        <v>178</v>
      </c>
    </row>
    <row r="27" spans="1:9" ht="15.75" x14ac:dyDescent="0.25">
      <c r="A27" s="141" t="s">
        <v>163</v>
      </c>
      <c r="B27" s="10">
        <v>3</v>
      </c>
      <c r="C27" s="130">
        <v>3</v>
      </c>
      <c r="D27" s="119"/>
      <c r="E27" s="130">
        <v>1</v>
      </c>
      <c r="F27" s="130">
        <v>3</v>
      </c>
      <c r="G27" s="120"/>
      <c r="H27" s="130">
        <f t="shared" si="1"/>
        <v>10</v>
      </c>
      <c r="I27" s="142" t="s">
        <v>178</v>
      </c>
    </row>
    <row r="28" spans="1:9" ht="15.75" x14ac:dyDescent="0.25">
      <c r="A28" s="141" t="s">
        <v>164</v>
      </c>
      <c r="B28" s="10">
        <v>3</v>
      </c>
      <c r="C28" s="130">
        <v>3</v>
      </c>
      <c r="D28" s="119" t="s">
        <v>60</v>
      </c>
      <c r="E28" s="130">
        <v>1</v>
      </c>
      <c r="F28" s="130">
        <v>3</v>
      </c>
      <c r="G28" s="120"/>
      <c r="H28" s="130">
        <f>SUM(B28:F28)</f>
        <v>10</v>
      </c>
      <c r="I28" s="142" t="s">
        <v>178</v>
      </c>
    </row>
    <row r="29" spans="1:9" s="115" customFormat="1" ht="15.75" x14ac:dyDescent="0.25">
      <c r="A29" s="143" t="s">
        <v>23</v>
      </c>
      <c r="B29" s="131">
        <v>3</v>
      </c>
      <c r="C29" s="130">
        <v>2</v>
      </c>
      <c r="D29" s="116"/>
      <c r="E29" s="130">
        <v>1</v>
      </c>
      <c r="F29" s="130">
        <v>3</v>
      </c>
      <c r="G29" s="121"/>
      <c r="H29" s="130">
        <f t="shared" ref="H29" si="2">SUM(B29:F29)</f>
        <v>9</v>
      </c>
      <c r="I29" s="142" t="s">
        <v>178</v>
      </c>
    </row>
    <row r="30" spans="1:9" ht="15.75" x14ac:dyDescent="0.25">
      <c r="A30" s="143" t="s">
        <v>1</v>
      </c>
      <c r="B30" s="10">
        <v>1</v>
      </c>
      <c r="C30" s="10">
        <v>3</v>
      </c>
      <c r="D30" s="117" t="s">
        <v>285</v>
      </c>
      <c r="E30" s="10">
        <v>1</v>
      </c>
      <c r="F30" s="10">
        <v>3</v>
      </c>
      <c r="G30" s="118"/>
      <c r="H30" s="10">
        <f t="shared" si="1"/>
        <v>8</v>
      </c>
      <c r="I30" s="142" t="s">
        <v>178</v>
      </c>
    </row>
    <row r="31" spans="1:9" ht="15.75" x14ac:dyDescent="0.25">
      <c r="A31" s="144" t="s">
        <v>8</v>
      </c>
      <c r="B31" s="10">
        <v>1</v>
      </c>
      <c r="C31" s="10">
        <v>2</v>
      </c>
      <c r="D31" s="117"/>
      <c r="E31" s="10">
        <v>0</v>
      </c>
      <c r="F31" s="10">
        <v>3</v>
      </c>
      <c r="G31" s="118"/>
      <c r="H31" s="10">
        <f t="shared" si="1"/>
        <v>6</v>
      </c>
      <c r="I31" s="145" t="s">
        <v>179</v>
      </c>
    </row>
    <row r="32" spans="1:9" ht="15.75" x14ac:dyDescent="0.25">
      <c r="A32" s="144" t="s">
        <v>18</v>
      </c>
      <c r="B32" s="10">
        <v>1</v>
      </c>
      <c r="C32" s="10">
        <v>1</v>
      </c>
      <c r="D32" s="117"/>
      <c r="E32" s="10">
        <v>0</v>
      </c>
      <c r="F32" s="10">
        <v>3</v>
      </c>
      <c r="G32" s="118"/>
      <c r="H32" s="10">
        <f t="shared" si="1"/>
        <v>5</v>
      </c>
      <c r="I32" s="145" t="s">
        <v>179</v>
      </c>
    </row>
    <row r="33" spans="1:9" ht="16.5" thickBot="1" x14ac:dyDescent="0.3">
      <c r="A33" s="146" t="s">
        <v>19</v>
      </c>
      <c r="B33" s="147">
        <v>1</v>
      </c>
      <c r="C33" s="147">
        <v>1</v>
      </c>
      <c r="D33" s="148"/>
      <c r="E33" s="147">
        <v>0</v>
      </c>
      <c r="F33" s="147">
        <v>3</v>
      </c>
      <c r="G33" s="149"/>
      <c r="H33" s="147">
        <f t="shared" si="1"/>
        <v>5</v>
      </c>
      <c r="I33" s="150" t="s">
        <v>179</v>
      </c>
    </row>
    <row r="34" spans="1:9" ht="19.5" thickTop="1" x14ac:dyDescent="0.25"/>
    <row r="35" spans="1:9" s="71" customFormat="1" ht="174.6" customHeight="1" x14ac:dyDescent="0.25">
      <c r="A35" s="242" t="s">
        <v>141</v>
      </c>
      <c r="B35" s="243"/>
      <c r="C35" s="243"/>
      <c r="D35" s="243"/>
      <c r="E35" s="243"/>
      <c r="F35" s="243"/>
      <c r="G35" s="243"/>
      <c r="H35" s="243"/>
      <c r="I35" s="72"/>
    </row>
    <row r="37" spans="1:9" ht="19.5" thickBot="1" x14ac:dyDescent="0.3"/>
    <row r="38" spans="1:9" ht="19.5" thickTop="1" x14ac:dyDescent="0.25">
      <c r="A38" s="122" t="s">
        <v>171</v>
      </c>
    </row>
    <row r="39" spans="1:9" x14ac:dyDescent="0.25">
      <c r="A39" s="123" t="s">
        <v>176</v>
      </c>
    </row>
    <row r="40" spans="1:9" x14ac:dyDescent="0.25">
      <c r="A40" s="124" t="s">
        <v>177</v>
      </c>
    </row>
    <row r="41" spans="1:9" x14ac:dyDescent="0.25">
      <c r="A41" s="125" t="s">
        <v>178</v>
      </c>
    </row>
    <row r="42" spans="1:9" ht="19.5" thickBot="1" x14ac:dyDescent="0.3">
      <c r="A42" s="126" t="s">
        <v>170</v>
      </c>
    </row>
    <row r="43" spans="1:9" ht="19.5" thickTop="1" x14ac:dyDescent="0.25"/>
  </sheetData>
  <sheetProtection algorithmName="SHA-512" hashValue="KV7OTuAOMBIpxnngF0BNqeVkK7KyFDYQ1jF6wRIDaiKTgIN5ZYAT/M3IW5ZkIXv1Afucj0EURuODy1oPlRK/nw==" saltValue="lKhn3WTcAZ2REJoc1fOqNQ==" spinCount="100000" sheet="1" objects="1" scenarios="1"/>
  <mergeCells count="8">
    <mergeCell ref="A35:H35"/>
    <mergeCell ref="H1:I1"/>
    <mergeCell ref="A1:G1"/>
    <mergeCell ref="A2:B2"/>
    <mergeCell ref="C2:E2"/>
    <mergeCell ref="F2:I2"/>
    <mergeCell ref="A3:A4"/>
    <mergeCell ref="B3:G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BC68"/>
  <sheetViews>
    <sheetView topLeftCell="A5" zoomScale="70" zoomScaleNormal="70" workbookViewId="0">
      <selection activeCell="T30" sqref="T30:T33"/>
    </sheetView>
  </sheetViews>
  <sheetFormatPr defaultRowHeight="15.75" x14ac:dyDescent="0.25"/>
  <cols>
    <col min="1" max="1" width="10.25" customWidth="1"/>
    <col min="2" max="2" width="13.625" customWidth="1"/>
    <col min="3" max="3" width="5.875" customWidth="1"/>
    <col min="4" max="4" width="3.75" customWidth="1"/>
    <col min="7" max="7" width="9.75" customWidth="1"/>
    <col min="11" max="11" width="10.875" customWidth="1"/>
  </cols>
  <sheetData>
    <row r="1" spans="1:55" ht="30.6" customHeight="1" x14ac:dyDescent="0.25">
      <c r="A1" s="232"/>
      <c r="B1" s="261" t="s">
        <v>246</v>
      </c>
      <c r="C1" s="262"/>
      <c r="D1" s="262"/>
      <c r="E1" s="262"/>
      <c r="F1" s="262"/>
      <c r="G1" s="262"/>
      <c r="H1" s="262"/>
      <c r="I1" s="262"/>
      <c r="J1" s="262"/>
      <c r="K1" s="262"/>
      <c r="L1" s="262"/>
      <c r="M1" s="262"/>
      <c r="N1" s="262"/>
      <c r="O1" s="262"/>
      <c r="P1" s="233"/>
      <c r="Q1" s="233"/>
      <c r="R1" s="233"/>
      <c r="S1" s="233"/>
      <c r="T1" s="233"/>
      <c r="U1" s="233"/>
      <c r="V1" s="233"/>
      <c r="W1" s="233"/>
      <c r="X1" s="233"/>
      <c r="Y1" s="233"/>
      <c r="Z1" s="233"/>
      <c r="AA1" s="233"/>
      <c r="AB1" s="233"/>
      <c r="AC1" s="233"/>
      <c r="AD1" s="233"/>
      <c r="AE1" s="233"/>
      <c r="AF1" s="233"/>
      <c r="AG1" s="233"/>
      <c r="AH1" s="233"/>
      <c r="AI1" s="233"/>
      <c r="AJ1" s="233"/>
      <c r="AK1" s="233"/>
      <c r="AL1" s="233"/>
      <c r="AM1" s="233"/>
      <c r="AN1" s="233"/>
      <c r="AO1" s="233"/>
      <c r="AP1" s="233"/>
      <c r="AQ1" s="233"/>
      <c r="AR1" s="233"/>
      <c r="AS1" s="233"/>
      <c r="AT1" s="233"/>
      <c r="AU1" s="233"/>
      <c r="AV1" s="233"/>
      <c r="AW1" s="233"/>
      <c r="AX1" s="233"/>
      <c r="AY1" s="233"/>
      <c r="AZ1" s="233"/>
      <c r="BA1" s="233"/>
      <c r="BB1" s="233"/>
      <c r="BC1" s="233"/>
    </row>
    <row r="2" spans="1:55" x14ac:dyDescent="0.25">
      <c r="A2" s="232"/>
      <c r="B2" s="105"/>
      <c r="C2" s="106"/>
      <c r="D2" s="106"/>
      <c r="E2" s="106"/>
      <c r="F2" s="106"/>
      <c r="G2" s="106"/>
      <c r="H2" s="106"/>
      <c r="I2" s="106"/>
      <c r="J2" s="106"/>
      <c r="K2" s="106"/>
      <c r="L2" s="106"/>
      <c r="M2" s="106"/>
      <c r="N2" s="106"/>
      <c r="O2" s="107"/>
      <c r="P2" s="234"/>
      <c r="Q2" s="233" t="s">
        <v>166</v>
      </c>
      <c r="R2" s="233"/>
      <c r="S2" s="233"/>
      <c r="T2" s="233"/>
      <c r="U2" s="233"/>
      <c r="V2" s="233"/>
      <c r="W2" s="233"/>
      <c r="X2" s="233"/>
      <c r="Y2" s="233"/>
      <c r="Z2" s="233"/>
      <c r="AA2" s="233"/>
      <c r="AB2" s="233"/>
      <c r="AC2" s="233"/>
      <c r="AD2" s="233"/>
      <c r="AE2" s="233"/>
      <c r="AF2" s="233"/>
      <c r="AG2" s="233"/>
      <c r="AH2" s="233"/>
      <c r="AI2" s="233"/>
      <c r="AJ2" s="233"/>
      <c r="AK2" s="233"/>
      <c r="AL2" s="233"/>
      <c r="AM2" s="233"/>
      <c r="AN2" s="233"/>
      <c r="AO2" s="233"/>
      <c r="AP2" s="233"/>
      <c r="AQ2" s="233"/>
      <c r="AR2" s="233"/>
      <c r="AS2" s="233"/>
      <c r="AT2" s="233"/>
      <c r="AU2" s="233"/>
      <c r="AV2" s="233"/>
      <c r="AW2" s="233"/>
      <c r="AX2" s="233"/>
      <c r="AY2" s="233"/>
      <c r="AZ2" s="233"/>
      <c r="BA2" s="233"/>
      <c r="BB2" s="233"/>
      <c r="BC2" s="233"/>
    </row>
    <row r="3" spans="1:55" x14ac:dyDescent="0.25">
      <c r="A3" s="232"/>
      <c r="B3" s="108"/>
      <c r="C3" s="60"/>
      <c r="D3" s="60"/>
      <c r="E3" s="60"/>
      <c r="F3" s="60"/>
      <c r="G3" s="60"/>
      <c r="H3" s="60"/>
      <c r="I3" s="60"/>
      <c r="J3" s="60"/>
      <c r="K3" s="60"/>
      <c r="L3" s="60"/>
      <c r="M3" s="60"/>
      <c r="N3" s="60"/>
      <c r="O3" s="109"/>
      <c r="P3" s="234"/>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c r="AP3" s="233"/>
      <c r="AQ3" s="233"/>
      <c r="AR3" s="233"/>
      <c r="AS3" s="233"/>
      <c r="AT3" s="233"/>
      <c r="AU3" s="233"/>
      <c r="AV3" s="233"/>
      <c r="AW3" s="233"/>
      <c r="AX3" s="233"/>
      <c r="AY3" s="233"/>
      <c r="AZ3" s="233"/>
      <c r="BA3" s="233"/>
      <c r="BB3" s="233"/>
      <c r="BC3" s="233"/>
    </row>
    <row r="4" spans="1:55" ht="28.15" customHeight="1" x14ac:dyDescent="0.25">
      <c r="A4" s="232"/>
      <c r="B4" s="108"/>
      <c r="C4" s="171">
        <v>10</v>
      </c>
      <c r="D4" s="258" t="s">
        <v>241</v>
      </c>
      <c r="E4" s="171" t="str">
        <f>IF(AND('Market Type Risk'!K$12="Lowest Risk", 'Traded Taxa Risk'!G$31&gt;=10), "VHR","")</f>
        <v/>
      </c>
      <c r="F4" s="171" t="str">
        <f>IF(AND('Market Type Risk'!K$6="Low Risk", 'Traded Taxa Risk'!G$31&gt;=10), "VHR","")</f>
        <v/>
      </c>
      <c r="G4" s="171" t="str">
        <f>IF(AND('Market Type Risk'!K$9="Low Risk",  'Traded Taxa Risk'!G$31&gt;=10), "VHR","")</f>
        <v/>
      </c>
      <c r="H4" s="171" t="str">
        <f>IF(AND('Market Type Risk'!K$5="Medium Risk", 'Traded Taxa Risk'!G$31&gt;=10), "VHR","")</f>
        <v/>
      </c>
      <c r="I4" s="171" t="str">
        <f>IF(AND('Market Type Risk'!K$7= "Medium Risk", 'Traded Taxa Risk'!G$31&gt;=10), "VHR","")</f>
        <v/>
      </c>
      <c r="J4" s="171" t="str">
        <f>IF(AND('Market Type Risk'!K$11="Medium Risk", 'Traded Taxa Risk'!G$31&gt;=10), "VHR","")</f>
        <v/>
      </c>
      <c r="K4" s="171" t="str">
        <f>IF(AND('Market Type Risk'!K$8="Medium Risk", 'Traded Taxa Risk'!G$31&gt;=10), "VHR","")</f>
        <v/>
      </c>
      <c r="L4" s="171" t="str">
        <f>IF(AND('Market Type Risk'!K$10="High Risk", 'Traded Taxa Risk'!G$31&gt;=10), "VHR","")</f>
        <v/>
      </c>
      <c r="M4" s="171" t="str">
        <f>IF(AND('Market Type Risk'!K$4="High Risk", 'Traded Taxa Risk'!G$31&gt;=10), "VHR","")</f>
        <v/>
      </c>
      <c r="N4" s="171" t="str">
        <f>IF(AND('Market Type Risk'!K$3 ="Very High", 'Traded Taxa Risk'!G$31&gt;=10), "VHR","")</f>
        <v/>
      </c>
      <c r="O4" s="109"/>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c r="AP4" s="233"/>
      <c r="AQ4" s="233"/>
      <c r="AR4" s="233"/>
      <c r="AS4" s="233"/>
      <c r="AT4" s="233"/>
      <c r="AU4" s="233"/>
      <c r="AV4" s="233"/>
      <c r="AW4" s="233"/>
      <c r="AX4" s="233"/>
      <c r="AY4" s="233"/>
      <c r="AZ4" s="233"/>
      <c r="BA4" s="233"/>
      <c r="BB4" s="233"/>
      <c r="BC4" s="233"/>
    </row>
    <row r="5" spans="1:55" ht="30.6" customHeight="1" x14ac:dyDescent="0.25">
      <c r="A5" s="232"/>
      <c r="B5" s="108"/>
      <c r="C5" s="171">
        <v>9</v>
      </c>
      <c r="D5" s="258"/>
      <c r="E5" s="55" t="str">
        <f>IF(AND('Market Type Risk'!K$12="Lowest Risk", AND('Traded Taxa Risk'!G$31&lt; 10,'Traded Taxa Risk'!G$31&gt;=9)), "HR","")</f>
        <v/>
      </c>
      <c r="F5" s="55" t="str">
        <f>IF(AND('Market Type Risk'!K$6="Low Risk", AND('Traded Taxa Risk'!G$31&lt; 10,'Traded Taxa Risk'!G$31&gt;=9)), "HR","")</f>
        <v/>
      </c>
      <c r="G5" s="55" t="str">
        <f>IF(AND('Market Type Risk'!K$9="Low Risk", AND('Traded Taxa Risk'!G$31&lt; 10,'Traded Taxa Risk'!G$31&gt;=9)), "HR","")</f>
        <v/>
      </c>
      <c r="H5" s="55" t="str">
        <f>IF(AND('Market Type Risk'!K$5="Medium Risk", AND('Traded Taxa Risk'!G$31&lt; 10,'Traded Taxa Risk'!G$31&gt;=9)), "HR","")</f>
        <v/>
      </c>
      <c r="I5" s="55" t="str">
        <f>IF(AND('Market Type Risk'!K$7="Medium Risk", AND('Traded Taxa Risk'!G$31&lt; 10,'Traded Taxa Risk'!G$31&gt;=9)), "HR","")</f>
        <v/>
      </c>
      <c r="J5" s="55" t="str">
        <f>IF(AND('Market Type Risk'!K$11="Medium Risk", AND('Traded Taxa Risk'!G$31&lt; 10,'Traded Taxa Risk'!G$31&gt;=9)), "HR","")</f>
        <v/>
      </c>
      <c r="K5" s="55" t="str">
        <f>IF(AND('Market Type Risk'!K$8="Medium Risk", AND('Traded Taxa Risk'!G$31&lt; 10,'Traded Taxa Risk'!G$31&gt;=9)), "HR","")</f>
        <v/>
      </c>
      <c r="L5" s="171" t="str">
        <f>IF(AND('Market Type Risk'!K$10="High Risk", AND('Traded Taxa Risk'!G$31&lt; 10,'Traded Taxa Risk'!G$31&gt;=9)), "VHR","")</f>
        <v/>
      </c>
      <c r="M5" s="171" t="str">
        <f>IF(AND('Market Type Risk'!K$4="High Risk", AND('Traded Taxa Risk'!G$31&lt; 10,'Traded Taxa Risk'!G$31&gt;=9)), "VHR","")</f>
        <v/>
      </c>
      <c r="N5" s="171" t="str">
        <f>IF(AND('Market Type Risk'!K$3="Very High", AND('Traded Taxa Risk'!G$31&lt; 10,'Traded Taxa Risk'!G$31&gt;=9)), "VHR","")</f>
        <v/>
      </c>
      <c r="O5" s="109"/>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c r="AP5" s="233"/>
      <c r="AQ5" s="233"/>
      <c r="AR5" s="233"/>
      <c r="AS5" s="233"/>
      <c r="AT5" s="233"/>
      <c r="AU5" s="233"/>
      <c r="AV5" s="233"/>
      <c r="AW5" s="233"/>
      <c r="AX5" s="233"/>
      <c r="AY5" s="233"/>
      <c r="AZ5" s="233"/>
      <c r="BA5" s="233"/>
      <c r="BB5" s="233"/>
      <c r="BC5" s="233"/>
    </row>
    <row r="6" spans="1:55" ht="32.450000000000003" customHeight="1" x14ac:dyDescent="0.25">
      <c r="A6" s="232"/>
      <c r="B6" s="108"/>
      <c r="C6" s="55">
        <v>8</v>
      </c>
      <c r="D6" s="258"/>
      <c r="E6" s="56" t="str">
        <f>IF(AND('Market Type Risk'!K$12="Lowest Risk", AND('Traded Taxa Risk'!G$31&lt; 9,'Traded Taxa Risk'!G$31&gt;=8)), "MR","")</f>
        <v/>
      </c>
      <c r="F6" s="56" t="str">
        <f>IF(AND('Market Type Risk'!K$6="Low Risk", AND('Traded Taxa Risk'!G$31&lt; 9,'Traded Taxa Risk'!G$31&gt;=8)), "MR","")</f>
        <v/>
      </c>
      <c r="G6" s="56" t="str">
        <f>IF(AND('Market Type Risk'!K$9="Low Risk", AND('Traded Taxa Risk'!G$31&lt; 9,'Traded Taxa Risk'!G$31&gt;=8)), "MR","")</f>
        <v/>
      </c>
      <c r="H6" s="56" t="str">
        <f>IF(AND('Market Type Risk'!K$5="Medium Risk", AND('Traded Taxa Risk'!G$31&lt; 9,'Traded Taxa Risk'!G$31&gt;=8)), "MR","")</f>
        <v/>
      </c>
      <c r="I6" s="55" t="str">
        <f>IF(AND('Market Type Risk'!K$7="Medium Risk", AND('Traded Taxa Risk'!G$31&lt; 9,'Traded Taxa Risk'!G$31&gt;=8)), "HR","")</f>
        <v/>
      </c>
      <c r="J6" s="55" t="str">
        <f>IF(AND('Market Type Risk'!K$11="Medium Risk", AND('Traded Taxa Risk'!G$31&lt; 9,'Traded Taxa Risk'!G$31&gt;=8)), "HR","")</f>
        <v/>
      </c>
      <c r="K6" s="55" t="str">
        <f>IF(AND('Market Type Risk'!K$8="Medium Risk", AND('Traded Taxa Risk'!G$31&lt; 9,'Traded Taxa Risk'!G$31&gt;=8)), "HR","")</f>
        <v/>
      </c>
      <c r="L6" s="55" t="str">
        <f>IF(AND('Market Type Risk'!K$10="High Risk", AND('Traded Taxa Risk'!G$31&lt; 9,'Traded Taxa Risk'!G$31&gt;=8)), "HR","")</f>
        <v/>
      </c>
      <c r="M6" s="55" t="str">
        <f>IF(AND('Market Type Risk'!K$4="High Risk", AND('Traded Taxa Risk'!G$31&lt; 9,'Traded Taxa Risk'!G$31&gt;=8)), "HR","")</f>
        <v/>
      </c>
      <c r="N6" s="171" t="str">
        <f>IF(AND('Market Type Risk'!K$3 ="Very High", AND('Traded Taxa Risk'!G$31&lt; 9,'Traded Taxa Risk'!G$31&gt;=8)), "VHR","")</f>
        <v/>
      </c>
      <c r="O6" s="109"/>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233"/>
      <c r="AP6" s="233"/>
      <c r="AQ6" s="233"/>
      <c r="AR6" s="233"/>
      <c r="AS6" s="233"/>
      <c r="AT6" s="233"/>
      <c r="AU6" s="233"/>
      <c r="AV6" s="233"/>
      <c r="AW6" s="233"/>
      <c r="AX6" s="233"/>
      <c r="AY6" s="233"/>
      <c r="AZ6" s="233"/>
      <c r="BA6" s="233"/>
      <c r="BB6" s="233"/>
      <c r="BC6" s="233"/>
    </row>
    <row r="7" spans="1:55" ht="29.45" customHeight="1" x14ac:dyDescent="0.25">
      <c r="A7" s="232"/>
      <c r="B7" s="108"/>
      <c r="C7" s="55">
        <v>7</v>
      </c>
      <c r="D7" s="258"/>
      <c r="E7" s="56" t="str">
        <f>IF(AND('Market Type Risk'!K$12="Lowest Risk", AND('Traded Taxa Risk'!G$31&lt; 8,'Traded Taxa Risk'!G$31&gt;=7)), "MR","")</f>
        <v/>
      </c>
      <c r="F7" s="56" t="str">
        <f>IF(AND('Market Type Risk'!K$6="Low Risk", AND('Traded Taxa Risk'!G$31&lt; 8,'Traded Taxa Risk'!G$31&gt;=7)), "MR","")</f>
        <v/>
      </c>
      <c r="G7" s="56" t="str">
        <f>IF(AND('Market Type Risk'!K$9="Low Risk",  AND('Traded Taxa Risk'!G$31&lt; 8,'Traded Taxa Risk'!G$31&gt;=7)), "MR","")</f>
        <v/>
      </c>
      <c r="H7" s="56" t="str">
        <f>IF(AND('Market Type Risk'!K$5="Medium Risk", AND('Traded Taxa Risk'!G$31&lt; 8,'Traded Taxa Risk'!G$31&gt;=7)), "MR","")</f>
        <v/>
      </c>
      <c r="I7" s="56" t="str">
        <f>IF(AND('Market Type Risk'!K$7="Medium Risk", AND('Traded Taxa Risk'!G$31&lt; 8,'Traded Taxa Risk'!G$31&gt;=7)), "MR","")</f>
        <v/>
      </c>
      <c r="J7" s="56" t="str">
        <f>IF(AND('Market Type Risk'!K$11="Medium Risk", AND('Traded Taxa Risk'!G$31&lt; 8,'Traded Taxa Risk'!G$31&gt;=7)), "MR","")</f>
        <v/>
      </c>
      <c r="K7" s="55" t="str">
        <f>IF(AND('Market Type Risk'!K$8="Medium Risk", AND('Traded Taxa Risk'!G$31&lt; 8,'Traded Taxa Risk'!G$31&gt;=7)), "HR","")</f>
        <v/>
      </c>
      <c r="L7" s="55" t="str">
        <f>IF(AND('Market Type Risk'!K$10="High Risk", AND('Traded Taxa Risk'!G$31&lt; 8,'Traded Taxa Risk'!G$31&gt;=7)), "HR","")</f>
        <v/>
      </c>
      <c r="M7" s="55" t="str">
        <f>IF(AND('Market Type Risk'!K$4="High Risk", AND('Traded Taxa Risk'!G$31&lt; 8,'Traded Taxa Risk'!G$31&gt;=7)), "HR","")</f>
        <v/>
      </c>
      <c r="N7" s="171" t="str">
        <f>IF(AND('Market Type Risk'!K$3 ="Very High", AND('Traded Taxa Risk'!G$31&lt; 8,'Traded Taxa Risk'!G$31&gt;=7)), "VHR","")</f>
        <v/>
      </c>
      <c r="O7" s="109"/>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c r="AS7" s="233"/>
      <c r="AT7" s="233"/>
      <c r="AU7" s="233"/>
      <c r="AV7" s="233"/>
      <c r="AW7" s="233"/>
      <c r="AX7" s="233"/>
      <c r="AY7" s="233"/>
      <c r="AZ7" s="233"/>
      <c r="BA7" s="233"/>
      <c r="BB7" s="233"/>
      <c r="BC7" s="233"/>
    </row>
    <row r="8" spans="1:55" ht="28.15" customHeight="1" x14ac:dyDescent="0.25">
      <c r="A8" s="232"/>
      <c r="B8" s="108"/>
      <c r="C8" s="56">
        <v>6</v>
      </c>
      <c r="D8" s="258"/>
      <c r="E8" s="56" t="str">
        <f>IF(AND('Market Type Risk'!K$12="Lowest Risk", AND('Traded Taxa Risk'!G$31&lt;7,'Traded Taxa Risk'!G$31&gt;=6)), "MR","")</f>
        <v/>
      </c>
      <c r="F8" s="56" t="str">
        <f>IF(AND('Market Type Risk'!K$6="Low Risk", AND('Traded Taxa Risk'!G$31&lt;7,'Traded Taxa Risk'!G$31&gt;=6)), "MR","")</f>
        <v/>
      </c>
      <c r="G8" s="56" t="str">
        <f>IF(AND('Market Type Risk'!K$9="Low Risk",  AND('Traded Taxa Risk'!G$31&lt;7,'Traded Taxa Risk'!G$31&gt;=6)), "MR","")</f>
        <v/>
      </c>
      <c r="H8" s="56" t="str">
        <f>IF(AND('Market Type Risk'!K$5="Medium Risk", AND('Traded Taxa Risk'!G$31&lt;7,'Traded Taxa Risk'!G$31&gt;=6)), "MR","")</f>
        <v/>
      </c>
      <c r="I8" s="56" t="str">
        <f>IF(AND('Market Type Risk'!K$7="Medium Risk", AND('Traded Taxa Risk'!G$31&lt;7,'Traded Taxa Risk'!G$31&gt;=6)), "MR","")</f>
        <v/>
      </c>
      <c r="J8" s="56" t="str">
        <f>IF(AND('Market Type Risk'!K$11="Medium Risk", AND('Traded Taxa Risk'!G$31&lt;7,'Traded Taxa Risk'!G$31&gt;=6)), "MR","")</f>
        <v/>
      </c>
      <c r="K8" s="56" t="str">
        <f>IF(AND('Market Type Risk'!K$8="Medium Risk", AND('Traded Taxa Risk'!G$31&lt;7,'Traded Taxa Risk'!G$31&gt;=6)), "MR","")</f>
        <v/>
      </c>
      <c r="L8" s="56" t="str">
        <f>IF(AND('Market Type Risk'!K$10="High Risk", AND('Traded Taxa Risk'!G$31&lt;7,'Traded Taxa Risk'!G$31&gt;=6)), "MR","")</f>
        <v/>
      </c>
      <c r="M8" s="55" t="str">
        <f>IF(AND('Market Type Risk'!K$4="High Risk", AND('Traded Taxa Risk'!G$31&lt; 7,'Traded Taxa Risk'!G$31&gt;=6)), "HR","")</f>
        <v/>
      </c>
      <c r="N8" s="55" t="str">
        <f>IF(AND('Market Type Risk'!K$3 ="Very High", AND('Traded Taxa Risk'!G$31&lt; 7,'Traded Taxa Risk'!G$31&gt;=6)), "HR","")</f>
        <v/>
      </c>
      <c r="O8" s="109"/>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c r="AW8" s="233"/>
      <c r="AX8" s="233"/>
      <c r="AY8" s="233"/>
      <c r="AZ8" s="233"/>
      <c r="BA8" s="233"/>
      <c r="BB8" s="233"/>
      <c r="BC8" s="233"/>
    </row>
    <row r="9" spans="1:55" ht="26.45" customHeight="1" x14ac:dyDescent="0.25">
      <c r="A9" s="232"/>
      <c r="B9" s="108"/>
      <c r="C9" s="56">
        <v>5</v>
      </c>
      <c r="D9" s="258"/>
      <c r="E9" s="58" t="str">
        <f>IF(AND('Market Type Risk'!K$12="Lowest Risk", AND('Traded Taxa Risk'!G$31&lt; 6,'Traded Taxa Risk'!G$31&gt;=5)), "LR","")</f>
        <v/>
      </c>
      <c r="F9" s="56" t="str">
        <f>IF(AND('Market Type Risk'!K$6="Low Risk", AND('Traded Taxa Risk'!G$31&lt; 6,'Traded Taxa Risk'!G$31&gt;=5)), "MR","")</f>
        <v/>
      </c>
      <c r="G9" s="56" t="str">
        <f>IF(AND('Market Type Risk'!K$9="Low Risk",  AND('Traded Taxa Risk'!G$31&lt; 6,'Traded Taxa Risk'!G$31&gt;=5)), "MR","")</f>
        <v/>
      </c>
      <c r="H9" s="56" t="str">
        <f>IF(AND('Market Type Risk'!K$5="Medium Risk", AND('Traded Taxa Risk'!G$31&lt; 6,'Traded Taxa Risk'!G$31&gt;=5)), "MR","")</f>
        <v/>
      </c>
      <c r="I9" s="56" t="str">
        <f>IF(AND('Market Type Risk'!K$7="Medium Risk", AND('Traded Taxa Risk'!G$31&lt; 6,'Traded Taxa Risk'!G$31&gt;=5)), "MR","")</f>
        <v/>
      </c>
      <c r="J9" s="56" t="str">
        <f>IF(AND('Market Type Risk'!K$11="Medium Risk", AND('Traded Taxa Risk'!G$31&lt; 6,'Traded Taxa Risk'!G$31&gt;=5)), "MR","")</f>
        <v/>
      </c>
      <c r="K9" s="56" t="str">
        <f>IF(AND('Market Type Risk'!K$8="Medium Risk", AND('Traded Taxa Risk'!G$31&lt; 6,'Traded Taxa Risk'!G$31&gt;=5)), "MR","")</f>
        <v/>
      </c>
      <c r="L9" s="56" t="str">
        <f>IF(AND('Market Type Risk'!K$10="High Risk", AND('Traded Taxa Risk'!G$31&lt; 6,'Traded Taxa Risk'!G$31&gt;=5)), "MR","")</f>
        <v/>
      </c>
      <c r="M9" s="56" t="str">
        <f>IF(AND('Market Type Risk'!K$4="High Risk", AND('Traded Taxa Risk'!G$31&lt; 6,'Traded Taxa Risk'!G$31&gt;=5)), "MR","")</f>
        <v/>
      </c>
      <c r="N9" s="55" t="str">
        <f>IF(AND('Market Type Risk'!K$3 ="Very High", AND('Traded Taxa Risk'!G$31&lt; 6,'Traded Taxa Risk'!G$31&gt;=5)), "HR","")</f>
        <v/>
      </c>
      <c r="O9" s="109"/>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c r="AS9" s="233"/>
      <c r="AT9" s="233"/>
      <c r="AU9" s="233"/>
      <c r="AV9" s="233"/>
      <c r="AW9" s="233"/>
      <c r="AX9" s="233"/>
      <c r="AY9" s="233"/>
      <c r="AZ9" s="233"/>
      <c r="BA9" s="233"/>
      <c r="BB9" s="233"/>
      <c r="BC9" s="233"/>
    </row>
    <row r="10" spans="1:55" ht="29.45" customHeight="1" x14ac:dyDescent="0.25">
      <c r="A10" s="232"/>
      <c r="B10" s="108"/>
      <c r="C10" s="58">
        <v>4</v>
      </c>
      <c r="D10" s="258"/>
      <c r="E10" s="58" t="str">
        <f>IF(AND('Market Type Risk'!K$12="Lowest Risk", AND('Traded Taxa Risk'!G$31&lt; 5,'Traded Taxa Risk'!G$31&gt;=4)), "LR","")</f>
        <v/>
      </c>
      <c r="F10" s="58" t="str">
        <f>IF(AND('Market Type Risk'!K$6="Low Risk", AND('Traded Taxa Risk'!G$31&lt; 5,'Traded Taxa Risk'!G$31&gt;=4)), "LR","")</f>
        <v/>
      </c>
      <c r="G10" s="58" t="str">
        <f>IF(AND('Market Type Risk'!K$9="Low Risk",  AND('Traded Taxa Risk'!G$31&lt; 5,'Traded Taxa Risk'!G$31&gt;=4)), "LR","")</f>
        <v/>
      </c>
      <c r="H10" s="56" t="str">
        <f>IF(AND('Market Type Risk'!K$5="Medium Risk", AND('Traded Taxa Risk'!G$31&lt; 5,'Traded Taxa Risk'!G$31&gt;=4)), "MR","")</f>
        <v/>
      </c>
      <c r="I10" s="56" t="str">
        <f>IF(AND('Market Type Risk'!K$7="Medium Risk", AND('Traded Taxa Risk'!G$31&lt; 5,'Traded Taxa Risk'!G$31&gt;=4)), "MR","")</f>
        <v/>
      </c>
      <c r="J10" s="56" t="str">
        <f>IF(AND('Market Type Risk'!K$11="Medium Risk", AND('Traded Taxa Risk'!G$31&lt; 5,'Traded Taxa Risk'!G$31&gt;=4)), "MR","")</f>
        <v/>
      </c>
      <c r="K10" s="56" t="str">
        <f>IF(AND('Market Type Risk'!K$8="Medium Risk", AND('Traded Taxa Risk'!G$31&lt; 5,'Traded Taxa Risk'!G$31&gt;=4)), "MR","")</f>
        <v/>
      </c>
      <c r="L10" s="56" t="str">
        <f>IF(AND('Market Type Risk'!K$10="High Risk", AND('Traded Taxa Risk'!G$31&lt; 5,'Traded Taxa Risk'!G$31&gt;=4)), "MR","")</f>
        <v/>
      </c>
      <c r="M10" s="56" t="str">
        <f>IF(AND('Market Type Risk'!K$4="High Risk", AND('Traded Taxa Risk'!G$31&lt; 5,'Traded Taxa Risk'!G$31&gt;=4)), "MR","")</f>
        <v/>
      </c>
      <c r="N10" s="56" t="str">
        <f>IF(AND('Market Type Risk'!K$3 ="Very High", AND('Traded Taxa Risk'!G$31&lt; 5,'Traded Taxa Risk'!G$31&gt;=4)), "MR","")</f>
        <v/>
      </c>
      <c r="O10" s="109"/>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c r="AW10" s="233"/>
      <c r="AX10" s="233"/>
      <c r="AY10" s="233"/>
      <c r="AZ10" s="233"/>
      <c r="BA10" s="233"/>
      <c r="BB10" s="233"/>
      <c r="BC10" s="233"/>
    </row>
    <row r="11" spans="1:55" ht="33.6" customHeight="1" x14ac:dyDescent="0.25">
      <c r="A11" s="232"/>
      <c r="B11" s="108"/>
      <c r="C11" s="82">
        <v>3</v>
      </c>
      <c r="D11" s="258"/>
      <c r="E11" s="58" t="str">
        <f>IF(AND('Market Type Risk'!K$12="Lowest Risk", AND('Traded Taxa Risk'!G$31&lt;4,'Traded Taxa Risk'!G$31&gt;=3)), "LR","")</f>
        <v/>
      </c>
      <c r="F11" s="58" t="str">
        <f>IF(AND('Market Type Risk'!K$6="Low Risk", AND('Traded Taxa Risk'!G$31&lt;4,'Traded Taxa Risk'!G$31&gt;=3)), "LR","")</f>
        <v/>
      </c>
      <c r="G11" s="58" t="str">
        <f>IF(AND('Market Type Risk'!K$9="Low Risk",  AND('Traded Taxa Risk'!G$31&lt;4,'Traded Taxa Risk'!G$31&gt;=3)), "LR","")</f>
        <v/>
      </c>
      <c r="H11" s="58" t="str">
        <f>IF(AND('Market Type Risk'!K$5="Medium Risk", AND('Traded Taxa Risk'!G$31&lt;4,'Traded Taxa Risk'!G$31&gt;=3)), "LR","")</f>
        <v/>
      </c>
      <c r="I11" s="56" t="str">
        <f>IF(AND('Market Type Risk'!K$7="Medium Risk", AND('Traded Taxa Risk'!G$31&lt;4,'Traded Taxa Risk'!G$31&gt;=3)), "MR","")</f>
        <v/>
      </c>
      <c r="J11" s="56" t="str">
        <f>IF(AND('Market Type Risk'!K$11="Medium Risk", AND('Traded Taxa Risk'!G$31&lt;4,'Traded Taxa Risk'!G$31&gt;=3)), "MR","")</f>
        <v/>
      </c>
      <c r="K11" s="56" t="str">
        <f>IF(AND('Market Type Risk'!K$8="Medium Risk", AND('Traded Taxa Risk'!G$31&lt;4,'Traded Taxa Risk'!G$31&gt;=3)), "MR","")</f>
        <v/>
      </c>
      <c r="L11" s="56" t="str">
        <f>IF(AND('Market Type Risk'!K$10="High Risk", AND('Traded Taxa Risk'!G$31&lt;4,'Traded Taxa Risk'!G$31&gt;=3)), "MR","")</f>
        <v/>
      </c>
      <c r="M11" s="56" t="str">
        <f>IF(AND('Market Type Risk'!K$4="High Risk", AND('Traded Taxa Risk'!G$31&lt; 4,'Traded Taxa Risk'!G$31&gt;=3)), "MR","")</f>
        <v/>
      </c>
      <c r="N11" s="56" t="str">
        <f>IF(AND('Market Type Risk'!K$3 ="Very High", AND('Traded Taxa Risk'!G$31&lt; 4,'Traded Taxa Risk'!G$31&gt;=3)), "MR","")</f>
        <v/>
      </c>
      <c r="O11" s="109"/>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c r="AW11" s="233"/>
      <c r="AX11" s="233"/>
      <c r="AY11" s="233"/>
      <c r="AZ11" s="233"/>
      <c r="BA11" s="233"/>
      <c r="BB11" s="233"/>
      <c r="BC11" s="233"/>
    </row>
    <row r="12" spans="1:55" ht="27" customHeight="1" x14ac:dyDescent="0.25">
      <c r="A12" s="232"/>
      <c r="B12" s="108"/>
      <c r="C12" s="58">
        <v>2</v>
      </c>
      <c r="D12" s="258"/>
      <c r="E12" s="59" t="str">
        <f>IF(AND('Market Type Risk'!K$12="Lowest Risk", AND('Traded Taxa Risk'!G$31&lt; 3,'Traded Taxa Risk'!G$31&gt;=2)), "VLR","")</f>
        <v/>
      </c>
      <c r="F12" s="58" t="str">
        <f>IF(AND('Market Type Risk'!K$6="Low Risk", AND('Traded Taxa Risk'!G$31&lt; 3,'Traded Taxa Risk'!G$31&gt;=2)), "LR","")</f>
        <v/>
      </c>
      <c r="G12" s="58" t="str">
        <f>IF(AND('Market Type Risk'!K$9="Low Risk",  AND('Traded Taxa Risk'!G$31&lt; 3,'Traded Taxa Risk'!G$31&gt;=2)), "LR","")</f>
        <v/>
      </c>
      <c r="H12" s="58" t="str">
        <f>IF(AND('Market Type Risk'!K$5="Medium Risk", AND('Traded Taxa Risk'!G$31&lt; 3,'Traded Taxa Risk'!G$31&gt;=2)), "LR","")</f>
        <v/>
      </c>
      <c r="I12" s="58" t="str">
        <f>IF(AND('Market Type Risk'!K$7="Medium Risk", AND('Traded Taxa Risk'!G$31&lt; 3,'Traded Taxa Risk'!G$31&gt;=2)), "LR","")</f>
        <v/>
      </c>
      <c r="J12" s="58" t="str">
        <f>IF(AND('Market Type Risk'!K$11="Medium Risk", AND('Traded Taxa Risk'!G$31&lt; 3,'Traded Taxa Risk'!G$31&gt;=2)), "LR","")</f>
        <v/>
      </c>
      <c r="K12" s="56" t="str">
        <f>IF(AND('Market Type Risk'!K$8="Medium Risk", AND('Traded Taxa Risk'!G$31&lt; 3,'Traded Taxa Risk'!G$31&gt;=2)), "MR","")</f>
        <v/>
      </c>
      <c r="L12" s="56" t="str">
        <f>IF(AND('Market Type Risk'!K$10="High Risk", AND('Traded Taxa Risk'!G$31&lt; 3,'Traded Taxa Risk'!G$31&gt;=2)), "MR","")</f>
        <v/>
      </c>
      <c r="M12" s="56" t="str">
        <f>IF(AND('Market Type Risk'!K$4="High Risk", AND('Traded Taxa Risk'!G$31&lt;3,'Traded Taxa Risk'!G$31&gt;=2)), "MR","")</f>
        <v/>
      </c>
      <c r="N12" s="56" t="str">
        <f>IF(AND('Market Type Risk'!K$3 ="Very High", AND('Traded Taxa Risk'!G$31&lt; 3,'Traded Taxa Risk'!G$31&gt;=2)), "MR","")</f>
        <v/>
      </c>
      <c r="O12" s="109"/>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c r="AP12" s="233"/>
      <c r="AQ12" s="233"/>
      <c r="AR12" s="233"/>
      <c r="AS12" s="233"/>
      <c r="AT12" s="233"/>
      <c r="AU12" s="233"/>
      <c r="AV12" s="233"/>
      <c r="AW12" s="233"/>
      <c r="AX12" s="233"/>
      <c r="AY12" s="233"/>
      <c r="AZ12" s="233"/>
      <c r="BA12" s="233"/>
      <c r="BB12" s="233"/>
      <c r="BC12" s="233"/>
    </row>
    <row r="13" spans="1:55" ht="29.45" customHeight="1" x14ac:dyDescent="0.25">
      <c r="A13" s="232"/>
      <c r="B13" s="108"/>
      <c r="C13" s="59">
        <v>1</v>
      </c>
      <c r="D13" s="258"/>
      <c r="E13" s="59" t="str">
        <f>IF(AND('Market Type Risk'!K$12="Lowest Risk", AND('Traded Taxa Risk'!G$31&lt; 2,'Traded Taxa Risk'!G$31&gt;=1)), "VLR","")</f>
        <v/>
      </c>
      <c r="F13" s="59" t="str">
        <f>IF(AND('Market Type Risk'!K$6="Low Risk", AND('Traded Taxa Risk'!G$31&lt; 2,'Traded Taxa Risk'!G$31&gt;=1)), "VLR","")</f>
        <v/>
      </c>
      <c r="G13" s="59" t="str">
        <f>IF(AND('Market Type Risk'!K$9="Low Risk",  AND('Traded Taxa Risk'!G$31&lt; 2,'Traded Taxa Risk'!G$31&gt;=1)), "VLR","")</f>
        <v/>
      </c>
      <c r="H13" s="58" t="str">
        <f>IF(AND('Market Type Risk'!K$5="Medium Risk", AND('Traded Taxa Risk'!G$31&lt; 2,'Traded Taxa Risk'!G$31&gt;=1)), "LR","")</f>
        <v/>
      </c>
      <c r="I13" s="58" t="str">
        <f>IF(AND('Market Type Risk'!K$7="Medium Risk", AND('Traded Taxa Risk'!G$31&lt; 2,'Traded Taxa Risk'!G$31&gt;=1)), "LR","")</f>
        <v/>
      </c>
      <c r="J13" s="58" t="str">
        <f>IF(AND('Market Type Risk'!K$11="Medium Risk", AND('Traded Taxa Risk'!G$31&lt; 2,'Traded Taxa Risk'!G$31&gt;=1)), "LR","")</f>
        <v/>
      </c>
      <c r="K13" s="58" t="str">
        <f>IF(AND('Market Type Risk'!K$8="Medium Risk", AND('Traded Taxa Risk'!G$31&lt; 2,'Traded Taxa Risk'!G$31&gt;=1)), "LR","")</f>
        <v/>
      </c>
      <c r="L13" s="56" t="str">
        <f>IF(AND('Market Type Risk'!K$10="High Risk", AND('Traded Taxa Risk'!G$31&lt; 2,'Traded Taxa Risk'!G$31&gt;=1)), "MR","")</f>
        <v/>
      </c>
      <c r="M13" s="56" t="str">
        <f>IF(AND('Market Type Risk'!K$4="High Risk", AND('Traded Taxa Risk'!G$31&lt; 2,'Traded Taxa Risk'!G$31&gt;=1)), "MR","")</f>
        <v/>
      </c>
      <c r="N13" s="56" t="str">
        <f>IF(AND('Market Type Risk'!K$3 ="Very High", AND('Traded Taxa Risk'!G$31&lt; 2,'Traded Taxa Risk'!G$31&gt;=1)), "MR","")</f>
        <v/>
      </c>
      <c r="O13" s="109"/>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c r="AW13" s="233"/>
      <c r="AX13" s="233"/>
      <c r="AY13" s="233"/>
      <c r="AZ13" s="233"/>
      <c r="BA13" s="233"/>
      <c r="BB13" s="233"/>
      <c r="BC13" s="233"/>
    </row>
    <row r="14" spans="1:55" ht="28.15" customHeight="1" x14ac:dyDescent="0.25">
      <c r="A14" s="232"/>
      <c r="B14" s="108"/>
      <c r="C14" s="59">
        <v>0</v>
      </c>
      <c r="D14" s="258"/>
      <c r="E14" s="59" t="str">
        <f>IF(AND('Market Type Risk'!K$12="Lowest Risk", AND('Traded Taxa Risk'!G$31&lt; 1)), "VLR","")</f>
        <v>VLR</v>
      </c>
      <c r="F14" s="59" t="str">
        <f>IF(AND('Market Type Risk'!K$6="Low Risk", AND('Traded Taxa Risk'!G$31&lt; 1)), "VLR","")</f>
        <v>VLR</v>
      </c>
      <c r="G14" s="59" t="str">
        <f>IF(AND('Market Type Risk'!K$9="Low Risk",  AND('Traded Taxa Risk'!G$31&lt; 1)), "VLR","")</f>
        <v>VLR</v>
      </c>
      <c r="H14" s="59" t="str">
        <f>IF(AND('Market Type Risk'!K$5="Medium Risk", AND('Traded Taxa Risk'!G$31&lt; 1)), "VLR","")</f>
        <v>VLR</v>
      </c>
      <c r="I14" s="59" t="str">
        <f>IF(AND('Market Type Risk'!K$7="Medium Risk", AND('Traded Taxa Risk'!G$31&lt; 1)), "VLR","")</f>
        <v>VLR</v>
      </c>
      <c r="J14" s="59" t="str">
        <f>IF(AND('Market Type Risk'!K$11="Medium Risk", AND('Traded Taxa Risk'!G$31&lt; 1)), "VLR","")</f>
        <v>VLR</v>
      </c>
      <c r="K14" s="59" t="str">
        <f>IF(AND('Market Type Risk'!K$8="Medium Risk", AND('Traded Taxa Risk'!G$31&lt; 1)), "VLR","")</f>
        <v>VLR</v>
      </c>
      <c r="L14" s="59" t="str">
        <f>IF(AND('Market Type Risk'!K$10="High Risk", AND('Traded Taxa Risk'!G$31&lt; 1)), "VLR","")</f>
        <v>VLR</v>
      </c>
      <c r="M14" s="59" t="str">
        <f>IF(AND('Market Type Risk'!K$4="High Risk", AND('Traded Taxa Risk'!G$31&lt; 1)), "VLR","")</f>
        <v>VLR</v>
      </c>
      <c r="N14" s="59" t="str">
        <f>IF(AND('Market Type Risk'!K$3 ="Very High", AND('Traded Taxa Risk'!G$31&lt; 1)), "VLR","")</f>
        <v>VLR</v>
      </c>
      <c r="O14" s="109"/>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c r="AY14" s="233"/>
      <c r="AZ14" s="233"/>
      <c r="BA14" s="233"/>
      <c r="BB14" s="233"/>
      <c r="BC14" s="233"/>
    </row>
    <row r="15" spans="1:55" x14ac:dyDescent="0.25">
      <c r="A15" s="232"/>
      <c r="B15" s="108"/>
      <c r="C15" s="17"/>
      <c r="D15" s="17"/>
      <c r="E15" s="83"/>
      <c r="F15" s="84"/>
      <c r="G15" s="84"/>
      <c r="H15" s="85"/>
      <c r="I15" s="85"/>
      <c r="J15" s="85"/>
      <c r="K15" s="229"/>
      <c r="L15" s="86"/>
      <c r="M15" s="86"/>
      <c r="N15" s="211"/>
      <c r="O15" s="109"/>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3"/>
      <c r="AY15" s="233"/>
      <c r="AZ15" s="233"/>
      <c r="BA15" s="233"/>
      <c r="BB15" s="233"/>
      <c r="BC15" s="233"/>
    </row>
    <row r="16" spans="1:55" x14ac:dyDescent="0.25">
      <c r="A16" s="232"/>
      <c r="B16" s="108"/>
      <c r="C16" s="263"/>
      <c r="D16" s="264"/>
      <c r="E16" s="87" t="s">
        <v>173</v>
      </c>
      <c r="F16" s="87" t="s">
        <v>24</v>
      </c>
      <c r="G16" s="87" t="s">
        <v>24</v>
      </c>
      <c r="H16" s="87" t="s">
        <v>116</v>
      </c>
      <c r="I16" s="87" t="s">
        <v>116</v>
      </c>
      <c r="J16" s="87" t="s">
        <v>116</v>
      </c>
      <c r="K16" s="87" t="s">
        <v>116</v>
      </c>
      <c r="L16" s="87" t="s">
        <v>22</v>
      </c>
      <c r="M16" s="87" t="s">
        <v>22</v>
      </c>
      <c r="N16" s="87" t="s">
        <v>21</v>
      </c>
      <c r="O16" s="109"/>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c r="AW16" s="233"/>
      <c r="AX16" s="233"/>
      <c r="AY16" s="233"/>
      <c r="AZ16" s="233"/>
      <c r="BA16" s="233"/>
      <c r="BB16" s="233"/>
      <c r="BC16" s="233"/>
    </row>
    <row r="17" spans="1:55" ht="263.25" x14ac:dyDescent="0.25">
      <c r="A17" s="232"/>
      <c r="B17" s="108"/>
      <c r="C17" s="265"/>
      <c r="D17" s="266"/>
      <c r="E17" s="218" t="s">
        <v>130</v>
      </c>
      <c r="F17" s="218" t="s">
        <v>298</v>
      </c>
      <c r="G17" s="218" t="s">
        <v>306</v>
      </c>
      <c r="H17" s="219" t="s">
        <v>78</v>
      </c>
      <c r="I17" s="219" t="s">
        <v>81</v>
      </c>
      <c r="J17" s="220" t="s">
        <v>307</v>
      </c>
      <c r="K17" s="219" t="s">
        <v>302</v>
      </c>
      <c r="L17" s="220" t="s">
        <v>114</v>
      </c>
      <c r="M17" s="219" t="s">
        <v>125</v>
      </c>
      <c r="N17" s="221" t="s">
        <v>300</v>
      </c>
      <c r="O17" s="109"/>
      <c r="P17" s="233"/>
      <c r="Q17" s="233"/>
      <c r="R17" s="233"/>
      <c r="S17" s="233"/>
      <c r="T17" s="233"/>
      <c r="U17" s="233"/>
      <c r="V17" s="233"/>
      <c r="W17" s="233"/>
      <c r="X17" s="233"/>
      <c r="Y17" s="233"/>
      <c r="Z17" s="233"/>
      <c r="AA17" s="233"/>
      <c r="AB17" s="233"/>
      <c r="AC17" s="233"/>
      <c r="AD17" s="233"/>
      <c r="AE17" s="233"/>
      <c r="AF17" s="233"/>
      <c r="AG17" s="233"/>
      <c r="AH17" s="233"/>
      <c r="AI17" s="233"/>
      <c r="AJ17" s="233"/>
      <c r="AK17" s="233"/>
      <c r="AL17" s="233"/>
      <c r="AM17" s="233"/>
      <c r="AN17" s="233"/>
      <c r="AO17" s="233"/>
      <c r="AP17" s="233"/>
      <c r="AQ17" s="233"/>
      <c r="AR17" s="233"/>
      <c r="AS17" s="233"/>
      <c r="AT17" s="233"/>
      <c r="AU17" s="233"/>
      <c r="AV17" s="233"/>
      <c r="AW17" s="233"/>
      <c r="AX17" s="233"/>
      <c r="AY17" s="233"/>
      <c r="AZ17" s="233"/>
      <c r="BA17" s="233"/>
      <c r="BB17" s="233"/>
      <c r="BC17" s="233"/>
    </row>
    <row r="18" spans="1:55" ht="21" x14ac:dyDescent="0.35">
      <c r="A18" s="233"/>
      <c r="B18" s="108"/>
      <c r="C18" s="259" t="s">
        <v>242</v>
      </c>
      <c r="D18" s="260"/>
      <c r="E18" s="260"/>
      <c r="F18" s="260"/>
      <c r="G18" s="260"/>
      <c r="H18" s="260"/>
      <c r="I18" s="260"/>
      <c r="J18" s="260"/>
      <c r="K18" s="260"/>
      <c r="L18" s="260"/>
      <c r="M18" s="260"/>
      <c r="N18" s="260"/>
      <c r="O18" s="109"/>
      <c r="P18" s="233"/>
      <c r="Q18" s="233"/>
      <c r="R18" s="233"/>
      <c r="S18" s="233"/>
      <c r="T18" s="233"/>
      <c r="U18" s="233"/>
      <c r="V18" s="233"/>
      <c r="W18" s="233"/>
      <c r="X18" s="233"/>
      <c r="Y18" s="233"/>
      <c r="Z18" s="233"/>
      <c r="AA18" s="233"/>
      <c r="AB18" s="233"/>
      <c r="AC18" s="233"/>
      <c r="AD18" s="233"/>
      <c r="AE18" s="233"/>
      <c r="AF18" s="233"/>
      <c r="AG18" s="233"/>
      <c r="AH18" s="233"/>
      <c r="AI18" s="233"/>
      <c r="AJ18" s="233"/>
      <c r="AK18" s="233"/>
      <c r="AL18" s="233"/>
      <c r="AM18" s="233"/>
      <c r="AN18" s="233"/>
      <c r="AO18" s="233"/>
      <c r="AP18" s="233"/>
      <c r="AQ18" s="233"/>
      <c r="AR18" s="233"/>
      <c r="AS18" s="233"/>
      <c r="AT18" s="233"/>
      <c r="AU18" s="233"/>
      <c r="AV18" s="233"/>
      <c r="AW18" s="233"/>
      <c r="AX18" s="233"/>
      <c r="AY18" s="233"/>
      <c r="AZ18" s="233"/>
      <c r="BA18" s="233"/>
      <c r="BB18" s="233"/>
      <c r="BC18" s="233"/>
    </row>
    <row r="19" spans="1:55" x14ac:dyDescent="0.25">
      <c r="A19" s="233"/>
      <c r="B19" s="110"/>
      <c r="C19" s="111"/>
      <c r="D19" s="111"/>
      <c r="E19" s="111"/>
      <c r="F19" s="111"/>
      <c r="G19" s="111"/>
      <c r="H19" s="111"/>
      <c r="I19" s="111"/>
      <c r="J19" s="111"/>
      <c r="K19" s="111"/>
      <c r="L19" s="111"/>
      <c r="M19" s="111"/>
      <c r="N19" s="111"/>
      <c r="O19" s="112"/>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c r="AW19" s="233"/>
      <c r="AX19" s="233"/>
      <c r="AY19" s="233"/>
      <c r="AZ19" s="233"/>
      <c r="BA19" s="233"/>
      <c r="BB19" s="233"/>
      <c r="BC19" s="233"/>
    </row>
    <row r="20" spans="1:55" x14ac:dyDescent="0.25">
      <c r="A20" s="233"/>
      <c r="B20" s="233"/>
      <c r="C20" s="233"/>
      <c r="D20" s="233"/>
      <c r="E20" s="233"/>
      <c r="F20" s="233"/>
      <c r="G20" s="233"/>
      <c r="H20" s="233"/>
      <c r="I20" s="233"/>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3"/>
      <c r="AL20" s="233"/>
      <c r="AM20" s="233"/>
      <c r="AN20" s="233"/>
      <c r="AO20" s="233"/>
      <c r="AP20" s="233"/>
      <c r="AQ20" s="233"/>
      <c r="AR20" s="233"/>
      <c r="AS20" s="233"/>
      <c r="AT20" s="233"/>
      <c r="AU20" s="233"/>
      <c r="AV20" s="233"/>
      <c r="AW20" s="233"/>
      <c r="AX20" s="233"/>
      <c r="AY20" s="233"/>
      <c r="AZ20" s="233"/>
      <c r="BA20" s="233"/>
      <c r="BB20" s="233"/>
      <c r="BC20" s="233"/>
    </row>
    <row r="21" spans="1:55" x14ac:dyDescent="0.25">
      <c r="A21" s="233"/>
      <c r="B21" s="233"/>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c r="AW21" s="233"/>
      <c r="AX21" s="233"/>
      <c r="AY21" s="233"/>
      <c r="AZ21" s="233"/>
      <c r="BA21" s="233"/>
      <c r="BB21" s="233"/>
      <c r="BC21" s="233"/>
    </row>
    <row r="22" spans="1:55" x14ac:dyDescent="0.25">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c r="AM22" s="233"/>
      <c r="AN22" s="233"/>
      <c r="AO22" s="233"/>
      <c r="AP22" s="233"/>
      <c r="AQ22" s="233"/>
      <c r="AR22" s="233"/>
      <c r="AS22" s="233"/>
      <c r="AT22" s="233"/>
      <c r="AU22" s="233"/>
      <c r="AV22" s="233"/>
      <c r="AW22" s="233"/>
      <c r="AX22" s="233"/>
      <c r="AY22" s="233"/>
      <c r="AZ22" s="233"/>
      <c r="BA22" s="233"/>
      <c r="BB22" s="233"/>
      <c r="BC22" s="233"/>
    </row>
    <row r="23" spans="1:55" x14ac:dyDescent="0.25">
      <c r="A23" s="233"/>
      <c r="B23" s="233"/>
      <c r="C23" s="233"/>
      <c r="D23" s="233"/>
      <c r="E23" s="233"/>
      <c r="F23" s="233"/>
      <c r="G23" s="233"/>
      <c r="H23" s="233"/>
      <c r="I23" s="233"/>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3"/>
      <c r="AK23" s="233"/>
      <c r="AL23" s="233"/>
      <c r="AM23" s="233"/>
      <c r="AN23" s="233"/>
      <c r="AO23" s="233"/>
      <c r="AP23" s="233"/>
      <c r="AQ23" s="233"/>
      <c r="AR23" s="233"/>
      <c r="AS23" s="233"/>
      <c r="AT23" s="233"/>
      <c r="AU23" s="233"/>
      <c r="AV23" s="233"/>
      <c r="AW23" s="233"/>
      <c r="AX23" s="233"/>
      <c r="AY23" s="233"/>
      <c r="AZ23" s="233"/>
      <c r="BA23" s="233"/>
      <c r="BB23" s="233"/>
      <c r="BC23" s="233"/>
    </row>
    <row r="24" spans="1:55" x14ac:dyDescent="0.25">
      <c r="A24" s="233"/>
      <c r="B24" s="233"/>
      <c r="C24" s="233"/>
      <c r="D24" s="233"/>
      <c r="E24" s="233"/>
      <c r="F24" s="233"/>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c r="AL24" s="233"/>
      <c r="AM24" s="233"/>
      <c r="AN24" s="233"/>
      <c r="AO24" s="233"/>
      <c r="AP24" s="233"/>
      <c r="AQ24" s="233"/>
      <c r="AR24" s="233"/>
      <c r="AS24" s="233"/>
      <c r="AT24" s="233"/>
      <c r="AU24" s="233"/>
      <c r="AV24" s="233"/>
      <c r="AW24" s="233"/>
      <c r="AX24" s="233"/>
      <c r="AY24" s="233"/>
      <c r="AZ24" s="233"/>
      <c r="BA24" s="233"/>
      <c r="BB24" s="233"/>
      <c r="BC24" s="233"/>
    </row>
    <row r="25" spans="1:55" x14ac:dyDescent="0.25">
      <c r="A25" s="233"/>
      <c r="B25" s="233"/>
      <c r="C25" s="233"/>
      <c r="D25" s="233"/>
      <c r="E25" s="233"/>
      <c r="F25" s="233"/>
      <c r="G25" s="233"/>
      <c r="H25" s="233"/>
      <c r="I25" s="233"/>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3"/>
      <c r="AK25" s="233"/>
      <c r="AL25" s="233"/>
      <c r="AM25" s="233"/>
      <c r="AN25" s="233"/>
      <c r="AO25" s="233"/>
      <c r="AP25" s="233"/>
      <c r="AQ25" s="233"/>
      <c r="AR25" s="233"/>
      <c r="AS25" s="233"/>
      <c r="AT25" s="233"/>
      <c r="AU25" s="233"/>
      <c r="AV25" s="233"/>
      <c r="AW25" s="233"/>
      <c r="AX25" s="233"/>
      <c r="AY25" s="233"/>
      <c r="AZ25" s="233"/>
      <c r="BA25" s="233"/>
      <c r="BB25" s="233"/>
      <c r="BC25" s="233"/>
    </row>
    <row r="26" spans="1:55" x14ac:dyDescent="0.25">
      <c r="A26" s="233"/>
      <c r="B26" s="233"/>
      <c r="C26" s="233"/>
      <c r="D26" s="233"/>
      <c r="E26" s="233"/>
      <c r="F26" s="233"/>
      <c r="G26" s="233"/>
      <c r="H26" s="233"/>
      <c r="I26" s="233"/>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c r="AK26" s="233"/>
      <c r="AL26" s="233"/>
      <c r="AM26" s="233"/>
      <c r="AN26" s="233"/>
      <c r="AO26" s="233"/>
      <c r="AP26" s="233"/>
      <c r="AQ26" s="233"/>
      <c r="AR26" s="233"/>
      <c r="AS26" s="233"/>
      <c r="AT26" s="233"/>
      <c r="AU26" s="233"/>
      <c r="AV26" s="233"/>
      <c r="AW26" s="233"/>
      <c r="AX26" s="233"/>
      <c r="AY26" s="233"/>
      <c r="AZ26" s="233"/>
      <c r="BA26" s="233"/>
      <c r="BB26" s="233"/>
      <c r="BC26" s="233"/>
    </row>
    <row r="27" spans="1:55" x14ac:dyDescent="0.25">
      <c r="A27" s="233"/>
      <c r="B27" s="233"/>
      <c r="C27" s="233"/>
      <c r="D27" s="233"/>
      <c r="E27" s="233"/>
      <c r="F27" s="233"/>
      <c r="G27" s="233"/>
      <c r="H27" s="233"/>
      <c r="I27" s="233"/>
      <c r="J27" s="233"/>
      <c r="K27" s="233"/>
      <c r="L27" s="233"/>
      <c r="M27" s="233"/>
      <c r="N27" s="233"/>
      <c r="O27" s="233"/>
      <c r="P27" s="233"/>
      <c r="Q27" s="233"/>
      <c r="R27" s="233"/>
      <c r="S27" s="233"/>
      <c r="T27" s="233"/>
      <c r="U27" s="233"/>
      <c r="V27" s="233"/>
      <c r="W27" s="233"/>
      <c r="X27" s="233"/>
      <c r="Y27" s="233"/>
      <c r="Z27" s="233"/>
      <c r="AA27" s="233"/>
      <c r="AB27" s="233"/>
      <c r="AC27" s="233"/>
      <c r="AD27" s="233"/>
      <c r="AE27" s="233"/>
      <c r="AF27" s="233"/>
      <c r="AG27" s="233"/>
      <c r="AH27" s="233"/>
      <c r="AI27" s="233"/>
      <c r="AJ27" s="233"/>
      <c r="AK27" s="233"/>
      <c r="AL27" s="233"/>
      <c r="AM27" s="233"/>
      <c r="AN27" s="233"/>
      <c r="AO27" s="233"/>
      <c r="AP27" s="233"/>
      <c r="AQ27" s="233"/>
      <c r="AR27" s="233"/>
      <c r="AS27" s="233"/>
      <c r="AT27" s="233"/>
      <c r="AU27" s="233"/>
      <c r="AV27" s="233"/>
      <c r="AW27" s="233"/>
      <c r="AX27" s="233"/>
      <c r="AY27" s="233"/>
      <c r="AZ27" s="233"/>
      <c r="BA27" s="233"/>
      <c r="BB27" s="233"/>
      <c r="BC27" s="233"/>
    </row>
    <row r="28" spans="1:55" x14ac:dyDescent="0.25">
      <c r="A28" s="233"/>
      <c r="B28" s="233"/>
      <c r="C28" s="233"/>
      <c r="D28" s="233"/>
      <c r="E28" s="233"/>
      <c r="F28" s="233"/>
      <c r="G28" s="233"/>
      <c r="H28" s="233"/>
      <c r="I28" s="233"/>
      <c r="J28" s="233"/>
      <c r="K28" s="233"/>
      <c r="L28" s="233"/>
      <c r="M28" s="233"/>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3"/>
      <c r="AK28" s="233"/>
      <c r="AL28" s="233"/>
      <c r="AM28" s="233"/>
      <c r="AN28" s="233"/>
      <c r="AO28" s="233"/>
      <c r="AP28" s="233"/>
      <c r="AQ28" s="233"/>
      <c r="AR28" s="233"/>
      <c r="AS28" s="233"/>
      <c r="AT28" s="233"/>
      <c r="AU28" s="233"/>
      <c r="AV28" s="233"/>
      <c r="AW28" s="233"/>
      <c r="AX28" s="233"/>
      <c r="AY28" s="233"/>
      <c r="AZ28" s="233"/>
      <c r="BA28" s="233"/>
      <c r="BB28" s="233"/>
      <c r="BC28" s="233"/>
    </row>
    <row r="29" spans="1:55" x14ac:dyDescent="0.25">
      <c r="A29" s="233"/>
      <c r="B29" s="233"/>
      <c r="C29" s="233"/>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3"/>
      <c r="AK29" s="233"/>
      <c r="AL29" s="233"/>
      <c r="AM29" s="233"/>
      <c r="AN29" s="233"/>
      <c r="AO29" s="233"/>
      <c r="AP29" s="233"/>
      <c r="AQ29" s="233"/>
      <c r="AR29" s="233"/>
      <c r="AS29" s="233"/>
      <c r="AT29" s="233"/>
      <c r="AU29" s="233"/>
      <c r="AV29" s="233"/>
      <c r="AW29" s="233"/>
      <c r="AX29" s="233"/>
      <c r="AY29" s="233"/>
      <c r="AZ29" s="233"/>
      <c r="BA29" s="233"/>
      <c r="BB29" s="233"/>
      <c r="BC29" s="233"/>
    </row>
    <row r="30" spans="1:55" x14ac:dyDescent="0.25">
      <c r="A30" s="233"/>
      <c r="B30" s="233"/>
      <c r="C30" s="233"/>
      <c r="D30" s="233"/>
      <c r="E30" s="233"/>
      <c r="F30" s="233"/>
      <c r="G30" s="233"/>
      <c r="H30" s="233"/>
      <c r="I30" s="233"/>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3"/>
      <c r="AK30" s="233"/>
      <c r="AL30" s="233"/>
      <c r="AM30" s="233"/>
      <c r="AN30" s="233"/>
      <c r="AO30" s="233"/>
      <c r="AP30" s="233"/>
      <c r="AQ30" s="233"/>
      <c r="AR30" s="233"/>
      <c r="AS30" s="233"/>
      <c r="AT30" s="233"/>
      <c r="AU30" s="233"/>
      <c r="AV30" s="233"/>
      <c r="AW30" s="233"/>
      <c r="AX30" s="233"/>
      <c r="AY30" s="233"/>
      <c r="AZ30" s="233"/>
      <c r="BA30" s="233"/>
      <c r="BB30" s="233"/>
      <c r="BC30" s="233"/>
    </row>
    <row r="31" spans="1:55" x14ac:dyDescent="0.25">
      <c r="A31" s="233"/>
      <c r="B31" s="233"/>
      <c r="C31" s="233"/>
      <c r="D31" s="233"/>
      <c r="E31" s="233"/>
      <c r="F31" s="233"/>
      <c r="G31" s="233"/>
      <c r="H31" s="233"/>
      <c r="I31" s="233"/>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3"/>
      <c r="AK31" s="233"/>
      <c r="AL31" s="233"/>
      <c r="AM31" s="233"/>
      <c r="AN31" s="233"/>
      <c r="AO31" s="233"/>
      <c r="AP31" s="233"/>
      <c r="AQ31" s="233"/>
      <c r="AR31" s="233"/>
      <c r="AS31" s="233"/>
      <c r="AT31" s="233"/>
      <c r="AU31" s="233"/>
      <c r="AV31" s="233"/>
      <c r="AW31" s="233"/>
      <c r="AX31" s="233"/>
      <c r="AY31" s="233"/>
      <c r="AZ31" s="233"/>
      <c r="BA31" s="233"/>
      <c r="BB31" s="233"/>
      <c r="BC31" s="233"/>
    </row>
    <row r="32" spans="1:55" x14ac:dyDescent="0.25">
      <c r="A32" s="233"/>
      <c r="B32" s="233"/>
      <c r="C32" s="233"/>
      <c r="D32" s="233"/>
      <c r="E32" s="233"/>
      <c r="F32" s="233"/>
      <c r="G32" s="233"/>
      <c r="H32" s="233"/>
      <c r="I32" s="233"/>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3"/>
      <c r="AK32" s="233"/>
      <c r="AL32" s="233"/>
      <c r="AM32" s="233"/>
      <c r="AN32" s="233"/>
      <c r="AO32" s="233"/>
      <c r="AP32" s="233"/>
      <c r="AQ32" s="233"/>
      <c r="AR32" s="233"/>
      <c r="AS32" s="233"/>
      <c r="AT32" s="233"/>
      <c r="AU32" s="233"/>
      <c r="AV32" s="233"/>
      <c r="AW32" s="233"/>
      <c r="AX32" s="233"/>
      <c r="AY32" s="233"/>
      <c r="AZ32" s="233"/>
      <c r="BA32" s="233"/>
      <c r="BB32" s="233"/>
      <c r="BC32" s="233"/>
    </row>
    <row r="33" spans="1:55" x14ac:dyDescent="0.25">
      <c r="A33" s="233"/>
      <c r="B33" s="233"/>
      <c r="C33" s="233"/>
      <c r="D33" s="233"/>
      <c r="E33" s="233"/>
      <c r="F33" s="233"/>
      <c r="G33" s="233"/>
      <c r="H33" s="233"/>
      <c r="I33" s="233"/>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3"/>
      <c r="AK33" s="233"/>
      <c r="AL33" s="233"/>
      <c r="AM33" s="233"/>
      <c r="AN33" s="233"/>
      <c r="AO33" s="233"/>
      <c r="AP33" s="233"/>
      <c r="AQ33" s="233"/>
      <c r="AR33" s="233"/>
      <c r="AS33" s="233"/>
      <c r="AT33" s="233"/>
      <c r="AU33" s="233"/>
      <c r="AV33" s="233"/>
      <c r="AW33" s="233"/>
      <c r="AX33" s="233"/>
      <c r="AY33" s="233"/>
      <c r="AZ33" s="233"/>
      <c r="BA33" s="233"/>
      <c r="BB33" s="233"/>
      <c r="BC33" s="233"/>
    </row>
    <row r="34" spans="1:55" x14ac:dyDescent="0.25">
      <c r="A34" s="233"/>
      <c r="B34" s="233"/>
      <c r="C34" s="233"/>
      <c r="D34" s="233"/>
      <c r="E34" s="233"/>
      <c r="F34" s="233"/>
      <c r="G34" s="233"/>
      <c r="H34" s="233"/>
      <c r="I34" s="233"/>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3"/>
      <c r="AK34" s="233"/>
      <c r="AL34" s="233"/>
      <c r="AM34" s="233"/>
      <c r="AN34" s="233"/>
      <c r="AO34" s="233"/>
      <c r="AP34" s="233"/>
      <c r="AQ34" s="233"/>
      <c r="AR34" s="233"/>
      <c r="AS34" s="233"/>
      <c r="AT34" s="233"/>
      <c r="AU34" s="233"/>
      <c r="AV34" s="233"/>
      <c r="AW34" s="233"/>
      <c r="AX34" s="233"/>
      <c r="AY34" s="233"/>
      <c r="AZ34" s="233"/>
      <c r="BA34" s="233"/>
      <c r="BB34" s="233"/>
      <c r="BC34" s="233"/>
    </row>
    <row r="35" spans="1:55" x14ac:dyDescent="0.25">
      <c r="A35" s="233"/>
      <c r="B35" s="233"/>
      <c r="C35" s="233"/>
      <c r="D35" s="233"/>
      <c r="E35" s="233"/>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33"/>
      <c r="AL35" s="233"/>
      <c r="AM35" s="233"/>
      <c r="AN35" s="233"/>
      <c r="AO35" s="233"/>
      <c r="AP35" s="233"/>
      <c r="AQ35" s="233"/>
      <c r="AR35" s="233"/>
      <c r="AS35" s="233"/>
      <c r="AT35" s="233"/>
      <c r="AU35" s="233"/>
      <c r="AV35" s="233"/>
      <c r="AW35" s="233"/>
      <c r="AX35" s="233"/>
      <c r="AY35" s="233"/>
      <c r="AZ35" s="233"/>
      <c r="BA35" s="233"/>
      <c r="BB35" s="233"/>
      <c r="BC35" s="233"/>
    </row>
    <row r="36" spans="1:55" x14ac:dyDescent="0.25">
      <c r="A36" s="233"/>
      <c r="B36" s="233"/>
      <c r="C36" s="233"/>
      <c r="D36" s="233"/>
      <c r="E36" s="233"/>
      <c r="F36" s="233"/>
      <c r="G36" s="233"/>
      <c r="H36" s="233"/>
      <c r="I36" s="233"/>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3"/>
      <c r="AK36" s="233"/>
      <c r="AL36" s="233"/>
      <c r="AM36" s="233"/>
      <c r="AN36" s="233"/>
      <c r="AO36" s="233"/>
      <c r="AP36" s="233"/>
      <c r="AQ36" s="233"/>
      <c r="AR36" s="233"/>
      <c r="AS36" s="233"/>
      <c r="AT36" s="233"/>
      <c r="AU36" s="233"/>
      <c r="AV36" s="233"/>
      <c r="AW36" s="233"/>
      <c r="AX36" s="233"/>
      <c r="AY36" s="233"/>
      <c r="AZ36" s="233"/>
      <c r="BA36" s="233"/>
      <c r="BB36" s="233"/>
      <c r="BC36" s="233"/>
    </row>
    <row r="37" spans="1:55" x14ac:dyDescent="0.25">
      <c r="A37" s="233"/>
      <c r="B37" s="233"/>
      <c r="C37" s="233"/>
      <c r="D37" s="233"/>
      <c r="E37" s="233"/>
      <c r="F37" s="233"/>
      <c r="G37" s="233"/>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3"/>
      <c r="AK37" s="233"/>
      <c r="AL37" s="233"/>
      <c r="AM37" s="233"/>
      <c r="AN37" s="233"/>
      <c r="AO37" s="233"/>
      <c r="AP37" s="233"/>
      <c r="AQ37" s="233"/>
      <c r="AR37" s="233"/>
      <c r="AS37" s="233"/>
      <c r="AT37" s="233"/>
      <c r="AU37" s="233"/>
      <c r="AV37" s="233"/>
      <c r="AW37" s="233"/>
      <c r="AX37" s="233"/>
      <c r="AY37" s="233"/>
      <c r="AZ37" s="233"/>
      <c r="BA37" s="233"/>
      <c r="BB37" s="233"/>
      <c r="BC37" s="233"/>
    </row>
    <row r="38" spans="1:55" x14ac:dyDescent="0.25">
      <c r="A38" s="233"/>
      <c r="B38" s="233"/>
      <c r="C38" s="233"/>
      <c r="D38" s="233"/>
      <c r="E38" s="233"/>
      <c r="F38" s="233"/>
      <c r="G38" s="233"/>
      <c r="H38" s="233"/>
      <c r="I38" s="233"/>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3"/>
      <c r="AK38" s="233"/>
      <c r="AL38" s="233"/>
      <c r="AM38" s="233"/>
      <c r="AN38" s="233"/>
      <c r="AO38" s="233"/>
      <c r="AP38" s="233"/>
      <c r="AQ38" s="233"/>
      <c r="AR38" s="233"/>
      <c r="AS38" s="233"/>
      <c r="AT38" s="233"/>
      <c r="AU38" s="233"/>
      <c r="AV38" s="233"/>
      <c r="AW38" s="233"/>
      <c r="AX38" s="233"/>
      <c r="AY38" s="233"/>
      <c r="AZ38" s="233"/>
      <c r="BA38" s="233"/>
      <c r="BB38" s="233"/>
      <c r="BC38" s="233"/>
    </row>
    <row r="39" spans="1:55" x14ac:dyDescent="0.25">
      <c r="A39" s="233"/>
      <c r="B39" s="233"/>
      <c r="C39" s="233"/>
      <c r="D39" s="233"/>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33"/>
      <c r="AL39" s="233"/>
      <c r="AM39" s="233"/>
      <c r="AN39" s="233"/>
      <c r="AO39" s="233"/>
      <c r="AP39" s="233"/>
      <c r="AQ39" s="233"/>
      <c r="AR39" s="233"/>
      <c r="AS39" s="233"/>
      <c r="AT39" s="233"/>
      <c r="AU39" s="233"/>
      <c r="AV39" s="233"/>
      <c r="AW39" s="233"/>
      <c r="AX39" s="233"/>
      <c r="AY39" s="233"/>
      <c r="AZ39" s="233"/>
      <c r="BA39" s="233"/>
      <c r="BB39" s="233"/>
      <c r="BC39" s="233"/>
    </row>
    <row r="40" spans="1:55" x14ac:dyDescent="0.25">
      <c r="A40" s="233"/>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33"/>
      <c r="AL40" s="233"/>
      <c r="AM40" s="233"/>
      <c r="AN40" s="233"/>
      <c r="AO40" s="233"/>
      <c r="AP40" s="233"/>
      <c r="AQ40" s="233"/>
      <c r="AR40" s="233"/>
      <c r="AS40" s="233"/>
      <c r="AT40" s="233"/>
      <c r="AU40" s="233"/>
      <c r="AV40" s="233"/>
      <c r="AW40" s="233"/>
      <c r="AX40" s="233"/>
      <c r="AY40" s="233"/>
      <c r="AZ40" s="233"/>
      <c r="BA40" s="233"/>
      <c r="BB40" s="233"/>
      <c r="BC40" s="233"/>
    </row>
    <row r="41" spans="1:55" x14ac:dyDescent="0.25">
      <c r="A41" s="233"/>
      <c r="B41" s="233"/>
      <c r="C41" s="233"/>
      <c r="D41" s="233"/>
      <c r="E41" s="233"/>
      <c r="F41" s="233"/>
      <c r="G41" s="233"/>
      <c r="H41" s="233"/>
      <c r="I41" s="233"/>
      <c r="J41" s="233"/>
      <c r="K41" s="233"/>
      <c r="L41" s="233"/>
      <c r="M41" s="233"/>
      <c r="N41" s="233"/>
      <c r="O41" s="233"/>
      <c r="P41" s="233"/>
      <c r="Q41" s="233"/>
      <c r="R41" s="233"/>
      <c r="S41" s="233"/>
      <c r="T41" s="233"/>
      <c r="U41" s="233"/>
      <c r="V41" s="233"/>
      <c r="W41" s="233"/>
      <c r="X41" s="233"/>
      <c r="Y41" s="233"/>
      <c r="Z41" s="233"/>
      <c r="AA41" s="233"/>
      <c r="AB41" s="233"/>
      <c r="AC41" s="233"/>
      <c r="AD41" s="233"/>
      <c r="AE41" s="233"/>
      <c r="AF41" s="233"/>
      <c r="AG41" s="233"/>
      <c r="AH41" s="233"/>
      <c r="AI41" s="233"/>
      <c r="AJ41" s="233"/>
      <c r="AK41" s="233"/>
      <c r="AL41" s="233"/>
      <c r="AM41" s="233"/>
      <c r="AN41" s="233"/>
      <c r="AO41" s="233"/>
      <c r="AP41" s="233"/>
      <c r="AQ41" s="233"/>
      <c r="AR41" s="233"/>
      <c r="AS41" s="233"/>
      <c r="AT41" s="233"/>
      <c r="AU41" s="233"/>
      <c r="AV41" s="233"/>
      <c r="AW41" s="233"/>
      <c r="AX41" s="233"/>
      <c r="AY41" s="233"/>
      <c r="AZ41" s="233"/>
      <c r="BA41" s="233"/>
      <c r="BB41" s="233"/>
      <c r="BC41" s="233"/>
    </row>
    <row r="42" spans="1:55" x14ac:dyDescent="0.25">
      <c r="A42" s="233"/>
      <c r="B42" s="233"/>
      <c r="C42" s="233"/>
      <c r="D42" s="233"/>
      <c r="E42" s="233"/>
      <c r="F42" s="233"/>
      <c r="G42" s="233"/>
      <c r="H42" s="233"/>
      <c r="I42" s="233"/>
      <c r="J42" s="233"/>
      <c r="K42" s="233"/>
      <c r="L42" s="233"/>
      <c r="M42" s="233"/>
      <c r="N42" s="233"/>
      <c r="O42" s="233"/>
      <c r="P42" s="233"/>
      <c r="Q42" s="233"/>
      <c r="R42" s="233"/>
      <c r="S42" s="233"/>
      <c r="T42" s="233"/>
      <c r="U42" s="233"/>
      <c r="V42" s="233"/>
      <c r="W42" s="233"/>
      <c r="X42" s="233"/>
      <c r="Y42" s="233"/>
      <c r="Z42" s="233"/>
      <c r="AA42" s="233"/>
      <c r="AB42" s="233"/>
      <c r="AC42" s="233"/>
      <c r="AD42" s="233"/>
      <c r="AE42" s="233"/>
      <c r="AF42" s="233"/>
      <c r="AG42" s="233"/>
      <c r="AH42" s="233"/>
      <c r="AI42" s="233"/>
      <c r="AJ42" s="233"/>
      <c r="AK42" s="233"/>
      <c r="AL42" s="233"/>
      <c r="AM42" s="233"/>
      <c r="AN42" s="233"/>
      <c r="AO42" s="233"/>
      <c r="AP42" s="233"/>
      <c r="AQ42" s="233"/>
      <c r="AR42" s="233"/>
      <c r="AS42" s="233"/>
      <c r="AT42" s="233"/>
      <c r="AU42" s="233"/>
      <c r="AV42" s="233"/>
      <c r="AW42" s="233"/>
      <c r="AX42" s="233"/>
      <c r="AY42" s="233"/>
      <c r="AZ42" s="233"/>
      <c r="BA42" s="233"/>
      <c r="BB42" s="233"/>
      <c r="BC42" s="233"/>
    </row>
    <row r="43" spans="1:55" x14ac:dyDescent="0.25">
      <c r="A43" s="233"/>
      <c r="B43" s="233"/>
      <c r="C43" s="233"/>
      <c r="D43" s="233"/>
      <c r="E43" s="233"/>
      <c r="F43" s="233"/>
      <c r="G43" s="233"/>
      <c r="H43" s="233"/>
      <c r="I43" s="233"/>
      <c r="J43" s="233"/>
      <c r="K43" s="233"/>
      <c r="L43" s="233"/>
      <c r="M43" s="233"/>
      <c r="N43" s="233"/>
      <c r="O43" s="233"/>
      <c r="P43" s="233"/>
      <c r="Q43" s="233"/>
      <c r="R43" s="233"/>
      <c r="S43" s="233"/>
      <c r="T43" s="233"/>
      <c r="U43" s="233"/>
      <c r="V43" s="233"/>
      <c r="W43" s="233"/>
      <c r="X43" s="233"/>
      <c r="Y43" s="233"/>
      <c r="Z43" s="233"/>
      <c r="AA43" s="233"/>
      <c r="AB43" s="233"/>
      <c r="AC43" s="233"/>
      <c r="AD43" s="233"/>
      <c r="AE43" s="233"/>
      <c r="AF43" s="233"/>
      <c r="AG43" s="233"/>
      <c r="AH43" s="233"/>
      <c r="AI43" s="233"/>
      <c r="AJ43" s="233"/>
      <c r="AK43" s="233"/>
      <c r="AL43" s="233"/>
      <c r="AM43" s="233"/>
      <c r="AN43" s="233"/>
      <c r="AO43" s="233"/>
      <c r="AP43" s="233"/>
      <c r="AQ43" s="233"/>
      <c r="AR43" s="233"/>
      <c r="AS43" s="233"/>
      <c r="AT43" s="233"/>
      <c r="AU43" s="233"/>
      <c r="AV43" s="233"/>
      <c r="AW43" s="233"/>
      <c r="AX43" s="233"/>
      <c r="AY43" s="233"/>
      <c r="AZ43" s="233"/>
      <c r="BA43" s="233"/>
      <c r="BB43" s="233"/>
      <c r="BC43" s="233"/>
    </row>
    <row r="44" spans="1:55" x14ac:dyDescent="0.25">
      <c r="A44" s="233"/>
      <c r="B44" s="233"/>
      <c r="C44" s="233"/>
      <c r="D44" s="233"/>
      <c r="E44" s="233"/>
      <c r="F44" s="233"/>
      <c r="G44" s="233"/>
      <c r="H44" s="233"/>
      <c r="I44" s="233"/>
      <c r="J44" s="233"/>
      <c r="K44" s="233"/>
      <c r="L44" s="233"/>
      <c r="M44" s="233"/>
      <c r="N44" s="233"/>
      <c r="O44" s="233"/>
      <c r="P44" s="233"/>
      <c r="Q44" s="233"/>
      <c r="R44" s="233"/>
      <c r="S44" s="233"/>
      <c r="T44" s="233"/>
      <c r="U44" s="233"/>
      <c r="V44" s="233"/>
      <c r="W44" s="233"/>
      <c r="X44" s="233"/>
      <c r="Y44" s="233"/>
      <c r="Z44" s="233"/>
      <c r="AA44" s="233"/>
      <c r="AB44" s="233"/>
      <c r="AC44" s="233"/>
      <c r="AD44" s="233"/>
      <c r="AE44" s="233"/>
      <c r="AF44" s="233"/>
      <c r="AG44" s="233"/>
      <c r="AH44" s="233"/>
      <c r="AI44" s="233"/>
      <c r="AJ44" s="233"/>
      <c r="AK44" s="233"/>
      <c r="AL44" s="233"/>
      <c r="AM44" s="233"/>
      <c r="AN44" s="233"/>
      <c r="AO44" s="233"/>
      <c r="AP44" s="233"/>
      <c r="AQ44" s="233"/>
      <c r="AR44" s="233"/>
      <c r="AS44" s="233"/>
      <c r="AT44" s="233"/>
      <c r="AU44" s="233"/>
      <c r="AV44" s="233"/>
      <c r="AW44" s="233"/>
      <c r="AX44" s="233"/>
      <c r="AY44" s="233"/>
      <c r="AZ44" s="233"/>
      <c r="BA44" s="233"/>
      <c r="BB44" s="233"/>
      <c r="BC44" s="233"/>
    </row>
    <row r="45" spans="1:55" x14ac:dyDescent="0.25">
      <c r="A45" s="233"/>
      <c r="B45" s="233"/>
      <c r="C45" s="233"/>
      <c r="D45" s="233"/>
      <c r="E45" s="233"/>
      <c r="F45" s="233"/>
      <c r="G45" s="233"/>
      <c r="H45" s="233"/>
      <c r="I45" s="233"/>
      <c r="J45" s="233"/>
      <c r="K45" s="233"/>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233"/>
      <c r="AJ45" s="233"/>
      <c r="AK45" s="233"/>
      <c r="AL45" s="233"/>
      <c r="AM45" s="233"/>
      <c r="AN45" s="233"/>
      <c r="AO45" s="233"/>
      <c r="AP45" s="233"/>
      <c r="AQ45" s="233"/>
      <c r="AR45" s="233"/>
      <c r="AS45" s="233"/>
      <c r="AT45" s="233"/>
      <c r="AU45" s="233"/>
      <c r="AV45" s="233"/>
      <c r="AW45" s="233"/>
      <c r="AX45" s="233"/>
      <c r="AY45" s="233"/>
      <c r="AZ45" s="233"/>
      <c r="BA45" s="233"/>
      <c r="BB45" s="233"/>
      <c r="BC45" s="233"/>
    </row>
    <row r="46" spans="1:55" x14ac:dyDescent="0.25">
      <c r="A46" s="233"/>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3"/>
      <c r="AL46" s="233"/>
      <c r="AM46" s="233"/>
      <c r="AN46" s="233"/>
      <c r="AO46" s="233"/>
      <c r="AP46" s="233"/>
      <c r="AQ46" s="233"/>
      <c r="AR46" s="233"/>
      <c r="AS46" s="233"/>
      <c r="AT46" s="233"/>
      <c r="AU46" s="233"/>
      <c r="AV46" s="233"/>
      <c r="AW46" s="233"/>
      <c r="AX46" s="233"/>
      <c r="AY46" s="233"/>
      <c r="AZ46" s="233"/>
      <c r="BA46" s="233"/>
      <c r="BB46" s="233"/>
      <c r="BC46" s="233"/>
    </row>
    <row r="47" spans="1:55" x14ac:dyDescent="0.25">
      <c r="A47" s="233"/>
      <c r="B47" s="233"/>
      <c r="C47" s="233"/>
      <c r="D47" s="233"/>
      <c r="E47" s="233"/>
      <c r="F47" s="233"/>
      <c r="G47" s="233"/>
      <c r="H47" s="233"/>
      <c r="I47" s="233"/>
      <c r="J47" s="233"/>
      <c r="K47" s="233"/>
      <c r="L47" s="233"/>
      <c r="M47" s="233"/>
      <c r="N47" s="233"/>
      <c r="O47" s="233"/>
      <c r="P47" s="233"/>
      <c r="Q47" s="233"/>
      <c r="R47" s="233"/>
      <c r="S47" s="233"/>
      <c r="T47" s="233"/>
      <c r="U47" s="233"/>
      <c r="V47" s="233"/>
      <c r="W47" s="233"/>
      <c r="X47" s="233"/>
      <c r="Y47" s="233"/>
      <c r="Z47" s="233"/>
      <c r="AA47" s="233"/>
      <c r="AB47" s="233"/>
      <c r="AC47" s="233"/>
      <c r="AD47" s="233"/>
      <c r="AE47" s="233"/>
      <c r="AF47" s="233"/>
      <c r="AG47" s="233"/>
      <c r="AH47" s="233"/>
      <c r="AI47" s="233"/>
      <c r="AJ47" s="233"/>
      <c r="AK47" s="233"/>
      <c r="AL47" s="233"/>
      <c r="AM47" s="233"/>
      <c r="AN47" s="233"/>
      <c r="AO47" s="233"/>
      <c r="AP47" s="233"/>
      <c r="AQ47" s="233"/>
      <c r="AR47" s="233"/>
      <c r="AS47" s="233"/>
      <c r="AT47" s="233"/>
      <c r="AU47" s="233"/>
      <c r="AV47" s="233"/>
      <c r="AW47" s="233"/>
      <c r="AX47" s="233"/>
      <c r="AY47" s="233"/>
      <c r="AZ47" s="233"/>
      <c r="BA47" s="233"/>
      <c r="BB47" s="233"/>
      <c r="BC47" s="233"/>
    </row>
    <row r="48" spans="1:55" x14ac:dyDescent="0.25">
      <c r="A48" s="233"/>
      <c r="B48" s="233"/>
      <c r="C48" s="233"/>
      <c r="D48" s="233"/>
      <c r="E48" s="233"/>
      <c r="F48" s="233"/>
      <c r="G48" s="233"/>
      <c r="H48" s="233"/>
      <c r="I48" s="233"/>
      <c r="J48" s="233"/>
      <c r="K48" s="233"/>
      <c r="L48" s="233"/>
      <c r="M48" s="233"/>
      <c r="N48" s="233"/>
      <c r="O48" s="233"/>
      <c r="P48" s="233"/>
      <c r="Q48" s="233"/>
      <c r="R48" s="233"/>
      <c r="S48" s="233"/>
      <c r="T48" s="233"/>
      <c r="U48" s="233"/>
      <c r="V48" s="233"/>
      <c r="W48" s="233"/>
      <c r="X48" s="233"/>
      <c r="Y48" s="233"/>
      <c r="Z48" s="233"/>
      <c r="AA48" s="233"/>
      <c r="AB48" s="233"/>
      <c r="AC48" s="233"/>
      <c r="AD48" s="233"/>
      <c r="AE48" s="233"/>
      <c r="AF48" s="233"/>
      <c r="AG48" s="233"/>
      <c r="AH48" s="233"/>
      <c r="AI48" s="233"/>
      <c r="AJ48" s="233"/>
      <c r="AK48" s="233"/>
      <c r="AL48" s="233"/>
      <c r="AM48" s="233"/>
      <c r="AN48" s="233"/>
      <c r="AO48" s="233"/>
      <c r="AP48" s="233"/>
      <c r="AQ48" s="233"/>
      <c r="AR48" s="233"/>
      <c r="AS48" s="233"/>
      <c r="AT48" s="233"/>
      <c r="AU48" s="233"/>
      <c r="AV48" s="233"/>
      <c r="AW48" s="233"/>
      <c r="AX48" s="233"/>
      <c r="AY48" s="233"/>
      <c r="AZ48" s="233"/>
      <c r="BA48" s="233"/>
      <c r="BB48" s="233"/>
      <c r="BC48" s="233"/>
    </row>
    <row r="49" spans="1:55" x14ac:dyDescent="0.25">
      <c r="A49" s="233"/>
      <c r="B49" s="233"/>
      <c r="C49" s="233"/>
      <c r="D49" s="233"/>
      <c r="E49" s="233"/>
      <c r="F49" s="233"/>
      <c r="G49" s="233"/>
      <c r="H49" s="233"/>
      <c r="I49" s="233"/>
      <c r="J49" s="233"/>
      <c r="K49" s="233"/>
      <c r="L49" s="233"/>
      <c r="M49" s="233"/>
      <c r="N49" s="233"/>
      <c r="O49" s="233"/>
      <c r="P49" s="233"/>
      <c r="Q49" s="233"/>
      <c r="R49" s="233"/>
      <c r="S49" s="233"/>
      <c r="T49" s="233"/>
      <c r="U49" s="233"/>
      <c r="V49" s="233"/>
      <c r="W49" s="233"/>
      <c r="X49" s="233"/>
      <c r="Y49" s="233"/>
      <c r="Z49" s="233"/>
      <c r="AA49" s="233"/>
      <c r="AB49" s="233"/>
      <c r="AC49" s="233"/>
      <c r="AD49" s="233"/>
      <c r="AE49" s="233"/>
      <c r="AF49" s="233"/>
      <c r="AG49" s="233"/>
      <c r="AH49" s="233"/>
      <c r="AI49" s="233"/>
      <c r="AJ49" s="233"/>
      <c r="AK49" s="233"/>
      <c r="AL49" s="233"/>
      <c r="AM49" s="233"/>
      <c r="AN49" s="233"/>
      <c r="AO49" s="233"/>
      <c r="AP49" s="233"/>
      <c r="AQ49" s="233"/>
      <c r="AR49" s="233"/>
      <c r="AS49" s="233"/>
      <c r="AT49" s="233"/>
      <c r="AU49" s="233"/>
      <c r="AV49" s="233"/>
      <c r="AW49" s="233"/>
      <c r="AX49" s="233"/>
      <c r="AY49" s="233"/>
      <c r="AZ49" s="233"/>
      <c r="BA49" s="233"/>
      <c r="BB49" s="233"/>
      <c r="BC49" s="233"/>
    </row>
    <row r="50" spans="1:55" x14ac:dyDescent="0.25">
      <c r="A50" s="233"/>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33"/>
      <c r="AL50" s="233"/>
      <c r="AM50" s="233"/>
      <c r="AN50" s="233"/>
      <c r="AO50" s="233"/>
      <c r="AP50" s="233"/>
      <c r="AQ50" s="233"/>
      <c r="AR50" s="233"/>
      <c r="AS50" s="233"/>
      <c r="AT50" s="233"/>
      <c r="AU50" s="233"/>
      <c r="AV50" s="233"/>
      <c r="AW50" s="233"/>
      <c r="AX50" s="233"/>
      <c r="AY50" s="233"/>
      <c r="AZ50" s="233"/>
      <c r="BA50" s="233"/>
      <c r="BB50" s="233"/>
      <c r="BC50" s="233"/>
    </row>
    <row r="51" spans="1:55" x14ac:dyDescent="0.25">
      <c r="A51" s="233"/>
      <c r="B51" s="233"/>
      <c r="C51" s="233"/>
      <c r="D51" s="233"/>
      <c r="E51" s="233"/>
      <c r="F51" s="233"/>
      <c r="G51" s="233"/>
      <c r="H51" s="233"/>
      <c r="I51" s="233"/>
      <c r="J51" s="233"/>
      <c r="K51" s="233"/>
      <c r="L51" s="233"/>
      <c r="M51" s="233"/>
      <c r="N51" s="233"/>
      <c r="O51" s="233"/>
      <c r="P51" s="233"/>
      <c r="Q51" s="233"/>
      <c r="R51" s="233"/>
      <c r="S51" s="233"/>
      <c r="T51" s="233"/>
      <c r="U51" s="233"/>
      <c r="V51" s="233"/>
      <c r="W51" s="233"/>
      <c r="X51" s="233"/>
      <c r="Y51" s="233"/>
      <c r="Z51" s="233"/>
      <c r="AA51" s="233"/>
      <c r="AB51" s="233"/>
      <c r="AC51" s="233"/>
      <c r="AD51" s="233"/>
      <c r="AE51" s="233"/>
      <c r="AF51" s="233"/>
      <c r="AG51" s="233"/>
      <c r="AH51" s="233"/>
      <c r="AI51" s="233"/>
      <c r="AJ51" s="233"/>
      <c r="AK51" s="233"/>
      <c r="AL51" s="233"/>
      <c r="AM51" s="233"/>
      <c r="AN51" s="233"/>
      <c r="AO51" s="233"/>
      <c r="AP51" s="233"/>
      <c r="AQ51" s="233"/>
      <c r="AR51" s="233"/>
      <c r="AS51" s="233"/>
      <c r="AT51" s="233"/>
      <c r="AU51" s="233"/>
      <c r="AV51" s="233"/>
      <c r="AW51" s="233"/>
      <c r="AX51" s="233"/>
      <c r="AY51" s="233"/>
      <c r="AZ51" s="233"/>
      <c r="BA51" s="233"/>
      <c r="BB51" s="233"/>
      <c r="BC51" s="233"/>
    </row>
    <row r="52" spans="1:55" x14ac:dyDescent="0.25">
      <c r="A52" s="233"/>
      <c r="B52" s="233"/>
      <c r="C52" s="233"/>
      <c r="D52" s="233"/>
      <c r="E52" s="233"/>
      <c r="F52" s="233"/>
      <c r="G52" s="233"/>
      <c r="H52" s="233"/>
      <c r="I52" s="233"/>
      <c r="J52" s="233"/>
      <c r="K52" s="233"/>
      <c r="L52" s="233"/>
      <c r="M52" s="233"/>
      <c r="N52" s="233"/>
      <c r="O52" s="233"/>
      <c r="P52" s="233"/>
      <c r="Q52" s="233"/>
      <c r="R52" s="233"/>
      <c r="S52" s="233"/>
      <c r="T52" s="233"/>
      <c r="U52" s="233"/>
      <c r="V52" s="233"/>
      <c r="W52" s="233"/>
      <c r="X52" s="233"/>
      <c r="Y52" s="233"/>
      <c r="Z52" s="233"/>
      <c r="AA52" s="233"/>
      <c r="AB52" s="233"/>
      <c r="AC52" s="233"/>
      <c r="AD52" s="233"/>
      <c r="AE52" s="233"/>
      <c r="AF52" s="233"/>
      <c r="AG52" s="233"/>
      <c r="AH52" s="233"/>
      <c r="AI52" s="233"/>
      <c r="AJ52" s="233"/>
      <c r="AK52" s="233"/>
      <c r="AL52" s="233"/>
      <c r="AM52" s="233"/>
      <c r="AN52" s="233"/>
      <c r="AO52" s="233"/>
      <c r="AP52" s="233"/>
      <c r="AQ52" s="233"/>
      <c r="AR52" s="233"/>
      <c r="AS52" s="233"/>
      <c r="AT52" s="233"/>
      <c r="AU52" s="233"/>
      <c r="AV52" s="233"/>
      <c r="AW52" s="233"/>
      <c r="AX52" s="233"/>
      <c r="AY52" s="233"/>
      <c r="AZ52" s="233"/>
      <c r="BA52" s="233"/>
      <c r="BB52" s="233"/>
      <c r="BC52" s="233"/>
    </row>
    <row r="53" spans="1:55" x14ac:dyDescent="0.25">
      <c r="A53" s="233"/>
      <c r="B53" s="233"/>
      <c r="C53" s="233"/>
      <c r="D53" s="233"/>
      <c r="E53" s="233"/>
      <c r="F53" s="233"/>
      <c r="G53" s="233"/>
      <c r="H53" s="233"/>
      <c r="I53" s="233"/>
      <c r="J53" s="233"/>
      <c r="K53" s="233"/>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3"/>
      <c r="AI53" s="233"/>
      <c r="AJ53" s="233"/>
      <c r="AK53" s="233"/>
      <c r="AL53" s="233"/>
      <c r="AM53" s="233"/>
      <c r="AN53" s="233"/>
      <c r="AO53" s="233"/>
      <c r="AP53" s="233"/>
      <c r="AQ53" s="233"/>
      <c r="AR53" s="233"/>
      <c r="AS53" s="233"/>
      <c r="AT53" s="233"/>
      <c r="AU53" s="233"/>
      <c r="AV53" s="233"/>
      <c r="AW53" s="233"/>
      <c r="AX53" s="233"/>
      <c r="AY53" s="233"/>
      <c r="AZ53" s="233"/>
      <c r="BA53" s="233"/>
      <c r="BB53" s="233"/>
      <c r="BC53" s="233"/>
    </row>
    <row r="54" spans="1:55" x14ac:dyDescent="0.25">
      <c r="A54" s="233"/>
      <c r="B54" s="233"/>
      <c r="C54" s="233"/>
      <c r="D54" s="233"/>
      <c r="E54" s="233"/>
      <c r="F54" s="233"/>
      <c r="G54" s="233"/>
      <c r="H54" s="233"/>
      <c r="I54" s="233"/>
      <c r="J54" s="233"/>
      <c r="K54" s="233"/>
      <c r="L54" s="233"/>
      <c r="M54" s="233"/>
      <c r="N54" s="233"/>
      <c r="O54" s="233"/>
      <c r="P54" s="233"/>
      <c r="Q54" s="233"/>
      <c r="R54" s="233"/>
      <c r="S54" s="233"/>
      <c r="T54" s="233"/>
      <c r="U54" s="233"/>
      <c r="V54" s="233"/>
      <c r="W54" s="233"/>
      <c r="X54" s="233"/>
      <c r="Y54" s="233"/>
      <c r="Z54" s="233"/>
      <c r="AA54" s="233"/>
      <c r="AB54" s="233"/>
      <c r="AC54" s="233"/>
      <c r="AD54" s="233"/>
      <c r="AE54" s="233"/>
      <c r="AF54" s="233"/>
      <c r="AG54" s="233"/>
      <c r="AH54" s="233"/>
      <c r="AI54" s="233"/>
      <c r="AJ54" s="233"/>
      <c r="AK54" s="233"/>
      <c r="AL54" s="233"/>
      <c r="AM54" s="233"/>
      <c r="AN54" s="233"/>
      <c r="AO54" s="233"/>
      <c r="AP54" s="233"/>
      <c r="AQ54" s="233"/>
      <c r="AR54" s="233"/>
      <c r="AS54" s="233"/>
      <c r="AT54" s="233"/>
      <c r="AU54" s="233"/>
      <c r="AV54" s="233"/>
      <c r="AW54" s="233"/>
      <c r="AX54" s="233"/>
      <c r="AY54" s="233"/>
      <c r="AZ54" s="233"/>
      <c r="BA54" s="233"/>
      <c r="BB54" s="233"/>
      <c r="BC54" s="233"/>
    </row>
    <row r="55" spans="1:55" x14ac:dyDescent="0.25">
      <c r="A55" s="233"/>
      <c r="B55" s="233"/>
      <c r="C55" s="233"/>
      <c r="D55" s="233"/>
      <c r="E55" s="233"/>
      <c r="F55" s="233"/>
      <c r="G55" s="233"/>
      <c r="H55" s="233"/>
      <c r="I55" s="233"/>
      <c r="J55" s="233"/>
      <c r="K55" s="233"/>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233"/>
      <c r="AI55" s="233"/>
      <c r="AJ55" s="233"/>
      <c r="AK55" s="233"/>
      <c r="AL55" s="233"/>
      <c r="AM55" s="233"/>
      <c r="AN55" s="233"/>
      <c r="AO55" s="233"/>
      <c r="AP55" s="233"/>
      <c r="AQ55" s="233"/>
      <c r="AR55" s="233"/>
      <c r="AS55" s="233"/>
      <c r="AT55" s="233"/>
      <c r="AU55" s="233"/>
      <c r="AV55" s="233"/>
      <c r="AW55" s="233"/>
      <c r="AX55" s="233"/>
      <c r="AY55" s="233"/>
      <c r="AZ55" s="233"/>
      <c r="BA55" s="233"/>
      <c r="BB55" s="233"/>
      <c r="BC55" s="233"/>
    </row>
    <row r="56" spans="1:55" x14ac:dyDescent="0.25">
      <c r="A56" s="233"/>
      <c r="B56" s="233"/>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233"/>
      <c r="AK56" s="233"/>
      <c r="AL56" s="233"/>
      <c r="AM56" s="233"/>
      <c r="AN56" s="233"/>
      <c r="AO56" s="233"/>
      <c r="AP56" s="233"/>
      <c r="AQ56" s="233"/>
      <c r="AR56" s="233"/>
      <c r="AS56" s="233"/>
      <c r="AT56" s="233"/>
      <c r="AU56" s="233"/>
      <c r="AV56" s="233"/>
      <c r="AW56" s="233"/>
      <c r="AX56" s="233"/>
      <c r="AY56" s="233"/>
      <c r="AZ56" s="233"/>
      <c r="BA56" s="233"/>
      <c r="BB56" s="233"/>
      <c r="BC56" s="233"/>
    </row>
    <row r="57" spans="1:55" x14ac:dyDescent="0.25">
      <c r="A57" s="233"/>
      <c r="B57" s="233"/>
      <c r="C57" s="233"/>
      <c r="D57" s="233"/>
      <c r="E57" s="233"/>
      <c r="F57" s="233"/>
      <c r="G57" s="233"/>
      <c r="H57" s="233"/>
      <c r="I57" s="233"/>
      <c r="J57" s="233"/>
      <c r="K57" s="233"/>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3"/>
      <c r="AI57" s="233"/>
      <c r="AJ57" s="233"/>
      <c r="AK57" s="233"/>
      <c r="AL57" s="233"/>
      <c r="AM57" s="233"/>
      <c r="AN57" s="233"/>
      <c r="AO57" s="233"/>
      <c r="AP57" s="233"/>
      <c r="AQ57" s="233"/>
      <c r="AR57" s="233"/>
      <c r="AS57" s="233"/>
      <c r="AT57" s="233"/>
      <c r="AU57" s="233"/>
      <c r="AV57" s="233"/>
      <c r="AW57" s="233"/>
      <c r="AX57" s="233"/>
      <c r="AY57" s="233"/>
      <c r="AZ57" s="233"/>
      <c r="BA57" s="233"/>
      <c r="BB57" s="233"/>
      <c r="BC57" s="233"/>
    </row>
    <row r="58" spans="1:55" x14ac:dyDescent="0.25">
      <c r="A58" s="233"/>
      <c r="B58" s="233"/>
      <c r="C58" s="233"/>
      <c r="D58" s="233"/>
      <c r="E58" s="233"/>
      <c r="F58" s="233"/>
      <c r="G58" s="233"/>
      <c r="H58" s="233"/>
      <c r="I58" s="233"/>
      <c r="J58" s="233"/>
      <c r="K58" s="233"/>
      <c r="L58" s="233"/>
      <c r="M58" s="233"/>
      <c r="N58" s="233"/>
      <c r="O58" s="233"/>
      <c r="P58" s="233"/>
      <c r="Q58" s="233"/>
      <c r="R58" s="233"/>
      <c r="S58" s="233"/>
      <c r="T58" s="233"/>
      <c r="U58" s="233"/>
      <c r="V58" s="233"/>
      <c r="W58" s="233"/>
      <c r="X58" s="233"/>
      <c r="Y58" s="233"/>
      <c r="Z58" s="233"/>
      <c r="AA58" s="233"/>
      <c r="AB58" s="233"/>
      <c r="AC58" s="233"/>
      <c r="AD58" s="233"/>
      <c r="AE58" s="233"/>
      <c r="AF58" s="233"/>
      <c r="AG58" s="233"/>
      <c r="AH58" s="233"/>
      <c r="AI58" s="233"/>
      <c r="AJ58" s="233"/>
      <c r="AK58" s="233"/>
      <c r="AL58" s="233"/>
      <c r="AM58" s="233"/>
      <c r="AN58" s="233"/>
      <c r="AO58" s="233"/>
      <c r="AP58" s="233"/>
      <c r="AQ58" s="233"/>
      <c r="AR58" s="233"/>
      <c r="AS58" s="233"/>
      <c r="AT58" s="233"/>
      <c r="AU58" s="233"/>
      <c r="AV58" s="233"/>
      <c r="AW58" s="233"/>
      <c r="AX58" s="233"/>
      <c r="AY58" s="233"/>
      <c r="AZ58" s="233"/>
      <c r="BA58" s="233"/>
      <c r="BB58" s="233"/>
      <c r="BC58" s="233"/>
    </row>
    <row r="59" spans="1:55" x14ac:dyDescent="0.25">
      <c r="A59" s="233"/>
      <c r="B59" s="233"/>
      <c r="C59" s="233"/>
      <c r="D59" s="233"/>
      <c r="E59" s="233"/>
      <c r="F59" s="233"/>
      <c r="G59" s="233"/>
      <c r="H59" s="233"/>
      <c r="I59" s="233"/>
      <c r="J59" s="233"/>
      <c r="K59" s="233"/>
      <c r="L59" s="233"/>
      <c r="M59" s="233"/>
      <c r="N59" s="233"/>
      <c r="O59" s="233"/>
    </row>
    <row r="60" spans="1:55" x14ac:dyDescent="0.25">
      <c r="A60" s="233"/>
    </row>
    <row r="61" spans="1:55" x14ac:dyDescent="0.25">
      <c r="A61" s="233"/>
    </row>
    <row r="62" spans="1:55" x14ac:dyDescent="0.25">
      <c r="A62" s="233"/>
    </row>
    <row r="63" spans="1:55" x14ac:dyDescent="0.25">
      <c r="A63" s="233"/>
    </row>
    <row r="64" spans="1:55" x14ac:dyDescent="0.25">
      <c r="A64" s="233"/>
    </row>
    <row r="65" spans="1:1" x14ac:dyDescent="0.25">
      <c r="A65" s="233"/>
    </row>
    <row r="66" spans="1:1" x14ac:dyDescent="0.25">
      <c r="A66" s="233"/>
    </row>
    <row r="67" spans="1:1" x14ac:dyDescent="0.25">
      <c r="A67" s="233"/>
    </row>
    <row r="68" spans="1:1" x14ac:dyDescent="0.25">
      <c r="A68" s="233"/>
    </row>
  </sheetData>
  <sheetProtection algorithmName="SHA-512" hashValue="ndxWGlnHqm6ByHuWRwVXUY1NrTp/pGwK1eNbKixTncpB3WamA1SRXF/GYPP8X9aBgclQT6cTH+Kf3Njb7h/1+g==" saltValue="nlYTQB3CeJ8M1IgIxFZA2Q==" spinCount="100000" sheet="1" objects="1" scenarios="1"/>
  <mergeCells count="4">
    <mergeCell ref="D4:D14"/>
    <mergeCell ref="C18:N18"/>
    <mergeCell ref="B1:O1"/>
    <mergeCell ref="C16:D1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58"/>
  <sheetViews>
    <sheetView tabSelected="1" zoomScale="80" zoomScaleNormal="80" workbookViewId="0">
      <selection activeCell="L7" sqref="L7"/>
    </sheetView>
  </sheetViews>
  <sheetFormatPr defaultRowHeight="15.75" x14ac:dyDescent="0.25"/>
  <cols>
    <col min="2" max="2" width="46.875" customWidth="1"/>
    <col min="3" max="3" width="29.375" customWidth="1"/>
    <col min="4" max="5" width="4.5" customWidth="1"/>
    <col min="6" max="7" width="4.125" customWidth="1"/>
    <col min="8" max="9" width="4.625" customWidth="1"/>
    <col min="10" max="10" width="9.375" customWidth="1"/>
    <col min="11" max="11" width="12.375" customWidth="1"/>
    <col min="13" max="13" width="20.125" customWidth="1"/>
  </cols>
  <sheetData>
    <row r="1" spans="1:13" ht="29.45" customHeight="1" x14ac:dyDescent="0.25">
      <c r="A1" s="174"/>
      <c r="B1" s="267" t="s">
        <v>243</v>
      </c>
      <c r="C1" s="267"/>
      <c r="D1" s="267"/>
      <c r="E1" s="267"/>
      <c r="F1" s="267"/>
      <c r="G1" s="267"/>
      <c r="H1" s="267"/>
      <c r="I1" s="267"/>
      <c r="J1" s="267"/>
      <c r="K1" s="267"/>
      <c r="M1" t="s">
        <v>165</v>
      </c>
    </row>
    <row r="2" spans="1:13" ht="79.900000000000006" customHeight="1" x14ac:dyDescent="0.25">
      <c r="A2" s="175"/>
      <c r="B2" s="64" t="s">
        <v>73</v>
      </c>
      <c r="C2" s="64" t="s">
        <v>74</v>
      </c>
      <c r="D2" s="65" t="s">
        <v>110</v>
      </c>
      <c r="E2" s="66" t="s">
        <v>117</v>
      </c>
      <c r="F2" s="11" t="s">
        <v>111</v>
      </c>
      <c r="G2" s="67" t="s">
        <v>117</v>
      </c>
      <c r="H2" s="68" t="s">
        <v>173</v>
      </c>
      <c r="I2" s="69" t="s">
        <v>117</v>
      </c>
      <c r="J2" s="268" t="s">
        <v>310</v>
      </c>
      <c r="K2" s="269"/>
    </row>
    <row r="3" spans="1:13" ht="51" x14ac:dyDescent="0.25">
      <c r="A3" s="228">
        <v>1</v>
      </c>
      <c r="B3" s="227" t="s">
        <v>301</v>
      </c>
      <c r="C3" s="226" t="s">
        <v>300</v>
      </c>
      <c r="D3" s="61">
        <v>10</v>
      </c>
      <c r="E3" s="61" t="s">
        <v>118</v>
      </c>
      <c r="F3" s="62">
        <v>10</v>
      </c>
      <c r="G3" s="62" t="s">
        <v>118</v>
      </c>
      <c r="H3" s="63">
        <v>10</v>
      </c>
      <c r="I3" s="63" t="s">
        <v>119</v>
      </c>
      <c r="J3" s="70">
        <f>(D3+F3+H3)/3</f>
        <v>10</v>
      </c>
      <c r="K3" s="128" t="str">
        <f>IF(J3&gt;=9,"Very High",IF(J3&gt;=6,"High Risk",IF(J3&gt;=3,"Medium Risk",IF(J3&gt;=1,"Low Risk","No Risk"))))</f>
        <v>Very High</v>
      </c>
    </row>
    <row r="4" spans="1:13" x14ac:dyDescent="0.25">
      <c r="A4" s="228">
        <v>2</v>
      </c>
      <c r="B4" s="227" t="s">
        <v>76</v>
      </c>
      <c r="C4" s="226" t="s">
        <v>125</v>
      </c>
      <c r="D4" s="61">
        <v>6</v>
      </c>
      <c r="E4" s="61" t="s">
        <v>119</v>
      </c>
      <c r="F4" s="62">
        <v>8</v>
      </c>
      <c r="G4" s="62" t="s">
        <v>119</v>
      </c>
      <c r="H4" s="63">
        <v>9</v>
      </c>
      <c r="I4" s="63" t="s">
        <v>120</v>
      </c>
      <c r="J4" s="70">
        <f t="shared" ref="J4:J13" si="0">(D4+F4+H4)/3</f>
        <v>7.666666666666667</v>
      </c>
      <c r="K4" s="172" t="str">
        <f>IF(J4&gt;=9,"Very High",IF(J4&gt;=6,"High Risk",IF(J4&gt;=3,"Medium Risk",IF(J4&gt;=1,"Low Risk","No Risk"))))</f>
        <v>High Risk</v>
      </c>
    </row>
    <row r="5" spans="1:13" ht="25.5" x14ac:dyDescent="0.25">
      <c r="A5" s="228">
        <v>3</v>
      </c>
      <c r="B5" s="227" t="s">
        <v>77</v>
      </c>
      <c r="C5" s="226" t="s">
        <v>78</v>
      </c>
      <c r="D5" s="61">
        <v>2</v>
      </c>
      <c r="E5" s="61" t="s">
        <v>119</v>
      </c>
      <c r="F5" s="62">
        <v>2</v>
      </c>
      <c r="G5" s="62" t="s">
        <v>119</v>
      </c>
      <c r="H5" s="63">
        <v>8</v>
      </c>
      <c r="I5" s="63" t="s">
        <v>119</v>
      </c>
      <c r="J5" s="70">
        <f t="shared" si="0"/>
        <v>4</v>
      </c>
      <c r="K5" s="172" t="str">
        <f>IF(J5&gt;=9,"Very High",IF(J5&gt;=6,"High Risk",IF(J5&gt;=3,"Medium Risk",IF(J5&gt;=1,"Low Risk","No Risk"))))</f>
        <v>Medium Risk</v>
      </c>
    </row>
    <row r="6" spans="1:13" ht="25.5" x14ac:dyDescent="0.25">
      <c r="A6" s="228">
        <v>4</v>
      </c>
      <c r="B6" s="227" t="s">
        <v>299</v>
      </c>
      <c r="C6" s="226" t="s">
        <v>298</v>
      </c>
      <c r="D6" s="61">
        <v>1</v>
      </c>
      <c r="E6" s="61" t="s">
        <v>119</v>
      </c>
      <c r="F6" s="62">
        <v>2</v>
      </c>
      <c r="G6" s="62" t="s">
        <v>119</v>
      </c>
      <c r="H6" s="63">
        <v>1</v>
      </c>
      <c r="I6" s="63" t="s">
        <v>297</v>
      </c>
      <c r="J6" s="70">
        <f t="shared" si="0"/>
        <v>1.3333333333333333</v>
      </c>
      <c r="K6" s="172" t="str">
        <f>IF(J6&gt;=9,"Very High",IF(J6&gt;=6,"High Risk",IF(J6&gt;=3,"Medium Risk",IF(J6&gt;=1,"Low Risk","No Risk"))))</f>
        <v>Low Risk</v>
      </c>
    </row>
    <row r="7" spans="1:13" ht="25.5" x14ac:dyDescent="0.25">
      <c r="A7" s="228">
        <v>5</v>
      </c>
      <c r="B7" s="227" t="s">
        <v>80</v>
      </c>
      <c r="C7" s="226" t="s">
        <v>81</v>
      </c>
      <c r="D7" s="61">
        <v>3</v>
      </c>
      <c r="E7" s="61" t="s">
        <v>119</v>
      </c>
      <c r="F7" s="62">
        <v>7</v>
      </c>
      <c r="G7" s="62" t="s">
        <v>120</v>
      </c>
      <c r="H7" s="63">
        <v>5</v>
      </c>
      <c r="I7" s="63" t="s">
        <v>119</v>
      </c>
      <c r="J7" s="70">
        <f t="shared" si="0"/>
        <v>5</v>
      </c>
      <c r="K7" s="172" t="str">
        <f t="shared" ref="K7:K10" si="1">IF(J7&gt;=9,"Very High",IF(J7&gt;=6,"High Risk",IF(J7&gt;=3,"Medium Risk",IF(J7&gt;=1,"Low Risk","No Risk"))))</f>
        <v>Medium Risk</v>
      </c>
    </row>
    <row r="8" spans="1:13" x14ac:dyDescent="0.25">
      <c r="A8" s="228">
        <v>6</v>
      </c>
      <c r="B8" s="227" t="s">
        <v>82</v>
      </c>
      <c r="C8" s="226" t="s">
        <v>302</v>
      </c>
      <c r="D8" s="61">
        <v>3</v>
      </c>
      <c r="E8" s="61" t="s">
        <v>118</v>
      </c>
      <c r="F8" s="62">
        <v>8</v>
      </c>
      <c r="G8" s="62" t="s">
        <v>119</v>
      </c>
      <c r="H8" s="63">
        <v>0</v>
      </c>
      <c r="I8" s="63" t="s">
        <v>119</v>
      </c>
      <c r="J8" s="70">
        <f t="shared" si="0"/>
        <v>3.6666666666666665</v>
      </c>
      <c r="K8" s="172" t="str">
        <f t="shared" si="1"/>
        <v>Medium Risk</v>
      </c>
    </row>
    <row r="9" spans="1:13" ht="25.5" x14ac:dyDescent="0.25">
      <c r="A9" s="228">
        <v>7</v>
      </c>
      <c r="B9" s="227" t="s">
        <v>304</v>
      </c>
      <c r="C9" s="226" t="s">
        <v>306</v>
      </c>
      <c r="D9" s="61">
        <v>3</v>
      </c>
      <c r="E9" s="61" t="s">
        <v>119</v>
      </c>
      <c r="F9" s="62">
        <v>3</v>
      </c>
      <c r="G9" s="62" t="s">
        <v>119</v>
      </c>
      <c r="H9" s="63">
        <v>2</v>
      </c>
      <c r="I9" s="63" t="s">
        <v>119</v>
      </c>
      <c r="J9" s="70">
        <f t="shared" si="0"/>
        <v>2.6666666666666665</v>
      </c>
      <c r="K9" s="172" t="str">
        <f t="shared" si="1"/>
        <v>Low Risk</v>
      </c>
    </row>
    <row r="10" spans="1:13" ht="25.5" x14ac:dyDescent="0.25">
      <c r="A10" s="228">
        <v>8</v>
      </c>
      <c r="B10" s="227" t="s">
        <v>303</v>
      </c>
      <c r="C10" s="226" t="s">
        <v>114</v>
      </c>
      <c r="D10" s="61">
        <v>6</v>
      </c>
      <c r="E10" s="61" t="s">
        <v>119</v>
      </c>
      <c r="F10" s="62">
        <v>8</v>
      </c>
      <c r="G10" s="62" t="s">
        <v>119</v>
      </c>
      <c r="H10" s="63">
        <v>8</v>
      </c>
      <c r="I10" s="63" t="s">
        <v>119</v>
      </c>
      <c r="J10" s="70">
        <f t="shared" si="0"/>
        <v>7.333333333333333</v>
      </c>
      <c r="K10" s="172" t="str">
        <f t="shared" si="1"/>
        <v>High Risk</v>
      </c>
    </row>
    <row r="11" spans="1:13" x14ac:dyDescent="0.25">
      <c r="A11" s="228">
        <v>9</v>
      </c>
      <c r="B11" s="227" t="s">
        <v>256</v>
      </c>
      <c r="C11" s="226" t="s">
        <v>86</v>
      </c>
      <c r="D11" s="61">
        <v>4</v>
      </c>
      <c r="E11" s="61" t="s">
        <v>118</v>
      </c>
      <c r="F11" s="62">
        <v>4</v>
      </c>
      <c r="G11" s="62" t="s">
        <v>118</v>
      </c>
      <c r="H11" s="63">
        <v>8</v>
      </c>
      <c r="I11" s="63" t="s">
        <v>120</v>
      </c>
      <c r="J11" s="70">
        <f t="shared" si="0"/>
        <v>5.333333333333333</v>
      </c>
      <c r="K11" s="172" t="str">
        <f>IF(J11&gt;=9,"Very High",IF(J11&gt;=6,"High Risk",IF(J11&gt;=3,"Medium Risk",IF(J11&gt;=1,"Low Risk","No Risk"))))</f>
        <v>Medium Risk</v>
      </c>
    </row>
    <row r="12" spans="1:13" ht="28.9" customHeight="1" x14ac:dyDescent="0.25">
      <c r="A12" s="228">
        <v>10</v>
      </c>
      <c r="B12" s="227" t="s">
        <v>305</v>
      </c>
      <c r="C12" s="226" t="s">
        <v>130</v>
      </c>
      <c r="D12" s="61">
        <v>1</v>
      </c>
      <c r="E12" s="61" t="s">
        <v>118</v>
      </c>
      <c r="F12" s="62">
        <v>1</v>
      </c>
      <c r="G12" s="62" t="s">
        <v>119</v>
      </c>
      <c r="H12" s="63">
        <v>0</v>
      </c>
      <c r="I12" s="63" t="s">
        <v>119</v>
      </c>
      <c r="J12" s="70">
        <f t="shared" si="0"/>
        <v>0.66666666666666663</v>
      </c>
      <c r="K12" s="173" t="str">
        <f>IF(J12&gt;=9,"Very High",IF(J12&gt;=6,"High Risk",IF(J12&gt;=3,"Medium Risk",IF(J12&gt;=1,"Low Risk","Lowest Risk"))))</f>
        <v>Lowest Risk</v>
      </c>
    </row>
    <row r="13" spans="1:13" x14ac:dyDescent="0.25">
      <c r="A13" s="228">
        <v>11</v>
      </c>
      <c r="B13" s="227" t="s">
        <v>288</v>
      </c>
      <c r="C13" s="226" t="s">
        <v>287</v>
      </c>
      <c r="D13" s="222">
        <v>10</v>
      </c>
      <c r="E13" s="222" t="s">
        <v>118</v>
      </c>
      <c r="F13" s="223">
        <v>5</v>
      </c>
      <c r="G13" s="223" t="s">
        <v>119</v>
      </c>
      <c r="H13" s="224">
        <v>8</v>
      </c>
      <c r="I13" s="224" t="s">
        <v>118</v>
      </c>
      <c r="J13" s="90">
        <f t="shared" si="0"/>
        <v>7.666666666666667</v>
      </c>
      <c r="K13" s="225" t="str">
        <f>IF(J13&gt;=9,"Very High",IF(J13&gt;=6,"High Risk",IF(J13&gt;=3,"Medium Risk",IF(J13&gt;=1,"Low Risk","Lowest Risk"))))</f>
        <v>High Risk</v>
      </c>
    </row>
    <row r="15" spans="1:13" ht="16.5" thickBot="1" x14ac:dyDescent="0.3">
      <c r="B15" s="129" t="s">
        <v>174</v>
      </c>
    </row>
    <row r="16" spans="1:13" ht="84" customHeight="1" x14ac:dyDescent="0.25">
      <c r="B16" s="270" t="s">
        <v>112</v>
      </c>
      <c r="C16" s="271"/>
      <c r="D16" s="271"/>
      <c r="E16" s="271"/>
      <c r="F16" s="271"/>
      <c r="G16" s="271"/>
      <c r="H16" s="271"/>
      <c r="I16" s="271"/>
      <c r="J16" s="271"/>
      <c r="K16" s="272"/>
    </row>
    <row r="17" spans="2:11" x14ac:dyDescent="0.25">
      <c r="B17" s="273"/>
      <c r="C17" s="274"/>
      <c r="D17" s="274"/>
      <c r="E17" s="274"/>
      <c r="F17" s="274"/>
      <c r="G17" s="274"/>
      <c r="H17" s="274"/>
      <c r="I17" s="274"/>
      <c r="J17" s="274"/>
      <c r="K17" s="275"/>
    </row>
    <row r="18" spans="2:11" x14ac:dyDescent="0.25">
      <c r="B18" s="273"/>
      <c r="C18" s="274"/>
      <c r="D18" s="274"/>
      <c r="E18" s="274"/>
      <c r="F18" s="274"/>
      <c r="G18" s="274"/>
      <c r="H18" s="274"/>
      <c r="I18" s="274"/>
      <c r="J18" s="274"/>
      <c r="K18" s="275"/>
    </row>
    <row r="19" spans="2:11" x14ac:dyDescent="0.25">
      <c r="B19" s="273"/>
      <c r="C19" s="274"/>
      <c r="D19" s="274"/>
      <c r="E19" s="274"/>
      <c r="F19" s="274"/>
      <c r="G19" s="274"/>
      <c r="H19" s="274"/>
      <c r="I19" s="274"/>
      <c r="J19" s="274"/>
      <c r="K19" s="275"/>
    </row>
    <row r="20" spans="2:11" x14ac:dyDescent="0.25">
      <c r="B20" s="273"/>
      <c r="C20" s="274"/>
      <c r="D20" s="274"/>
      <c r="E20" s="274"/>
      <c r="F20" s="274"/>
      <c r="G20" s="274"/>
      <c r="H20" s="274"/>
      <c r="I20" s="274"/>
      <c r="J20" s="274"/>
      <c r="K20" s="275"/>
    </row>
    <row r="21" spans="2:11" x14ac:dyDescent="0.25">
      <c r="B21" s="273"/>
      <c r="C21" s="274"/>
      <c r="D21" s="274"/>
      <c r="E21" s="274"/>
      <c r="F21" s="274"/>
      <c r="G21" s="274"/>
      <c r="H21" s="274"/>
      <c r="I21" s="274"/>
      <c r="J21" s="274"/>
      <c r="K21" s="275"/>
    </row>
    <row r="22" spans="2:11" x14ac:dyDescent="0.25">
      <c r="B22" s="273"/>
      <c r="C22" s="274"/>
      <c r="D22" s="274"/>
      <c r="E22" s="274"/>
      <c r="F22" s="274"/>
      <c r="G22" s="274"/>
      <c r="H22" s="274"/>
      <c r="I22" s="274"/>
      <c r="J22" s="274"/>
      <c r="K22" s="275"/>
    </row>
    <row r="23" spans="2:11" x14ac:dyDescent="0.25">
      <c r="B23" s="273"/>
      <c r="C23" s="274"/>
      <c r="D23" s="274"/>
      <c r="E23" s="274"/>
      <c r="F23" s="274"/>
      <c r="G23" s="274"/>
      <c r="H23" s="274"/>
      <c r="I23" s="274"/>
      <c r="J23" s="274"/>
      <c r="K23" s="275"/>
    </row>
    <row r="24" spans="2:11" x14ac:dyDescent="0.25">
      <c r="B24" s="273"/>
      <c r="C24" s="274"/>
      <c r="D24" s="274"/>
      <c r="E24" s="274"/>
      <c r="F24" s="274"/>
      <c r="G24" s="274"/>
      <c r="H24" s="274"/>
      <c r="I24" s="274"/>
      <c r="J24" s="274"/>
      <c r="K24" s="275"/>
    </row>
    <row r="25" spans="2:11" x14ac:dyDescent="0.25">
      <c r="B25" s="273"/>
      <c r="C25" s="274"/>
      <c r="D25" s="274"/>
      <c r="E25" s="274"/>
      <c r="F25" s="274"/>
      <c r="G25" s="274"/>
      <c r="H25" s="274"/>
      <c r="I25" s="274"/>
      <c r="J25" s="274"/>
      <c r="K25" s="275"/>
    </row>
    <row r="26" spans="2:11" x14ac:dyDescent="0.25">
      <c r="B26" s="273"/>
      <c r="C26" s="274"/>
      <c r="D26" s="274"/>
      <c r="E26" s="274"/>
      <c r="F26" s="274"/>
      <c r="G26" s="274"/>
      <c r="H26" s="274"/>
      <c r="I26" s="274"/>
      <c r="J26" s="274"/>
      <c r="K26" s="275"/>
    </row>
    <row r="27" spans="2:11" ht="34.9" customHeight="1" thickBot="1" x14ac:dyDescent="0.3">
      <c r="B27" s="276"/>
      <c r="C27" s="277"/>
      <c r="D27" s="277"/>
      <c r="E27" s="277"/>
      <c r="F27" s="277"/>
      <c r="G27" s="277"/>
      <c r="H27" s="277"/>
      <c r="I27" s="277"/>
      <c r="J27" s="277"/>
      <c r="K27" s="278"/>
    </row>
    <row r="28" spans="2:11" ht="16.5" thickBot="1" x14ac:dyDescent="0.3"/>
    <row r="29" spans="2:11" ht="48.75" customHeight="1" x14ac:dyDescent="0.25">
      <c r="B29" s="279" t="s">
        <v>113</v>
      </c>
      <c r="C29" s="280"/>
      <c r="D29" s="280"/>
      <c r="E29" s="280"/>
      <c r="F29" s="280"/>
      <c r="G29" s="280"/>
      <c r="H29" s="280"/>
      <c r="I29" s="280"/>
      <c r="J29" s="280"/>
      <c r="K29" s="281"/>
    </row>
    <row r="30" spans="2:11" x14ac:dyDescent="0.25">
      <c r="B30" s="282"/>
      <c r="C30" s="283"/>
      <c r="D30" s="283"/>
      <c r="E30" s="283"/>
      <c r="F30" s="283"/>
      <c r="G30" s="283"/>
      <c r="H30" s="283"/>
      <c r="I30" s="283"/>
      <c r="J30" s="283"/>
      <c r="K30" s="284"/>
    </row>
    <row r="31" spans="2:11" x14ac:dyDescent="0.25">
      <c r="B31" s="282"/>
      <c r="C31" s="283"/>
      <c r="D31" s="283"/>
      <c r="E31" s="283"/>
      <c r="F31" s="283"/>
      <c r="G31" s="283"/>
      <c r="H31" s="283"/>
      <c r="I31" s="283"/>
      <c r="J31" s="283"/>
      <c r="K31" s="284"/>
    </row>
    <row r="32" spans="2:11" x14ac:dyDescent="0.25">
      <c r="B32" s="282"/>
      <c r="C32" s="283"/>
      <c r="D32" s="283"/>
      <c r="E32" s="283"/>
      <c r="F32" s="283"/>
      <c r="G32" s="283"/>
      <c r="H32" s="283"/>
      <c r="I32" s="283"/>
      <c r="J32" s="283"/>
      <c r="K32" s="284"/>
    </row>
    <row r="33" spans="2:11" x14ac:dyDescent="0.25">
      <c r="B33" s="282"/>
      <c r="C33" s="283"/>
      <c r="D33" s="283"/>
      <c r="E33" s="283"/>
      <c r="F33" s="283"/>
      <c r="G33" s="283"/>
      <c r="H33" s="283"/>
      <c r="I33" s="283"/>
      <c r="J33" s="283"/>
      <c r="K33" s="284"/>
    </row>
    <row r="34" spans="2:11" x14ac:dyDescent="0.25">
      <c r="B34" s="282"/>
      <c r="C34" s="283"/>
      <c r="D34" s="283"/>
      <c r="E34" s="283"/>
      <c r="F34" s="283"/>
      <c r="G34" s="283"/>
      <c r="H34" s="283"/>
      <c r="I34" s="283"/>
      <c r="J34" s="283"/>
      <c r="K34" s="284"/>
    </row>
    <row r="35" spans="2:11" x14ac:dyDescent="0.25">
      <c r="B35" s="282"/>
      <c r="C35" s="283"/>
      <c r="D35" s="283"/>
      <c r="E35" s="283"/>
      <c r="F35" s="283"/>
      <c r="G35" s="283"/>
      <c r="H35" s="283"/>
      <c r="I35" s="283"/>
      <c r="J35" s="283"/>
      <c r="K35" s="284"/>
    </row>
    <row r="36" spans="2:11" x14ac:dyDescent="0.25">
      <c r="B36" s="282"/>
      <c r="C36" s="283"/>
      <c r="D36" s="283"/>
      <c r="E36" s="283"/>
      <c r="F36" s="283"/>
      <c r="G36" s="283"/>
      <c r="H36" s="283"/>
      <c r="I36" s="283"/>
      <c r="J36" s="283"/>
      <c r="K36" s="284"/>
    </row>
    <row r="37" spans="2:11" x14ac:dyDescent="0.25">
      <c r="B37" s="282"/>
      <c r="C37" s="283"/>
      <c r="D37" s="283"/>
      <c r="E37" s="283"/>
      <c r="F37" s="283"/>
      <c r="G37" s="283"/>
      <c r="H37" s="283"/>
      <c r="I37" s="283"/>
      <c r="J37" s="283"/>
      <c r="K37" s="284"/>
    </row>
    <row r="38" spans="2:11" x14ac:dyDescent="0.25">
      <c r="B38" s="282"/>
      <c r="C38" s="283"/>
      <c r="D38" s="283"/>
      <c r="E38" s="283"/>
      <c r="F38" s="283"/>
      <c r="G38" s="283"/>
      <c r="H38" s="283"/>
      <c r="I38" s="283"/>
      <c r="J38" s="283"/>
      <c r="K38" s="284"/>
    </row>
    <row r="39" spans="2:11" x14ac:dyDescent="0.25">
      <c r="B39" s="282"/>
      <c r="C39" s="283"/>
      <c r="D39" s="283"/>
      <c r="E39" s="283"/>
      <c r="F39" s="283"/>
      <c r="G39" s="283"/>
      <c r="H39" s="283"/>
      <c r="I39" s="283"/>
      <c r="J39" s="283"/>
      <c r="K39" s="284"/>
    </row>
    <row r="40" spans="2:11" x14ac:dyDescent="0.25">
      <c r="B40" s="282"/>
      <c r="C40" s="283"/>
      <c r="D40" s="283"/>
      <c r="E40" s="283"/>
      <c r="F40" s="283"/>
      <c r="G40" s="283"/>
      <c r="H40" s="283"/>
      <c r="I40" s="283"/>
      <c r="J40" s="283"/>
      <c r="K40" s="284"/>
    </row>
    <row r="41" spans="2:11" x14ac:dyDescent="0.25">
      <c r="B41" s="282"/>
      <c r="C41" s="283"/>
      <c r="D41" s="283"/>
      <c r="E41" s="283"/>
      <c r="F41" s="283"/>
      <c r="G41" s="283"/>
      <c r="H41" s="283"/>
      <c r="I41" s="283"/>
      <c r="J41" s="283"/>
      <c r="K41" s="284"/>
    </row>
    <row r="42" spans="2:11" ht="16.899999999999999" customHeight="1" thickBot="1" x14ac:dyDescent="0.3">
      <c r="B42" s="285"/>
      <c r="C42" s="286"/>
      <c r="D42" s="286"/>
      <c r="E42" s="286"/>
      <c r="F42" s="286"/>
      <c r="G42" s="286"/>
      <c r="H42" s="286"/>
      <c r="I42" s="286"/>
      <c r="J42" s="286"/>
      <c r="K42" s="287"/>
    </row>
    <row r="43" spans="2:11" ht="16.5" thickBot="1" x14ac:dyDescent="0.3"/>
    <row r="44" spans="2:11" ht="74.25" customHeight="1" x14ac:dyDescent="0.25">
      <c r="B44" s="288" t="s">
        <v>182</v>
      </c>
      <c r="C44" s="289"/>
      <c r="D44" s="289"/>
      <c r="E44" s="289"/>
      <c r="F44" s="289"/>
      <c r="G44" s="289"/>
      <c r="H44" s="289"/>
      <c r="I44" s="289"/>
      <c r="J44" s="289"/>
      <c r="K44" s="290"/>
    </row>
    <row r="45" spans="2:11" x14ac:dyDescent="0.25">
      <c r="B45" s="291"/>
      <c r="C45" s="292"/>
      <c r="D45" s="292"/>
      <c r="E45" s="292"/>
      <c r="F45" s="292"/>
      <c r="G45" s="292"/>
      <c r="H45" s="292"/>
      <c r="I45" s="292"/>
      <c r="J45" s="292"/>
      <c r="K45" s="293"/>
    </row>
    <row r="46" spans="2:11" x14ac:dyDescent="0.25">
      <c r="B46" s="291"/>
      <c r="C46" s="292"/>
      <c r="D46" s="292"/>
      <c r="E46" s="292"/>
      <c r="F46" s="292"/>
      <c r="G46" s="292"/>
      <c r="H46" s="292"/>
      <c r="I46" s="292"/>
      <c r="J46" s="292"/>
      <c r="K46" s="293"/>
    </row>
    <row r="47" spans="2:11" x14ac:dyDescent="0.25">
      <c r="B47" s="291"/>
      <c r="C47" s="292"/>
      <c r="D47" s="292"/>
      <c r="E47" s="292"/>
      <c r="F47" s="292"/>
      <c r="G47" s="292"/>
      <c r="H47" s="292"/>
      <c r="I47" s="292"/>
      <c r="J47" s="292"/>
      <c r="K47" s="293"/>
    </row>
    <row r="48" spans="2:11" x14ac:dyDescent="0.25">
      <c r="B48" s="291"/>
      <c r="C48" s="292"/>
      <c r="D48" s="292"/>
      <c r="E48" s="292"/>
      <c r="F48" s="292"/>
      <c r="G48" s="292"/>
      <c r="H48" s="292"/>
      <c r="I48" s="292"/>
      <c r="J48" s="292"/>
      <c r="K48" s="293"/>
    </row>
    <row r="49" spans="2:11" x14ac:dyDescent="0.25">
      <c r="B49" s="291"/>
      <c r="C49" s="292"/>
      <c r="D49" s="292"/>
      <c r="E49" s="292"/>
      <c r="F49" s="292"/>
      <c r="G49" s="292"/>
      <c r="H49" s="292"/>
      <c r="I49" s="292"/>
      <c r="J49" s="292"/>
      <c r="K49" s="293"/>
    </row>
    <row r="50" spans="2:11" x14ac:dyDescent="0.25">
      <c r="B50" s="291"/>
      <c r="C50" s="292"/>
      <c r="D50" s="292"/>
      <c r="E50" s="292"/>
      <c r="F50" s="292"/>
      <c r="G50" s="292"/>
      <c r="H50" s="292"/>
      <c r="I50" s="292"/>
      <c r="J50" s="292"/>
      <c r="K50" s="293"/>
    </row>
    <row r="51" spans="2:11" x14ac:dyDescent="0.25">
      <c r="B51" s="291"/>
      <c r="C51" s="292"/>
      <c r="D51" s="292"/>
      <c r="E51" s="292"/>
      <c r="F51" s="292"/>
      <c r="G51" s="292"/>
      <c r="H51" s="292"/>
      <c r="I51" s="292"/>
      <c r="J51" s="292"/>
      <c r="K51" s="293"/>
    </row>
    <row r="52" spans="2:11" x14ac:dyDescent="0.25">
      <c r="B52" s="291"/>
      <c r="C52" s="292"/>
      <c r="D52" s="292"/>
      <c r="E52" s="292"/>
      <c r="F52" s="292"/>
      <c r="G52" s="292"/>
      <c r="H52" s="292"/>
      <c r="I52" s="292"/>
      <c r="J52" s="292"/>
      <c r="K52" s="293"/>
    </row>
    <row r="53" spans="2:11" x14ac:dyDescent="0.25">
      <c r="B53" s="291"/>
      <c r="C53" s="292"/>
      <c r="D53" s="292"/>
      <c r="E53" s="292"/>
      <c r="F53" s="292"/>
      <c r="G53" s="292"/>
      <c r="H53" s="292"/>
      <c r="I53" s="292"/>
      <c r="J53" s="292"/>
      <c r="K53" s="293"/>
    </row>
    <row r="54" spans="2:11" x14ac:dyDescent="0.25">
      <c r="B54" s="291"/>
      <c r="C54" s="292"/>
      <c r="D54" s="292"/>
      <c r="E54" s="292"/>
      <c r="F54" s="292"/>
      <c r="G54" s="292"/>
      <c r="H54" s="292"/>
      <c r="I54" s="292"/>
      <c r="J54" s="292"/>
      <c r="K54" s="293"/>
    </row>
    <row r="55" spans="2:11" x14ac:dyDescent="0.25">
      <c r="B55" s="291"/>
      <c r="C55" s="292"/>
      <c r="D55" s="292"/>
      <c r="E55" s="292"/>
      <c r="F55" s="292"/>
      <c r="G55" s="292"/>
      <c r="H55" s="292"/>
      <c r="I55" s="292"/>
      <c r="J55" s="292"/>
      <c r="K55" s="293"/>
    </row>
    <row r="56" spans="2:11" x14ac:dyDescent="0.25">
      <c r="B56" s="291"/>
      <c r="C56" s="292"/>
      <c r="D56" s="292"/>
      <c r="E56" s="292"/>
      <c r="F56" s="292"/>
      <c r="G56" s="292"/>
      <c r="H56" s="292"/>
      <c r="I56" s="292"/>
      <c r="J56" s="292"/>
      <c r="K56" s="293"/>
    </row>
    <row r="57" spans="2:11" x14ac:dyDescent="0.25">
      <c r="B57" s="291"/>
      <c r="C57" s="292"/>
      <c r="D57" s="292"/>
      <c r="E57" s="292"/>
      <c r="F57" s="292"/>
      <c r="G57" s="292"/>
      <c r="H57" s="292"/>
      <c r="I57" s="292"/>
      <c r="J57" s="292"/>
      <c r="K57" s="293"/>
    </row>
    <row r="58" spans="2:11" ht="16.5" thickBot="1" x14ac:dyDescent="0.3">
      <c r="B58" s="294"/>
      <c r="C58" s="295"/>
      <c r="D58" s="295"/>
      <c r="E58" s="295"/>
      <c r="F58" s="295"/>
      <c r="G58" s="295"/>
      <c r="H58" s="295"/>
      <c r="I58" s="295"/>
      <c r="J58" s="295"/>
      <c r="K58" s="296"/>
    </row>
  </sheetData>
  <sheetProtection algorithmName="SHA-512" hashValue="HPIVIP+uHfpMkYjcAGZGUY9998d6E+oBh1fCr/LpuiFTiwaODtid5Y7W5GgFC3COoKL6hHJXL678Uz90vUUEwg==" saltValue="3AWVxOqnqByvHA/58oH60g==" spinCount="100000" sheet="1" objects="1" scenarios="1"/>
  <mergeCells count="5">
    <mergeCell ref="B1:K1"/>
    <mergeCell ref="J2:K2"/>
    <mergeCell ref="B16:K27"/>
    <mergeCell ref="B29:K42"/>
    <mergeCell ref="B44:K58"/>
  </mergeCells>
  <conditionalFormatting sqref="K3:K11">
    <cfRule type="cellIs" dxfId="46" priority="6" operator="equal">
      <formula>"Low Risk"</formula>
    </cfRule>
    <cfRule type="cellIs" dxfId="45" priority="7" operator="equal">
      <formula>"Very High"</formula>
    </cfRule>
    <cfRule type="containsText" dxfId="44" priority="8" operator="containsText" text="Medium Risk">
      <formula>NOT(ISERROR(SEARCH("Medium Risk",K3)))</formula>
    </cfRule>
    <cfRule type="cellIs" dxfId="43" priority="9" operator="equal">
      <formula>"High Risk"</formula>
    </cfRule>
    <cfRule type="cellIs" dxfId="42" priority="10" operator="equal">
      <formula>"Medium Risk"</formula>
    </cfRule>
  </conditionalFormatting>
  <conditionalFormatting sqref="K12">
    <cfRule type="cellIs" dxfId="41" priority="1" operator="equal">
      <formula>"Low Risk"</formula>
    </cfRule>
    <cfRule type="cellIs" dxfId="40" priority="2" operator="equal">
      <formula>"Very High"</formula>
    </cfRule>
    <cfRule type="containsText" dxfId="39" priority="3" operator="containsText" text="Medium Risk">
      <formula>NOT(ISERROR(SEARCH("Medium Risk",K12)))</formula>
    </cfRule>
    <cfRule type="cellIs" dxfId="38" priority="4" operator="equal">
      <formula>"High Risk"</formula>
    </cfRule>
    <cfRule type="cellIs" dxfId="37" priority="5" operator="equal">
      <formula>"Medium Risk"</formula>
    </cfRule>
  </conditionalFormatting>
  <pageMargins left="0.7" right="0.7" top="0.75" bottom="0.75" header="0.3" footer="0.3"/>
  <pageSetup orientation="portrait" horizontalDpi="200" verticalDpi="20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38"/>
  <sheetViews>
    <sheetView topLeftCell="A14" zoomScale="80" zoomScaleNormal="80" workbookViewId="0">
      <selection activeCell="S25" sqref="S25"/>
    </sheetView>
  </sheetViews>
  <sheetFormatPr defaultRowHeight="18.75" x14ac:dyDescent="0.3"/>
  <cols>
    <col min="1" max="1" width="39.5" style="170" customWidth="1"/>
    <col min="2" max="2" width="11.375" style="98" customWidth="1"/>
    <col min="3" max="3" width="9.875" style="71" customWidth="1"/>
    <col min="4" max="4" width="12.25" style="71" hidden="1" customWidth="1"/>
    <col min="5" max="5" width="13.625" style="103" customWidth="1"/>
    <col min="6" max="6" width="10.75" style="104" customWidth="1"/>
    <col min="7" max="7" width="9" hidden="1" customWidth="1"/>
    <col min="8" max="8" width="3.625" customWidth="1"/>
    <col min="9" max="9" width="11.125" customWidth="1"/>
    <col min="10" max="10" width="14.875" customWidth="1"/>
    <col min="11" max="11" width="17.375" customWidth="1"/>
    <col min="12" max="12" width="11.875" customWidth="1"/>
    <col min="13" max="13" width="38.875" style="191" customWidth="1"/>
    <col min="14" max="14" width="24.25" style="191" customWidth="1"/>
    <col min="15" max="15" width="21.625" style="191" customWidth="1"/>
  </cols>
  <sheetData>
    <row r="1" spans="1:15" ht="23.25" hidden="1" x14ac:dyDescent="0.3">
      <c r="A1" s="183" t="s">
        <v>165</v>
      </c>
      <c r="M1" s="152"/>
      <c r="N1" s="189"/>
      <c r="O1" s="189"/>
    </row>
    <row r="2" spans="1:15" ht="76.900000000000006" customHeight="1" x14ac:dyDescent="0.3">
      <c r="A2" s="184" t="s">
        <v>247</v>
      </c>
      <c r="B2" s="176"/>
      <c r="C2" s="177"/>
      <c r="D2" s="177"/>
      <c r="E2" s="178"/>
      <c r="F2" s="179"/>
      <c r="G2" s="180"/>
      <c r="H2" s="2"/>
      <c r="I2" s="297" t="s">
        <v>69</v>
      </c>
      <c r="J2" s="297"/>
      <c r="K2" s="297"/>
      <c r="L2" s="297"/>
      <c r="M2" s="197"/>
      <c r="N2" s="298" t="s">
        <v>184</v>
      </c>
      <c r="O2" s="298"/>
    </row>
    <row r="3" spans="1:15" s="8" customFormat="1" ht="120" x14ac:dyDescent="0.25">
      <c r="A3" s="164" t="s">
        <v>138</v>
      </c>
      <c r="B3" s="160" t="s">
        <v>139</v>
      </c>
      <c r="C3" s="160" t="s">
        <v>250</v>
      </c>
      <c r="D3" s="160" t="s">
        <v>137</v>
      </c>
      <c r="E3" s="181" t="s">
        <v>252</v>
      </c>
      <c r="F3" s="182" t="s">
        <v>140</v>
      </c>
      <c r="H3" s="163"/>
      <c r="I3" s="162" t="s">
        <v>91</v>
      </c>
      <c r="J3" s="162" t="s">
        <v>72</v>
      </c>
      <c r="K3" s="162" t="s">
        <v>71</v>
      </c>
      <c r="L3" s="162" t="s">
        <v>70</v>
      </c>
      <c r="M3" s="153" t="s">
        <v>216</v>
      </c>
      <c r="N3" s="190" t="s">
        <v>244</v>
      </c>
      <c r="O3" s="190" t="s">
        <v>245</v>
      </c>
    </row>
    <row r="4" spans="1:15" ht="108.75" customHeight="1" x14ac:dyDescent="0.25">
      <c r="A4" s="185" t="s">
        <v>142</v>
      </c>
      <c r="B4" s="206">
        <v>25</v>
      </c>
      <c r="C4" s="198" t="s">
        <v>88</v>
      </c>
      <c r="D4" s="199"/>
      <c r="E4" s="200" t="str">
        <f>IF('Enter Taxa &amp; Numbers'!E4&gt;0,"High","")</f>
        <v/>
      </c>
      <c r="F4" s="201" t="str">
        <f>IF(AND( C4="High", E4="High"),"Very High","")</f>
        <v/>
      </c>
      <c r="G4" s="154" t="str">
        <f t="shared" ref="G4:G13" si="0">IF(F4="Very High",100,IF(F4="High",8,IF(F4="Medium",5,IF(F4="Low",1,""))))</f>
        <v/>
      </c>
      <c r="H4" s="2"/>
      <c r="I4" s="87"/>
      <c r="J4" s="87"/>
      <c r="K4" s="87"/>
      <c r="L4" s="55" t="s">
        <v>92</v>
      </c>
      <c r="M4" s="196" t="s">
        <v>217</v>
      </c>
      <c r="N4" s="194" t="s">
        <v>253</v>
      </c>
      <c r="O4" s="194" t="s">
        <v>185</v>
      </c>
    </row>
    <row r="5" spans="1:15" ht="120" x14ac:dyDescent="0.25">
      <c r="A5" s="185" t="s">
        <v>143</v>
      </c>
      <c r="B5" s="206">
        <v>23</v>
      </c>
      <c r="C5" s="198" t="s">
        <v>88</v>
      </c>
      <c r="D5" s="199"/>
      <c r="E5" s="200" t="str">
        <f>IF('Enter Taxa &amp; Numbers'!E5&gt;3,"High",IF('Enter Taxa &amp; Numbers'!E5&gt;0,"Medium",""))</f>
        <v/>
      </c>
      <c r="F5" s="202" t="str">
        <f t="shared" ref="F5:F12" si="1">IF(AND(C5="High", E5="High"),"Very High",IF(AND(C5="High", E5="Medium"), "High",IF(AND( C5="High", E5="Low"),"Medium","")))</f>
        <v/>
      </c>
      <c r="G5" s="36" t="str">
        <f>IF(F5="Very High",100,IF(F5="High",80,IF(F5="Medium",5,IF(F5="Low",1,""))))</f>
        <v/>
      </c>
      <c r="H5" s="2"/>
      <c r="I5" s="87"/>
      <c r="J5" s="155"/>
      <c r="K5" s="156" t="s">
        <v>290</v>
      </c>
      <c r="L5" s="55" t="s">
        <v>291</v>
      </c>
      <c r="M5" s="196" t="s">
        <v>218</v>
      </c>
      <c r="N5" s="194" t="s">
        <v>253</v>
      </c>
      <c r="O5" s="193" t="s">
        <v>186</v>
      </c>
    </row>
    <row r="6" spans="1:15" ht="144" customHeight="1" x14ac:dyDescent="0.25">
      <c r="A6" s="185" t="s">
        <v>144</v>
      </c>
      <c r="B6" s="206">
        <v>23</v>
      </c>
      <c r="C6" s="198" t="s">
        <v>88</v>
      </c>
      <c r="D6" s="199"/>
      <c r="E6" s="200" t="str">
        <f>IF('Enter Taxa &amp; Numbers'!E6&gt;3,"High",IF('Enter Taxa &amp; Numbers'!E6&gt;0,"Medium",""))</f>
        <v/>
      </c>
      <c r="F6" s="202" t="str">
        <f t="shared" si="1"/>
        <v/>
      </c>
      <c r="G6" s="36" t="str">
        <f>IF(F6="Very High",100,IF(F6="High",80,IF(F6="Medium",5,IF(F6="Low",1,""))))</f>
        <v/>
      </c>
      <c r="H6" s="2"/>
      <c r="I6" s="87"/>
      <c r="J6" s="155"/>
      <c r="K6" s="157" t="s">
        <v>290</v>
      </c>
      <c r="L6" s="55" t="s">
        <v>291</v>
      </c>
      <c r="M6" s="196" t="s">
        <v>219</v>
      </c>
      <c r="N6" s="193" t="s">
        <v>254</v>
      </c>
      <c r="O6" s="192" t="s">
        <v>187</v>
      </c>
    </row>
    <row r="7" spans="1:15" ht="123" customHeight="1" x14ac:dyDescent="0.25">
      <c r="A7" s="185" t="s">
        <v>145</v>
      </c>
      <c r="B7" s="206">
        <v>23</v>
      </c>
      <c r="C7" s="198" t="s">
        <v>88</v>
      </c>
      <c r="D7" s="199"/>
      <c r="E7" s="200" t="str">
        <f>IF('Enter Taxa &amp; Numbers'!E7&gt;100,"High",IF('Enter Taxa &amp; Numbers'!E7&gt;50,"Medium",IF('Enter Taxa &amp; Numbers'!E7&gt;10,"Low",IF('Enter Taxa &amp; Numbers'!E7&gt;0,"No",""))))</f>
        <v/>
      </c>
      <c r="F7" s="202" t="str">
        <f t="shared" si="1"/>
        <v/>
      </c>
      <c r="G7" s="36" t="str">
        <f t="shared" si="0"/>
        <v/>
      </c>
      <c r="H7" s="2"/>
      <c r="I7" s="158" t="s">
        <v>100</v>
      </c>
      <c r="J7" s="159" t="s">
        <v>103</v>
      </c>
      <c r="K7" s="157" t="s">
        <v>99</v>
      </c>
      <c r="L7" s="55" t="s">
        <v>95</v>
      </c>
      <c r="M7" s="196" t="s">
        <v>220</v>
      </c>
      <c r="N7" s="192" t="s">
        <v>188</v>
      </c>
      <c r="O7" s="195" t="s">
        <v>189</v>
      </c>
    </row>
    <row r="8" spans="1:15" ht="96" x14ac:dyDescent="0.25">
      <c r="A8" s="185" t="s">
        <v>146</v>
      </c>
      <c r="B8" s="206">
        <v>22</v>
      </c>
      <c r="C8" s="198" t="s">
        <v>88</v>
      </c>
      <c r="D8" s="199"/>
      <c r="E8" s="200" t="str">
        <f>IF('Enter Taxa &amp; Numbers'!E8&gt;10,"High",IF('Enter Taxa &amp; Numbers'!E8&gt;0,"Medium",""))</f>
        <v/>
      </c>
      <c r="F8" s="202" t="str">
        <f t="shared" si="1"/>
        <v/>
      </c>
      <c r="G8" s="36" t="str">
        <f t="shared" si="0"/>
        <v/>
      </c>
      <c r="H8" s="2"/>
      <c r="I8" s="155"/>
      <c r="J8" s="155"/>
      <c r="K8" s="157" t="s">
        <v>106</v>
      </c>
      <c r="L8" s="55" t="s">
        <v>102</v>
      </c>
      <c r="M8" s="196" t="s">
        <v>221</v>
      </c>
      <c r="N8" s="193" t="s">
        <v>255</v>
      </c>
      <c r="O8" s="194" t="s">
        <v>190</v>
      </c>
    </row>
    <row r="9" spans="1:15" ht="75" customHeight="1" x14ac:dyDescent="0.25">
      <c r="A9" s="185" t="s">
        <v>147</v>
      </c>
      <c r="B9" s="206">
        <v>22</v>
      </c>
      <c r="C9" s="198" t="s">
        <v>88</v>
      </c>
      <c r="D9" s="199"/>
      <c r="E9" s="200" t="str">
        <f>IF('Enter Taxa &amp; Numbers'!E9&gt;20,"High",IF('Enter Taxa &amp; Numbers'!E9&gt;0,"Medium",""))</f>
        <v/>
      </c>
      <c r="F9" s="202" t="str">
        <f>IF(AND(C9="High", E9="High"),"Very High",IF(AND(C9="High", E9="Medium"), "High",IF(AND( C9="High", E9="Low"),"Medium","")))</f>
        <v/>
      </c>
      <c r="G9" s="36" t="str">
        <f t="shared" si="0"/>
        <v/>
      </c>
      <c r="H9" s="2"/>
      <c r="I9" s="87"/>
      <c r="J9" s="155"/>
      <c r="K9" s="157" t="s">
        <v>131</v>
      </c>
      <c r="L9" s="55" t="s">
        <v>94</v>
      </c>
      <c r="M9" s="196" t="s">
        <v>222</v>
      </c>
      <c r="N9" s="192" t="s">
        <v>191</v>
      </c>
      <c r="O9" s="192" t="s">
        <v>192</v>
      </c>
    </row>
    <row r="10" spans="1:15" ht="60" x14ac:dyDescent="0.25">
      <c r="A10" s="185" t="s">
        <v>148</v>
      </c>
      <c r="B10" s="206">
        <v>22</v>
      </c>
      <c r="C10" s="198" t="s">
        <v>88</v>
      </c>
      <c r="D10" s="199"/>
      <c r="E10" s="200" t="str">
        <f>IF('Enter Taxa &amp; Numbers'!E10&gt;5,"High",IF('Enter Taxa &amp; Numbers'!E10&gt;0,"Medium",""))</f>
        <v/>
      </c>
      <c r="F10" s="202" t="str">
        <f t="shared" si="1"/>
        <v/>
      </c>
      <c r="G10" s="36" t="str">
        <f>IF(F10="Very High",100,IF(F10="High",80,IF(F10="Medium",5,IF(F10="Low",1,""))))</f>
        <v/>
      </c>
      <c r="H10" s="2"/>
      <c r="I10" s="155"/>
      <c r="J10" s="155"/>
      <c r="K10" s="157" t="s">
        <v>107</v>
      </c>
      <c r="L10" s="55" t="s">
        <v>292</v>
      </c>
      <c r="M10" s="196" t="s">
        <v>223</v>
      </c>
      <c r="N10" s="193" t="s">
        <v>193</v>
      </c>
      <c r="O10" s="194" t="s">
        <v>190</v>
      </c>
    </row>
    <row r="11" spans="1:15" ht="48" x14ac:dyDescent="0.25">
      <c r="A11" s="185" t="s">
        <v>151</v>
      </c>
      <c r="B11" s="206">
        <v>22</v>
      </c>
      <c r="C11" s="198" t="s">
        <v>88</v>
      </c>
      <c r="D11" s="199">
        <v>52</v>
      </c>
      <c r="E11" s="200" t="str">
        <f>IF('Enter Taxa &amp; Numbers'!E11&gt;20,"High",IF('Enter Taxa &amp; Numbers'!E11&gt;0,"Medium",""))</f>
        <v/>
      </c>
      <c r="F11" s="202" t="str">
        <f>IF(AND(C11="High", E11="High"),"Very High",IF(AND(C11="High", E11="Medium"), "High",IF(AND( C11="High", E11="Low"),"Medium","")))</f>
        <v/>
      </c>
      <c r="G11" s="36" t="str">
        <f>IF(F11="Very High",100,IF(F11="High",8,IF(F11="Medium",5,IF(F11="Low",1,""))))</f>
        <v/>
      </c>
      <c r="H11" s="2"/>
      <c r="I11" s="87"/>
      <c r="J11" s="155"/>
      <c r="K11" s="157" t="s">
        <v>131</v>
      </c>
      <c r="L11" s="55" t="s">
        <v>94</v>
      </c>
      <c r="M11" s="196" t="s">
        <v>227</v>
      </c>
      <c r="N11" s="192" t="s">
        <v>191</v>
      </c>
      <c r="O11" s="192" t="s">
        <v>192</v>
      </c>
    </row>
    <row r="12" spans="1:15" ht="48" x14ac:dyDescent="0.25">
      <c r="A12" s="185" t="s">
        <v>149</v>
      </c>
      <c r="B12" s="206">
        <v>21</v>
      </c>
      <c r="C12" s="198" t="s">
        <v>88</v>
      </c>
      <c r="D12" s="199"/>
      <c r="E12" s="200" t="str">
        <f>IF('Enter Taxa &amp; Numbers'!E12&gt;20,"High",IF('Enter Taxa &amp; Numbers'!E12&gt;10,"Medium",IF('Enter Taxa &amp; Numbers'!E12&gt;0,"Low","")))</f>
        <v/>
      </c>
      <c r="F12" s="210" t="str">
        <f t="shared" si="1"/>
        <v/>
      </c>
      <c r="G12" s="36" t="str">
        <f>IF(F12="Very High",100,IF(F12="High",80,IF(F12="Medium",5,IF(F12="Low",1,""))))</f>
        <v/>
      </c>
      <c r="H12" s="2"/>
      <c r="I12" s="87"/>
      <c r="J12" s="159" t="s">
        <v>100</v>
      </c>
      <c r="K12" s="157" t="s">
        <v>133</v>
      </c>
      <c r="L12" s="55" t="s">
        <v>94</v>
      </c>
      <c r="M12" s="196" t="s">
        <v>224</v>
      </c>
      <c r="N12" s="192" t="s">
        <v>194</v>
      </c>
      <c r="O12" s="193" t="s">
        <v>195</v>
      </c>
    </row>
    <row r="13" spans="1:15" ht="24" x14ac:dyDescent="0.25">
      <c r="A13" s="186" t="s">
        <v>150</v>
      </c>
      <c r="B13" s="207">
        <v>19</v>
      </c>
      <c r="C13" s="203" t="s">
        <v>89</v>
      </c>
      <c r="D13" s="199"/>
      <c r="E13" s="200" t="str">
        <f>IF('Enter Taxa &amp; Numbers'!E13&gt;50,"High",IF('Enter Taxa &amp; Numbers'!E13&gt;20, "Medium",IF('Enter Taxa &amp; Numbers'!E13&gt;0,"Low","")))</f>
        <v/>
      </c>
      <c r="F13" s="202" t="str">
        <f>IF(AND(C13="Medium", E13="High"),"High",IF(AND(C13="Medium", E13="Medium"), "Medium",IF(AND( C13="Medium", E13="Low"),"Medium","")))</f>
        <v/>
      </c>
      <c r="G13" s="36" t="str">
        <f t="shared" si="0"/>
        <v/>
      </c>
      <c r="H13" s="2"/>
      <c r="I13" s="87"/>
      <c r="J13" s="159" t="s">
        <v>131</v>
      </c>
      <c r="K13" s="157" t="s">
        <v>132</v>
      </c>
      <c r="L13" s="55" t="s">
        <v>93</v>
      </c>
      <c r="M13" s="196" t="s">
        <v>225</v>
      </c>
      <c r="N13" s="192" t="s">
        <v>196</v>
      </c>
      <c r="O13" s="195" t="s">
        <v>189</v>
      </c>
    </row>
    <row r="14" spans="1:15" ht="63.75" customHeight="1" x14ac:dyDescent="0.25">
      <c r="A14" s="186" t="s">
        <v>183</v>
      </c>
      <c r="B14" s="207">
        <v>16</v>
      </c>
      <c r="C14" s="203" t="s">
        <v>89</v>
      </c>
      <c r="D14" s="199">
        <v>50</v>
      </c>
      <c r="E14" s="200" t="str">
        <f>IF('Enter Taxa &amp; Numbers'!E14&gt;20,"Medium",IF('Enter Taxa &amp; Numbers'!E14&gt;5,"Low",IF('Enter Taxa &amp; Numbers'!E14&gt;0,"No","")))</f>
        <v/>
      </c>
      <c r="F14" s="202" t="str">
        <f t="shared" ref="F14:F21" si="2">IF(AND(C14="Medium",E14="Medium"),"Medium",IF(AND(C14="Medium",E14="Low"),"Low",""))</f>
        <v/>
      </c>
      <c r="G14" s="36" t="str">
        <f t="shared" ref="G14:G29" si="3">IF(F14="Very High",10,IF(F14="High",8,IF(F14="Medium",5,IF(F14="Low",1,""))))</f>
        <v/>
      </c>
      <c r="H14" s="2"/>
      <c r="I14" s="158" t="s">
        <v>107</v>
      </c>
      <c r="J14" s="159" t="s">
        <v>104</v>
      </c>
      <c r="K14" s="157" t="s">
        <v>101</v>
      </c>
      <c r="L14" s="87"/>
      <c r="M14" s="196" t="s">
        <v>226</v>
      </c>
      <c r="N14" s="192" t="s">
        <v>197</v>
      </c>
      <c r="O14" s="192" t="s">
        <v>198</v>
      </c>
    </row>
    <row r="15" spans="1:15" ht="72" x14ac:dyDescent="0.25">
      <c r="A15" s="186" t="s">
        <v>289</v>
      </c>
      <c r="B15" s="207">
        <v>13</v>
      </c>
      <c r="C15" s="203" t="s">
        <v>89</v>
      </c>
      <c r="D15" s="199">
        <v>52</v>
      </c>
      <c r="E15" s="200" t="str">
        <f>IF('Enter Taxa &amp; Numbers'!E15&gt;50,"Medium",IF('Enter Taxa &amp; Numbers'!E15&gt;10,"Low",IF('Enter Taxa &amp; Numbers'!E15&gt;0, "No","")))</f>
        <v/>
      </c>
      <c r="F15" s="202" t="str">
        <f t="shared" si="2"/>
        <v/>
      </c>
      <c r="G15" s="36" t="str">
        <f t="shared" si="3"/>
        <v/>
      </c>
      <c r="H15" s="2"/>
      <c r="I15" s="158" t="s">
        <v>100</v>
      </c>
      <c r="J15" s="159" t="s">
        <v>98</v>
      </c>
      <c r="K15" s="157" t="s">
        <v>96</v>
      </c>
      <c r="L15" s="87"/>
      <c r="M15" s="196" t="s">
        <v>228</v>
      </c>
      <c r="N15" s="192" t="s">
        <v>187</v>
      </c>
      <c r="O15" s="192" t="s">
        <v>192</v>
      </c>
    </row>
    <row r="16" spans="1:15" ht="108" x14ac:dyDescent="0.25">
      <c r="A16" s="186" t="s">
        <v>152</v>
      </c>
      <c r="B16" s="207">
        <v>13</v>
      </c>
      <c r="C16" s="203" t="s">
        <v>89</v>
      </c>
      <c r="D16" s="199"/>
      <c r="E16" s="200" t="str">
        <f>IF('Enter Taxa &amp; Numbers'!E16&gt;5,"Medium",IF('Enter Taxa &amp; Numbers'!E16&gt;0,"Low",""))</f>
        <v/>
      </c>
      <c r="F16" s="202" t="str">
        <f t="shared" si="2"/>
        <v/>
      </c>
      <c r="G16" s="36" t="str">
        <f t="shared" si="3"/>
        <v/>
      </c>
      <c r="H16" s="2"/>
      <c r="I16" s="87"/>
      <c r="J16" s="159" t="s">
        <v>107</v>
      </c>
      <c r="K16" s="157" t="s">
        <v>292</v>
      </c>
      <c r="L16" s="87"/>
      <c r="M16" s="196" t="s">
        <v>229</v>
      </c>
      <c r="N16" s="194" t="s">
        <v>199</v>
      </c>
      <c r="O16" s="194" t="s">
        <v>200</v>
      </c>
    </row>
    <row r="17" spans="1:15" ht="113.25" customHeight="1" x14ac:dyDescent="0.25">
      <c r="A17" s="186" t="s">
        <v>153</v>
      </c>
      <c r="B17" s="207">
        <v>13</v>
      </c>
      <c r="C17" s="203" t="s">
        <v>89</v>
      </c>
      <c r="D17" s="199"/>
      <c r="E17" s="200" t="str">
        <f>IF('Enter Taxa &amp; Numbers'!E17&gt;5,"Medium",IF('Enter Taxa &amp; Numbers'!E17&gt;0,"Low",""))</f>
        <v/>
      </c>
      <c r="F17" s="202" t="str">
        <f t="shared" si="2"/>
        <v/>
      </c>
      <c r="G17" s="36" t="str">
        <f t="shared" si="3"/>
        <v/>
      </c>
      <c r="H17" s="2"/>
      <c r="I17" s="87"/>
      <c r="J17" s="159" t="s">
        <v>107</v>
      </c>
      <c r="K17" s="157" t="s">
        <v>134</v>
      </c>
      <c r="L17" s="87"/>
      <c r="M17" s="196" t="s">
        <v>230</v>
      </c>
      <c r="N17" s="194" t="s">
        <v>199</v>
      </c>
      <c r="O17" s="194" t="s">
        <v>200</v>
      </c>
    </row>
    <row r="18" spans="1:15" ht="48" x14ac:dyDescent="0.25">
      <c r="A18" s="186" t="s">
        <v>155</v>
      </c>
      <c r="B18" s="207">
        <v>10</v>
      </c>
      <c r="C18" s="203" t="s">
        <v>89</v>
      </c>
      <c r="D18" s="199"/>
      <c r="E18" s="200" t="str">
        <f>IF('Enter Taxa &amp; Numbers'!E18&gt;10,"Medium",IF('Enter Taxa &amp; Numbers'!E18&gt;0,"Low",""))</f>
        <v/>
      </c>
      <c r="F18" s="202" t="str">
        <f t="shared" si="2"/>
        <v/>
      </c>
      <c r="G18" s="36" t="str">
        <f t="shared" si="3"/>
        <v/>
      </c>
      <c r="H18" s="2"/>
      <c r="I18" s="87"/>
      <c r="J18" s="159" t="s">
        <v>106</v>
      </c>
      <c r="K18" s="157" t="s">
        <v>97</v>
      </c>
      <c r="L18" s="87"/>
      <c r="M18" s="196" t="s">
        <v>231</v>
      </c>
      <c r="N18" s="195" t="s">
        <v>189</v>
      </c>
      <c r="O18" s="195" t="s">
        <v>189</v>
      </c>
    </row>
    <row r="19" spans="1:15" ht="36" x14ac:dyDescent="0.25">
      <c r="A19" s="186" t="s">
        <v>156</v>
      </c>
      <c r="B19" s="207">
        <v>10</v>
      </c>
      <c r="C19" s="203" t="s">
        <v>89</v>
      </c>
      <c r="D19" s="199"/>
      <c r="E19" s="200" t="str">
        <f>IF('Enter Taxa &amp; Numbers'!E19&gt;10,"Medium",IF('Enter Taxa &amp; Numbers'!E19&gt;0,"Low",""))</f>
        <v/>
      </c>
      <c r="F19" s="202" t="str">
        <f t="shared" si="2"/>
        <v/>
      </c>
      <c r="G19" s="36"/>
      <c r="H19" s="2"/>
      <c r="I19" s="87"/>
      <c r="J19" s="159" t="s">
        <v>106</v>
      </c>
      <c r="K19" s="157" t="s">
        <v>97</v>
      </c>
      <c r="L19" s="87"/>
      <c r="M19" s="196" t="s">
        <v>232</v>
      </c>
      <c r="N19" s="193" t="s">
        <v>201</v>
      </c>
      <c r="O19" s="194" t="s">
        <v>202</v>
      </c>
    </row>
    <row r="20" spans="1:15" ht="25.5" x14ac:dyDescent="0.25">
      <c r="A20" s="186" t="s">
        <v>157</v>
      </c>
      <c r="B20" s="207">
        <v>10</v>
      </c>
      <c r="C20" s="203" t="s">
        <v>89</v>
      </c>
      <c r="D20" s="199"/>
      <c r="E20" s="200" t="str">
        <f>IF('Enter Taxa &amp; Numbers'!E20&gt;5,"Medium",IF('Enter Taxa &amp; Numbers'!E20&gt;0,"Low",""))</f>
        <v/>
      </c>
      <c r="F20" s="202" t="str">
        <f t="shared" si="2"/>
        <v/>
      </c>
      <c r="G20" s="36" t="str">
        <f t="shared" si="3"/>
        <v/>
      </c>
      <c r="H20" s="2"/>
      <c r="I20" s="87"/>
      <c r="J20" s="159" t="s">
        <v>107</v>
      </c>
      <c r="K20" s="157" t="s">
        <v>134</v>
      </c>
      <c r="L20" s="87"/>
      <c r="M20" s="196" t="s">
        <v>233</v>
      </c>
      <c r="N20" s="192" t="s">
        <v>203</v>
      </c>
      <c r="O20" s="194" t="s">
        <v>204</v>
      </c>
    </row>
    <row r="21" spans="1:15" ht="25.5" x14ac:dyDescent="0.25">
      <c r="A21" s="187" t="s">
        <v>154</v>
      </c>
      <c r="B21" s="208">
        <v>10</v>
      </c>
      <c r="C21" s="204" t="s">
        <v>89</v>
      </c>
      <c r="D21" s="199"/>
      <c r="E21" s="200" t="str">
        <f>IF('Enter Taxa &amp; Numbers'!E21&gt;50,"Medium",IF('Enter Taxa &amp; Numbers'!E21&gt;0,"Low",""))</f>
        <v/>
      </c>
      <c r="F21" s="202" t="str">
        <f t="shared" si="2"/>
        <v/>
      </c>
      <c r="G21" s="36" t="str">
        <f>IF(F21="Very High",10,IF(F21="High",8,IF(F21="Medium",5,IF(F21="Low",1,""))))</f>
        <v/>
      </c>
      <c r="H21" s="2"/>
      <c r="I21" s="158" t="s">
        <v>100</v>
      </c>
      <c r="J21" s="159" t="s">
        <v>103</v>
      </c>
      <c r="K21" s="157" t="s">
        <v>93</v>
      </c>
      <c r="L21" s="87"/>
      <c r="M21" s="196" t="s">
        <v>234</v>
      </c>
      <c r="N21" s="193" t="s">
        <v>205</v>
      </c>
      <c r="O21" s="193" t="s">
        <v>206</v>
      </c>
    </row>
    <row r="22" spans="1:15" ht="25.5" x14ac:dyDescent="0.25">
      <c r="A22" s="187" t="s">
        <v>158</v>
      </c>
      <c r="B22" s="208">
        <v>10</v>
      </c>
      <c r="C22" s="204" t="s">
        <v>90</v>
      </c>
      <c r="D22" s="199"/>
      <c r="E22" s="200" t="str">
        <f>IF('Enter Taxa &amp; Numbers'!E22&gt;50,"Medium",IF('Enter Taxa &amp; Numbers'!E22&gt;10,"Low",IF('Enter Taxa &amp; Numbers'!E22&gt;0,"No","")))</f>
        <v/>
      </c>
      <c r="F22" s="202" t="str">
        <f>IF(AND(C22="Low",E22="Medium"),"Medium",IF(AND(C22="Low",E22="Low"),"No",""))</f>
        <v/>
      </c>
      <c r="G22" s="36" t="str">
        <f t="shared" si="3"/>
        <v/>
      </c>
      <c r="H22" s="2"/>
      <c r="I22" s="158" t="s">
        <v>106</v>
      </c>
      <c r="J22" s="159" t="s">
        <v>98</v>
      </c>
      <c r="K22" s="157" t="s">
        <v>93</v>
      </c>
      <c r="L22" s="87"/>
      <c r="M22" s="196" t="s">
        <v>235</v>
      </c>
      <c r="N22" s="195" t="s">
        <v>189</v>
      </c>
      <c r="O22" s="192" t="s">
        <v>207</v>
      </c>
    </row>
    <row r="23" spans="1:15" ht="51" x14ac:dyDescent="0.25">
      <c r="A23" s="187" t="s">
        <v>135</v>
      </c>
      <c r="B23" s="208">
        <v>10</v>
      </c>
      <c r="C23" s="204" t="s">
        <v>90</v>
      </c>
      <c r="D23" s="199"/>
      <c r="E23" s="200" t="str">
        <f>IF('Enter Taxa &amp; Numbers'!E23&gt;1,"Medium","")</f>
        <v/>
      </c>
      <c r="F23" s="202" t="str">
        <f>IF(AND(C23="Low",E23="Medium"),"Medium","")</f>
        <v/>
      </c>
      <c r="G23" s="36"/>
      <c r="H23" s="2"/>
      <c r="I23" s="87"/>
      <c r="J23" s="155"/>
      <c r="K23" s="157" t="s">
        <v>136</v>
      </c>
      <c r="L23" s="87"/>
      <c r="M23" s="196" t="s">
        <v>236</v>
      </c>
      <c r="N23" s="194" t="s">
        <v>208</v>
      </c>
      <c r="O23" s="194" t="s">
        <v>209</v>
      </c>
    </row>
    <row r="24" spans="1:15" ht="26.25" customHeight="1" x14ac:dyDescent="0.25">
      <c r="A24" s="187" t="s">
        <v>159</v>
      </c>
      <c r="B24" s="208" t="s">
        <v>60</v>
      </c>
      <c r="C24" s="204" t="s">
        <v>90</v>
      </c>
      <c r="D24" s="199"/>
      <c r="E24" s="200" t="str">
        <f>IF('Enter Taxa &amp; Numbers'!E24&gt;50,"Medium",IF('Enter Taxa &amp; Numbers'!E24&gt;10,"Low",IF('Enter Taxa &amp; Numbers'!E24&gt;0,"No","")))</f>
        <v/>
      </c>
      <c r="F24" s="202" t="str">
        <f>IF(AND(C24="Low",E24="Medium"),"Medium","")</f>
        <v/>
      </c>
      <c r="G24" s="36"/>
      <c r="H24" s="2"/>
      <c r="I24" s="158" t="s">
        <v>106</v>
      </c>
      <c r="J24" s="159" t="s">
        <v>98</v>
      </c>
      <c r="K24" s="157" t="s">
        <v>93</v>
      </c>
      <c r="L24" s="87"/>
      <c r="M24" s="196" t="s">
        <v>237</v>
      </c>
      <c r="N24" s="192" t="s">
        <v>210</v>
      </c>
      <c r="O24" s="192" t="s">
        <v>210</v>
      </c>
    </row>
    <row r="25" spans="1:15" ht="36" x14ac:dyDescent="0.25">
      <c r="A25" s="187" t="s">
        <v>160</v>
      </c>
      <c r="B25" s="208">
        <v>9</v>
      </c>
      <c r="C25" s="204" t="s">
        <v>90</v>
      </c>
      <c r="D25" s="199"/>
      <c r="E25" s="200" t="str">
        <f>IF('Enter Taxa &amp; Numbers'!E25&gt;100,"Medium",IF('Enter Taxa &amp; Numbers'!E25&gt;50,"Low",IF('Enter Taxa &amp; Numbers'!E25&gt;10,"No","")))</f>
        <v/>
      </c>
      <c r="F25" s="202" t="str">
        <f>IF(AND(C25="Low",E25="Medium"),"Medium",IF(AND(C25="Low",E25="Low"),"Low",""))</f>
        <v/>
      </c>
      <c r="G25" s="36" t="str">
        <f t="shared" si="3"/>
        <v/>
      </c>
      <c r="H25" s="2"/>
      <c r="I25" s="158" t="s">
        <v>105</v>
      </c>
      <c r="J25" s="159" t="s">
        <v>99</v>
      </c>
      <c r="K25" s="157" t="s">
        <v>95</v>
      </c>
      <c r="L25" s="87"/>
      <c r="M25" s="196" t="s">
        <v>238</v>
      </c>
      <c r="N25" s="195" t="s">
        <v>211</v>
      </c>
      <c r="O25" s="195" t="s">
        <v>189</v>
      </c>
    </row>
    <row r="26" spans="1:15" ht="28.5" customHeight="1" x14ac:dyDescent="0.25">
      <c r="A26" s="187" t="s">
        <v>1</v>
      </c>
      <c r="B26" s="208">
        <v>8</v>
      </c>
      <c r="C26" s="204" t="s">
        <v>90</v>
      </c>
      <c r="D26" s="199"/>
      <c r="E26" s="200" t="str">
        <f>IF('Enter Taxa &amp; Numbers'!E26&gt;50,"Low",IF('Enter Taxa &amp; Numbers'!E26&gt;0,"No",""))</f>
        <v/>
      </c>
      <c r="F26" s="202" t="str">
        <f>IF(AND(C26="Low",E26="Low"),"Low",IF(AND(C26="Low",E26="No"),"No",""))</f>
        <v/>
      </c>
      <c r="G26" s="36" t="str">
        <f t="shared" si="3"/>
        <v/>
      </c>
      <c r="H26" s="2"/>
      <c r="I26" s="158" t="s">
        <v>108</v>
      </c>
      <c r="J26" s="159" t="s">
        <v>96</v>
      </c>
      <c r="K26" s="87"/>
      <c r="L26" s="87"/>
      <c r="M26" s="196" t="s">
        <v>239</v>
      </c>
      <c r="N26" s="192" t="s">
        <v>212</v>
      </c>
      <c r="O26" s="193" t="s">
        <v>213</v>
      </c>
    </row>
    <row r="27" spans="1:15" ht="39.75" customHeight="1" x14ac:dyDescent="0.25">
      <c r="A27" s="188" t="s">
        <v>8</v>
      </c>
      <c r="B27" s="209">
        <v>6</v>
      </c>
      <c r="C27" s="205" t="s">
        <v>90</v>
      </c>
      <c r="D27" s="199"/>
      <c r="E27" s="200" t="str">
        <f>IF('Enter Taxa &amp; Numbers'!E27&gt;100,"No","")</f>
        <v/>
      </c>
      <c r="F27" s="202" t="str">
        <f>IF(AND(C27="Low",E27="Low"),"Low",IF(AND(C27="Low",E27="No"),"No",""))</f>
        <v/>
      </c>
      <c r="G27" s="36" t="str">
        <f t="shared" si="3"/>
        <v/>
      </c>
      <c r="H27" s="2"/>
      <c r="I27" s="59"/>
      <c r="J27" s="159" t="s">
        <v>109</v>
      </c>
      <c r="K27" s="87"/>
      <c r="L27" s="87"/>
      <c r="M27" s="196" t="s">
        <v>240</v>
      </c>
      <c r="N27" s="195" t="s">
        <v>211</v>
      </c>
      <c r="O27" s="192" t="s">
        <v>214</v>
      </c>
    </row>
    <row r="28" spans="1:15" ht="15.75" x14ac:dyDescent="0.25">
      <c r="A28" s="188" t="s">
        <v>18</v>
      </c>
      <c r="B28" s="209">
        <v>5</v>
      </c>
      <c r="C28" s="205" t="s">
        <v>90</v>
      </c>
      <c r="D28" s="199"/>
      <c r="E28" s="200" t="str">
        <f>IF('Enter Taxa &amp; Numbers'!E28&gt;100,"No","")</f>
        <v/>
      </c>
      <c r="F28" s="202" t="str">
        <f>IF(AND(C28="Low",E28="Low"),"Low",IF(AND(C28="Low",E28="No"),"No",""))</f>
        <v/>
      </c>
      <c r="G28" s="36" t="str">
        <f t="shared" si="3"/>
        <v/>
      </c>
      <c r="H28" s="2"/>
      <c r="I28" s="59"/>
      <c r="J28" s="87"/>
      <c r="K28" s="87"/>
      <c r="L28" s="87"/>
      <c r="M28" s="196" t="s">
        <v>240</v>
      </c>
      <c r="N28" s="193" t="s">
        <v>215</v>
      </c>
      <c r="O28" s="195" t="s">
        <v>192</v>
      </c>
    </row>
    <row r="29" spans="1:15" ht="15.75" x14ac:dyDescent="0.25">
      <c r="A29" s="188" t="s">
        <v>19</v>
      </c>
      <c r="B29" s="209">
        <v>5</v>
      </c>
      <c r="C29" s="205" t="s">
        <v>90</v>
      </c>
      <c r="D29" s="199"/>
      <c r="E29" s="200" t="str">
        <f>IF('Enter Taxa &amp; Numbers'!E29&gt;100,"No","")</f>
        <v/>
      </c>
      <c r="F29" s="202" t="str">
        <f>IF(AND(C29="Low",E29="Low"),"Low",IF(AND(C29="Low",E29="No"),"No",""))</f>
        <v/>
      </c>
      <c r="G29" s="36" t="str">
        <f t="shared" si="3"/>
        <v/>
      </c>
      <c r="H29" s="2"/>
      <c r="I29" s="59"/>
      <c r="J29" s="87"/>
      <c r="K29" s="87"/>
      <c r="L29" s="87"/>
      <c r="M29" s="196" t="s">
        <v>240</v>
      </c>
      <c r="N29" s="192" t="s">
        <v>187</v>
      </c>
      <c r="O29" s="195" t="s">
        <v>189</v>
      </c>
    </row>
    <row r="30" spans="1:15" x14ac:dyDescent="0.3">
      <c r="C30" s="99"/>
      <c r="E30" s="100"/>
      <c r="F30" s="71"/>
    </row>
    <row r="31" spans="1:15" x14ac:dyDescent="0.3">
      <c r="D31" s="101" t="s">
        <v>68</v>
      </c>
      <c r="E31" s="102"/>
      <c r="F31" s="212" t="str">
        <f>IF(G31&gt;=10,"Very High",IF(G31&gt;=6,"High",IF(G31&gt;=4,"Medium",IF(G31&gt;=1,"Low","No"))))</f>
        <v>No</v>
      </c>
      <c r="G31" s="57">
        <f>(((SUM(G4:G12)+(SUM(G13:G25)+(SUM(G26:G29)))))/10)</f>
        <v>0</v>
      </c>
    </row>
    <row r="32" spans="1:15" x14ac:dyDescent="0.3">
      <c r="N32" s="8"/>
      <c r="O32" s="8"/>
    </row>
    <row r="33" spans="14:15" x14ac:dyDescent="0.3">
      <c r="N33" s="8"/>
      <c r="O33" s="8"/>
    </row>
    <row r="34" spans="14:15" x14ac:dyDescent="0.3">
      <c r="N34" s="8"/>
      <c r="O34" s="8"/>
    </row>
    <row r="35" spans="14:15" x14ac:dyDescent="0.3">
      <c r="N35" s="8"/>
      <c r="O35" s="8"/>
    </row>
    <row r="36" spans="14:15" x14ac:dyDescent="0.3">
      <c r="N36" s="8"/>
      <c r="O36" s="8"/>
    </row>
    <row r="37" spans="14:15" x14ac:dyDescent="0.3">
      <c r="N37" s="8"/>
      <c r="O37" s="8"/>
    </row>
    <row r="38" spans="14:15" x14ac:dyDescent="0.3">
      <c r="N38" s="8"/>
      <c r="O38" s="8"/>
    </row>
  </sheetData>
  <sheetProtection algorithmName="SHA-512" hashValue="W2D3zTXPeemsqtDTH42MRY/HLmUuE31zaF9ECjnuKFTehHERRyio0xzkgiiEEXkiCh2WAolPVNri++d+vEUI0w==" saltValue="TcF4VOFE3Zfdosr7gtZRow==" spinCount="100000" sheet="1" objects="1" scenarios="1" selectLockedCells="1" selectUnlockedCells="1"/>
  <protectedRanges>
    <protectedRange algorithmName="SHA-512" hashValue="Xb/6Cs/RWlWgmi7dE+0OHBdzGjvejsvUSrBSjQRplruEylIFZ3rzmjMv4DACeFH+InV+RfHe3YiMwMtTyDQgwQ==" saltValue="jI/MHAk4Tymx49T41tN/TA==" spinCount="100000" sqref="E4:G30" name="Range1"/>
  </protectedRanges>
  <mergeCells count="2">
    <mergeCell ref="I2:L2"/>
    <mergeCell ref="N2:O2"/>
  </mergeCells>
  <phoneticPr fontId="5" type="noConversion"/>
  <conditionalFormatting sqref="F31">
    <cfRule type="cellIs" dxfId="36" priority="8" operator="equal">
      <formula>"No"</formula>
    </cfRule>
    <cfRule type="cellIs" dxfId="35" priority="9" operator="equal">
      <formula>"Low"</formula>
    </cfRule>
    <cfRule type="cellIs" dxfId="34" priority="10" operator="equal">
      <formula>"Medium"</formula>
    </cfRule>
    <cfRule type="cellIs" dxfId="33" priority="11" operator="equal">
      <formula>"High"</formula>
    </cfRule>
    <cfRule type="cellIs" dxfId="32" priority="12" operator="equal">
      <formula>"Very High"</formula>
    </cfRule>
  </conditionalFormatting>
  <conditionalFormatting sqref="F11">
    <cfRule type="cellIs" dxfId="31" priority="1" operator="equal">
      <formula>"Low"</formula>
    </cfRule>
    <cfRule type="cellIs" dxfId="30" priority="2" operator="equal">
      <formula>"Medium"</formula>
    </cfRule>
    <cfRule type="cellIs" dxfId="29" priority="3" operator="equal">
      <formula>"Very High"</formula>
    </cfRule>
    <cfRule type="containsText" dxfId="28" priority="4" operator="containsText" text="&quot;Very High&quot;">
      <formula>NOT(ISERROR(SEARCH("""Very High""",F11)))</formula>
    </cfRule>
    <cfRule type="containsText" dxfId="27" priority="5" operator="containsText" text="High">
      <formula>NOT(ISERROR(SEARCH("High",F11)))</formula>
    </cfRule>
    <cfRule type="containsText" dxfId="26" priority="6" operator="containsText" text="Very High">
      <formula>NOT(ISERROR(SEARCH("Very High",F11)))</formula>
    </cfRule>
    <cfRule type="colorScale" priority="7">
      <colorScale>
        <cfvo type="min"/>
        <cfvo type="percentile" val="50"/>
        <cfvo type="max"/>
        <color rgb="FFF8696B"/>
        <color rgb="FFFFEB84"/>
        <color rgb="FF63BE7B"/>
      </colorScale>
    </cfRule>
  </conditionalFormatting>
  <conditionalFormatting sqref="F4:F10 F12:F29">
    <cfRule type="cellIs" dxfId="25" priority="48" operator="equal">
      <formula>"Low"</formula>
    </cfRule>
    <cfRule type="cellIs" dxfId="24" priority="49" operator="equal">
      <formula>"Medium"</formula>
    </cfRule>
    <cfRule type="cellIs" dxfId="23" priority="50" operator="equal">
      <formula>"Very High"</formula>
    </cfRule>
    <cfRule type="containsText" dxfId="22" priority="51" operator="containsText" text="&quot;Very High&quot;">
      <formula>NOT(ISERROR(SEARCH("""Very High""",F4)))</formula>
    </cfRule>
    <cfRule type="containsText" dxfId="21" priority="52" operator="containsText" text="High">
      <formula>NOT(ISERROR(SEARCH("High",F4)))</formula>
    </cfRule>
    <cfRule type="containsText" dxfId="20" priority="53" operator="containsText" text="Very High">
      <formula>NOT(ISERROR(SEARCH("Very High",F4)))</formula>
    </cfRule>
    <cfRule type="colorScale" priority="54">
      <colorScale>
        <cfvo type="min"/>
        <cfvo type="percentile" val="50"/>
        <cfvo type="max"/>
        <color rgb="FFF8696B"/>
        <color rgb="FFFFEB84"/>
        <color rgb="FF63BE7B"/>
      </colorScale>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workbookViewId="0">
      <selection activeCell="D9" sqref="D9"/>
    </sheetView>
  </sheetViews>
  <sheetFormatPr defaultRowHeight="15.75" x14ac:dyDescent="0.25"/>
  <cols>
    <col min="1" max="1" width="36.5" customWidth="1"/>
    <col min="2" max="2" width="30.75" customWidth="1"/>
    <col min="3" max="3" width="21.125" customWidth="1"/>
    <col min="4" max="4" width="30.75" style="240" customWidth="1"/>
    <col min="5" max="5" width="70.75" style="1" customWidth="1"/>
  </cols>
  <sheetData>
    <row r="1" spans="1:5" ht="21" x14ac:dyDescent="0.25">
      <c r="A1" s="235" t="s">
        <v>315</v>
      </c>
      <c r="B1" s="235"/>
      <c r="C1" s="235"/>
      <c r="D1" s="236"/>
    </row>
    <row r="3" spans="1:5" x14ac:dyDescent="0.25">
      <c r="A3" s="237" t="s">
        <v>316</v>
      </c>
      <c r="B3" s="237" t="s">
        <v>317</v>
      </c>
      <c r="C3" s="237" t="s">
        <v>318</v>
      </c>
      <c r="D3" s="238" t="s">
        <v>319</v>
      </c>
      <c r="E3" s="239" t="s">
        <v>320</v>
      </c>
    </row>
    <row r="4" spans="1:5" x14ac:dyDescent="0.25">
      <c r="A4" t="s">
        <v>321</v>
      </c>
      <c r="B4" t="s">
        <v>322</v>
      </c>
      <c r="C4" t="s">
        <v>325</v>
      </c>
      <c r="D4" s="240" t="s">
        <v>323</v>
      </c>
      <c r="E4" s="1" t="s">
        <v>324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
  <sheetViews>
    <sheetView zoomScale="56" zoomScaleNormal="56" workbookViewId="0">
      <pane xSplit="4" ySplit="2" topLeftCell="E3" activePane="bottomRight" state="frozen"/>
      <selection pane="topRight" activeCell="E1" sqref="E1"/>
      <selection pane="bottomLeft" activeCell="A3" sqref="A3"/>
      <selection pane="bottomRight" activeCell="F2" sqref="F2"/>
    </sheetView>
  </sheetViews>
  <sheetFormatPr defaultColWidth="11.25" defaultRowHeight="15.75" x14ac:dyDescent="0.25"/>
  <cols>
    <col min="1" max="1" width="14.75" style="6" customWidth="1"/>
    <col min="2" max="2" width="25.25" style="7" customWidth="1"/>
    <col min="3" max="3" width="25.25" style="4" customWidth="1"/>
    <col min="4" max="4" width="23.375" style="18" customWidth="1"/>
    <col min="5" max="5" width="22" style="19" customWidth="1"/>
    <col min="6" max="6" width="22.25" style="19" customWidth="1"/>
    <col min="7" max="7" width="25.75" style="2" customWidth="1"/>
    <col min="8" max="8" width="28.125" style="3" customWidth="1"/>
    <col min="9" max="9" width="28.125" style="5" customWidth="1"/>
    <col min="10" max="10" width="24" style="2" customWidth="1"/>
    <col min="11" max="11" width="22.25" style="5" customWidth="1"/>
    <col min="12" max="12" width="34.75" style="5" customWidth="1"/>
    <col min="13" max="13" width="15.25" style="3" customWidth="1"/>
    <col min="14" max="14" width="34.25" style="2" customWidth="1"/>
    <col min="15" max="15" width="23.25" style="2" customWidth="1"/>
    <col min="16" max="16" width="31" style="2" customWidth="1"/>
    <col min="17" max="17" width="15.125" style="3" customWidth="1"/>
  </cols>
  <sheetData>
    <row r="1" spans="1:18" s="1" customFormat="1" ht="57.6" customHeight="1" x14ac:dyDescent="0.25">
      <c r="A1" s="299" t="s">
        <v>5</v>
      </c>
      <c r="B1" s="299"/>
      <c r="C1" s="299"/>
      <c r="D1" s="25" t="s">
        <v>28</v>
      </c>
      <c r="E1" s="302" t="s">
        <v>35</v>
      </c>
      <c r="F1" s="302"/>
      <c r="G1" s="300" t="s">
        <v>26</v>
      </c>
      <c r="H1" s="300"/>
      <c r="I1" s="300"/>
      <c r="J1" s="300"/>
      <c r="K1" s="300"/>
      <c r="L1" s="300"/>
      <c r="M1" s="300"/>
      <c r="N1" s="301" t="s">
        <v>27</v>
      </c>
      <c r="O1" s="301"/>
      <c r="P1" s="301"/>
      <c r="Q1" s="301"/>
    </row>
    <row r="2" spans="1:18" s="17" customFormat="1" ht="298.14999999999998" customHeight="1" x14ac:dyDescent="0.25">
      <c r="A2" s="21" t="s">
        <v>0</v>
      </c>
      <c r="B2" s="21" t="s">
        <v>6</v>
      </c>
      <c r="C2" s="21" t="s">
        <v>34</v>
      </c>
      <c r="D2" s="16" t="s">
        <v>44</v>
      </c>
      <c r="E2" s="20" t="s">
        <v>31</v>
      </c>
      <c r="F2" s="20" t="s">
        <v>32</v>
      </c>
      <c r="G2" s="22" t="s">
        <v>33</v>
      </c>
      <c r="H2" s="22" t="s">
        <v>38</v>
      </c>
      <c r="I2" s="22" t="s">
        <v>36</v>
      </c>
      <c r="J2" s="22" t="s">
        <v>37</v>
      </c>
      <c r="K2" s="22" t="s">
        <v>39</v>
      </c>
      <c r="L2" s="22" t="s">
        <v>40</v>
      </c>
      <c r="M2" s="22" t="s">
        <v>29</v>
      </c>
      <c r="N2" s="23" t="s">
        <v>42</v>
      </c>
      <c r="O2" s="23" t="s">
        <v>43</v>
      </c>
      <c r="P2" s="23" t="s">
        <v>41</v>
      </c>
      <c r="Q2" s="23" t="s">
        <v>30</v>
      </c>
      <c r="R2" s="24"/>
    </row>
    <row r="3" spans="1:18" x14ac:dyDescent="0.25">
      <c r="A3" s="17"/>
      <c r="B3" s="26"/>
      <c r="C3" s="26"/>
      <c r="D3" s="27" t="e">
        <f>Table2[[#This Row],[dangerous emerging infectious disease prevalence score 70%]]*((Table2[[#This Row],[transmission risk score 30%]]+#REF!)/2)</f>
        <v>#REF!</v>
      </c>
      <c r="E3" s="28" t="e">
        <f>SUM(G3:M3)/#REF!</f>
        <v>#REF!</v>
      </c>
      <c r="F3" s="28" t="e">
        <f>SUM(N3:Q3)/#REF!</f>
        <v>#REF!</v>
      </c>
      <c r="G3" s="17"/>
      <c r="H3" s="29"/>
      <c r="I3" s="29"/>
      <c r="J3" s="17"/>
      <c r="K3" s="17"/>
      <c r="L3" s="17"/>
      <c r="M3" s="17" t="e">
        <f>IF(J3=#REF!,#REF!,IF(J3=#REF!,#REF!,IF(J3=#REF!,#REF!,IF(J3=#REF!,#REF!))))</f>
        <v>#REF!</v>
      </c>
      <c r="N3" s="17" t="s">
        <v>3</v>
      </c>
      <c r="O3" s="17" t="s">
        <v>4</v>
      </c>
      <c r="P3" s="17" t="s">
        <v>7</v>
      </c>
      <c r="Q3" s="17" t="e">
        <f>IF(P3=#REF!,#REF!,IF(P3=#REF!,#REF!,IF(P3=#REF!,#REF!,IF(P3=#REF!,#REF!))))</f>
        <v>#REF!</v>
      </c>
    </row>
    <row r="5" spans="1:18" ht="102.6" customHeight="1" x14ac:dyDescent="0.25">
      <c r="A5" s="303" t="s">
        <v>248</v>
      </c>
      <c r="B5" s="303"/>
      <c r="C5" s="303"/>
      <c r="D5" s="303"/>
    </row>
  </sheetData>
  <sheetProtection algorithmName="SHA-512" hashValue="oel8VqUsyo/BfexIUQ2jtafdWQ8ucrQm5hJOTMvlC4tfaxkmcECO1NMCvYkplDU5n296p+UB8MywM2k+1dADgA==" saltValue="Ecv7Qp0aofz88pbdO4HTew==" spinCount="100000" sheet="1" objects="1" scenarios="1"/>
  <mergeCells count="5">
    <mergeCell ref="A1:C1"/>
    <mergeCell ref="G1:M1"/>
    <mergeCell ref="N1:Q1"/>
    <mergeCell ref="E1:F1"/>
    <mergeCell ref="A5:D5"/>
  </mergeCells>
  <phoneticPr fontId="5" type="noConversion"/>
  <dataValidations count="2">
    <dataValidation type="list" allowBlank="1" showInputMessage="1" showErrorMessage="1" sqref="J3:L3">
      <formula1>#REF!</formula1>
    </dataValidation>
    <dataValidation type="list" allowBlank="1" showInputMessage="1" showErrorMessage="1" sqref="N3:P3 G3">
      <formula1>#REF!</formula1>
    </dataValidation>
  </dataValidations>
  <pageMargins left="0.7" right="0.7" top="0.75" bottom="0.75" header="0.3" footer="0.3"/>
  <pageSetup orientation="portrait" horizontalDpi="200" verticalDpi="200" copies="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Y19"/>
  <sheetViews>
    <sheetView topLeftCell="C1" workbookViewId="0">
      <selection activeCell="J19" sqref="J19"/>
    </sheetView>
  </sheetViews>
  <sheetFormatPr defaultRowHeight="15.75" x14ac:dyDescent="0.25"/>
  <cols>
    <col min="2" max="2" width="24.625" customWidth="1"/>
    <col min="3" max="4" width="10.25" customWidth="1"/>
    <col min="5" max="5" width="13.625" customWidth="1"/>
    <col min="10" max="10" width="13.625" customWidth="1"/>
    <col min="11" max="11" width="5.875" customWidth="1"/>
    <col min="12" max="12" width="3.75" customWidth="1"/>
    <col min="25" max="25" width="11.125" customWidth="1"/>
  </cols>
  <sheetData>
    <row r="5" spans="2:25" x14ac:dyDescent="0.25">
      <c r="Y5" s="34"/>
    </row>
    <row r="6" spans="2:25" ht="28.15" customHeight="1" x14ac:dyDescent="0.25">
      <c r="B6" t="s">
        <v>74</v>
      </c>
      <c r="C6" t="s">
        <v>122</v>
      </c>
      <c r="D6" t="s">
        <v>129</v>
      </c>
      <c r="E6" t="s">
        <v>123</v>
      </c>
      <c r="K6" s="37"/>
      <c r="L6">
        <v>10</v>
      </c>
      <c r="M6" s="44"/>
      <c r="N6" s="44"/>
      <c r="O6" s="44"/>
      <c r="P6" s="44"/>
      <c r="Q6" s="44"/>
      <c r="R6" s="44"/>
      <c r="S6" s="44"/>
      <c r="T6" s="44"/>
      <c r="U6" s="44"/>
      <c r="V6" s="44"/>
      <c r="W6" s="44"/>
      <c r="Y6" s="34"/>
    </row>
    <row r="7" spans="2:25" ht="30.6" customHeight="1" x14ac:dyDescent="0.25">
      <c r="B7" t="s">
        <v>124</v>
      </c>
      <c r="C7" s="50">
        <v>10</v>
      </c>
      <c r="D7" s="50">
        <v>10</v>
      </c>
      <c r="E7" s="37" t="s">
        <v>121</v>
      </c>
      <c r="K7" s="37"/>
      <c r="L7">
        <v>9</v>
      </c>
      <c r="M7" s="45"/>
      <c r="N7" s="45"/>
      <c r="O7" s="45"/>
      <c r="P7" s="45"/>
      <c r="Q7" s="45"/>
      <c r="R7" s="45"/>
      <c r="S7" s="45"/>
      <c r="T7" s="44"/>
      <c r="U7" s="44"/>
      <c r="V7" s="44"/>
      <c r="W7" s="44"/>
      <c r="Y7" s="34"/>
    </row>
    <row r="8" spans="2:25" ht="32.450000000000003" customHeight="1" x14ac:dyDescent="0.25">
      <c r="B8" t="s">
        <v>125</v>
      </c>
      <c r="C8" s="50">
        <v>7.666666666666667</v>
      </c>
      <c r="D8" s="50">
        <v>9</v>
      </c>
      <c r="E8" s="33" t="s">
        <v>70</v>
      </c>
      <c r="K8" s="33"/>
      <c r="L8">
        <v>8</v>
      </c>
      <c r="M8" s="46"/>
      <c r="N8" s="46"/>
      <c r="O8" s="46"/>
      <c r="P8" s="46"/>
      <c r="Q8" s="45"/>
      <c r="R8" s="45"/>
      <c r="S8" s="45"/>
      <c r="T8" s="45"/>
      <c r="U8" s="45"/>
      <c r="V8" s="44"/>
      <c r="W8" s="44"/>
      <c r="Y8" s="34"/>
    </row>
    <row r="9" spans="2:25" ht="29.45" customHeight="1" x14ac:dyDescent="0.25">
      <c r="B9" t="s">
        <v>114</v>
      </c>
      <c r="C9" s="50">
        <v>7.333333333333333</v>
      </c>
      <c r="D9" s="50">
        <v>8</v>
      </c>
      <c r="E9" s="33" t="s">
        <v>70</v>
      </c>
      <c r="K9" s="33"/>
      <c r="L9">
        <v>7</v>
      </c>
      <c r="M9" s="46"/>
      <c r="N9" s="46"/>
      <c r="O9" s="46"/>
      <c r="P9" s="46"/>
      <c r="Q9" s="46"/>
      <c r="R9" s="46"/>
      <c r="S9" s="45"/>
      <c r="T9" s="45"/>
      <c r="U9" s="45"/>
      <c r="V9" s="44"/>
      <c r="W9" s="44"/>
      <c r="Y9" s="34"/>
    </row>
    <row r="10" spans="2:25" ht="28.15" customHeight="1" x14ac:dyDescent="0.25">
      <c r="B10" t="s">
        <v>75</v>
      </c>
      <c r="C10" s="50">
        <v>6.333333333333333</v>
      </c>
      <c r="D10" s="50">
        <v>7</v>
      </c>
      <c r="E10" s="33" t="s">
        <v>70</v>
      </c>
      <c r="K10" s="32"/>
      <c r="L10">
        <v>6</v>
      </c>
      <c r="M10" s="46"/>
      <c r="N10" s="46"/>
      <c r="O10" s="46"/>
      <c r="P10" s="46"/>
      <c r="Q10" s="46"/>
      <c r="R10" s="46"/>
      <c r="S10" s="46"/>
      <c r="T10" s="46"/>
      <c r="U10" s="45"/>
      <c r="V10" s="45"/>
      <c r="W10" s="45"/>
      <c r="Y10" s="34"/>
    </row>
    <row r="11" spans="2:25" ht="26.45" customHeight="1" x14ac:dyDescent="0.25">
      <c r="B11" t="s">
        <v>86</v>
      </c>
      <c r="C11" s="50">
        <v>5.333333333333333</v>
      </c>
      <c r="D11" s="50">
        <v>6</v>
      </c>
      <c r="E11" s="32" t="s">
        <v>71</v>
      </c>
      <c r="K11" s="32"/>
      <c r="L11">
        <v>5</v>
      </c>
      <c r="M11" s="47"/>
      <c r="N11" s="46"/>
      <c r="O11" s="46"/>
      <c r="P11" s="46"/>
      <c r="Q11" s="46"/>
      <c r="R11" s="46"/>
      <c r="S11" s="46"/>
      <c r="T11" s="46"/>
      <c r="U11" s="46"/>
      <c r="V11" s="45"/>
      <c r="W11" s="45"/>
      <c r="Y11" s="34"/>
    </row>
    <row r="12" spans="2:25" ht="29.45" customHeight="1" x14ac:dyDescent="0.25">
      <c r="B12" t="s">
        <v>81</v>
      </c>
      <c r="C12" s="50">
        <v>5</v>
      </c>
      <c r="D12" s="50">
        <v>5</v>
      </c>
      <c r="E12" s="32" t="s">
        <v>71</v>
      </c>
      <c r="K12" s="31"/>
      <c r="L12">
        <v>4</v>
      </c>
      <c r="M12" s="47"/>
      <c r="N12" s="47"/>
      <c r="O12" s="47"/>
      <c r="P12" s="46"/>
      <c r="Q12" s="46"/>
      <c r="R12" s="46"/>
      <c r="S12" s="46"/>
      <c r="T12" s="46"/>
      <c r="U12" s="46"/>
      <c r="V12" s="46"/>
      <c r="W12" s="46"/>
      <c r="Y12" s="34"/>
    </row>
    <row r="13" spans="2:25" ht="33.6" customHeight="1" x14ac:dyDescent="0.25">
      <c r="B13" t="s">
        <v>78</v>
      </c>
      <c r="C13" s="50">
        <v>4</v>
      </c>
      <c r="D13" s="50">
        <v>4</v>
      </c>
      <c r="E13" s="32" t="s">
        <v>71</v>
      </c>
      <c r="K13" s="31"/>
      <c r="L13">
        <v>3</v>
      </c>
      <c r="M13" s="47"/>
      <c r="N13" s="47"/>
      <c r="O13" s="47"/>
      <c r="P13" s="47"/>
      <c r="Q13" s="46"/>
      <c r="R13" s="46"/>
      <c r="S13" s="46"/>
      <c r="T13" s="46"/>
      <c r="U13" s="46"/>
      <c r="V13" s="46"/>
      <c r="W13" s="46"/>
      <c r="Y13" s="34"/>
    </row>
    <row r="14" spans="2:25" ht="27" customHeight="1" x14ac:dyDescent="0.25">
      <c r="B14" t="s">
        <v>83</v>
      </c>
      <c r="C14" s="50">
        <v>3.6666666666666665</v>
      </c>
      <c r="D14" s="50">
        <v>3</v>
      </c>
      <c r="E14" s="32" t="s">
        <v>71</v>
      </c>
      <c r="K14" s="31"/>
      <c r="L14">
        <v>2</v>
      </c>
      <c r="M14" s="47"/>
      <c r="N14" s="47"/>
      <c r="O14" s="47"/>
      <c r="P14" s="47"/>
      <c r="Q14" s="47"/>
      <c r="R14" s="47"/>
      <c r="S14" s="46"/>
      <c r="T14" s="46"/>
      <c r="U14" s="46"/>
      <c r="V14" s="48"/>
      <c r="W14" s="48"/>
      <c r="Y14" s="34"/>
    </row>
    <row r="15" spans="2:25" ht="29.45" customHeight="1" x14ac:dyDescent="0.25">
      <c r="B15" t="s">
        <v>84</v>
      </c>
      <c r="C15" s="50">
        <v>2.6666666666666665</v>
      </c>
      <c r="D15" s="50">
        <v>2</v>
      </c>
      <c r="E15" s="31" t="s">
        <v>72</v>
      </c>
      <c r="K15" s="35"/>
      <c r="L15">
        <v>1</v>
      </c>
      <c r="M15" s="49"/>
      <c r="N15" s="47"/>
      <c r="O15" s="47"/>
      <c r="P15" s="47"/>
      <c r="Q15" s="47"/>
      <c r="R15" s="47"/>
      <c r="S15" s="47"/>
      <c r="T15" s="47"/>
      <c r="U15" s="47"/>
      <c r="V15" s="47"/>
      <c r="W15" s="47"/>
      <c r="Y15" s="34"/>
    </row>
    <row r="16" spans="2:25" ht="28.15" customHeight="1" x14ac:dyDescent="0.25">
      <c r="B16" t="s">
        <v>85</v>
      </c>
      <c r="C16" s="50">
        <v>2.6666666666666665</v>
      </c>
      <c r="D16" s="50">
        <v>1</v>
      </c>
      <c r="E16" s="31" t="s">
        <v>72</v>
      </c>
      <c r="K16" s="35"/>
      <c r="L16">
        <v>0</v>
      </c>
      <c r="M16" s="49"/>
      <c r="N16" s="49"/>
      <c r="O16" s="49"/>
      <c r="P16" s="49"/>
      <c r="Q16" s="49"/>
      <c r="R16" s="49"/>
      <c r="S16" s="49"/>
      <c r="T16" s="49"/>
      <c r="U16" s="49"/>
      <c r="V16" s="49"/>
      <c r="W16" s="49"/>
      <c r="Y16" s="34"/>
    </row>
    <row r="17" spans="2:25" x14ac:dyDescent="0.25">
      <c r="B17" t="s">
        <v>79</v>
      </c>
      <c r="C17" s="50">
        <v>1.3333333333333333</v>
      </c>
      <c r="D17" s="50">
        <v>0</v>
      </c>
      <c r="E17" s="31" t="s">
        <v>72</v>
      </c>
      <c r="M17" s="43">
        <v>0</v>
      </c>
      <c r="N17" s="42">
        <v>1</v>
      </c>
      <c r="O17" s="42">
        <v>2</v>
      </c>
      <c r="P17" s="41">
        <v>3</v>
      </c>
      <c r="Q17" s="41">
        <v>4</v>
      </c>
      <c r="R17" s="41">
        <v>5</v>
      </c>
      <c r="S17" s="40">
        <v>6</v>
      </c>
      <c r="T17" s="40">
        <v>7</v>
      </c>
      <c r="U17" s="40">
        <v>8</v>
      </c>
      <c r="V17" s="39">
        <v>9</v>
      </c>
      <c r="W17" s="39">
        <v>10</v>
      </c>
      <c r="Y17" s="34"/>
    </row>
    <row r="18" spans="2:25" x14ac:dyDescent="0.25">
      <c r="M18" s="38" t="s">
        <v>115</v>
      </c>
      <c r="N18" s="38" t="s">
        <v>24</v>
      </c>
      <c r="O18" s="38" t="s">
        <v>24</v>
      </c>
      <c r="P18" s="38" t="s">
        <v>116</v>
      </c>
      <c r="Q18" s="38" t="s">
        <v>116</v>
      </c>
      <c r="R18" s="38" t="s">
        <v>116</v>
      </c>
      <c r="S18" s="38" t="s">
        <v>22</v>
      </c>
      <c r="T18" s="38" t="s">
        <v>22</v>
      </c>
      <c r="U18" s="38" t="s">
        <v>22</v>
      </c>
      <c r="V18" s="38" t="s">
        <v>87</v>
      </c>
      <c r="W18" s="38" t="s">
        <v>87</v>
      </c>
    </row>
    <row r="19" spans="2:25" ht="162" x14ac:dyDescent="0.25">
      <c r="N19" s="54" t="s">
        <v>79</v>
      </c>
      <c r="O19" s="51" t="s">
        <v>128</v>
      </c>
      <c r="P19" s="52" t="s">
        <v>78</v>
      </c>
      <c r="Q19" s="8"/>
      <c r="R19" s="52" t="s">
        <v>127</v>
      </c>
      <c r="S19" s="52" t="s">
        <v>75</v>
      </c>
      <c r="T19" s="52" t="s">
        <v>126</v>
      </c>
      <c r="U19" s="8"/>
      <c r="V19" s="8"/>
      <c r="W19" s="53" t="s">
        <v>124</v>
      </c>
    </row>
  </sheetData>
  <sortState ref="B7:E17">
    <sortCondition descending="1" ref="C7:C17"/>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31"/>
  <sheetViews>
    <sheetView workbookViewId="0">
      <selection activeCell="U3" sqref="U3"/>
    </sheetView>
  </sheetViews>
  <sheetFormatPr defaultRowHeight="15.75" x14ac:dyDescent="0.25"/>
  <cols>
    <col min="2" max="3" width="13.125" customWidth="1"/>
    <col min="4" max="5" width="11.875" customWidth="1"/>
  </cols>
  <sheetData>
    <row r="3" spans="2:6" x14ac:dyDescent="0.25">
      <c r="B3" t="s">
        <v>74</v>
      </c>
      <c r="C3" t="s">
        <v>129</v>
      </c>
      <c r="D3" t="s">
        <v>122</v>
      </c>
      <c r="F3" t="s">
        <v>123</v>
      </c>
    </row>
    <row r="4" spans="2:6" x14ac:dyDescent="0.25">
      <c r="B4" t="s">
        <v>79</v>
      </c>
      <c r="C4">
        <v>0</v>
      </c>
      <c r="D4">
        <v>1.3333333333333333</v>
      </c>
      <c r="F4" t="s">
        <v>72</v>
      </c>
    </row>
    <row r="5" spans="2:6" x14ac:dyDescent="0.25">
      <c r="B5" t="s">
        <v>84</v>
      </c>
      <c r="C5">
        <v>2</v>
      </c>
      <c r="D5">
        <v>2.6666666666666665</v>
      </c>
      <c r="F5" t="s">
        <v>72</v>
      </c>
    </row>
    <row r="6" spans="2:6" x14ac:dyDescent="0.25">
      <c r="B6" t="s">
        <v>85</v>
      </c>
      <c r="C6">
        <v>1</v>
      </c>
      <c r="D6">
        <v>2.6666666666666665</v>
      </c>
      <c r="F6" t="s">
        <v>72</v>
      </c>
    </row>
    <row r="7" spans="2:6" x14ac:dyDescent="0.25">
      <c r="B7" t="s">
        <v>83</v>
      </c>
      <c r="C7">
        <v>3</v>
      </c>
      <c r="D7">
        <v>3.6666666666666665</v>
      </c>
      <c r="F7" t="s">
        <v>71</v>
      </c>
    </row>
    <row r="8" spans="2:6" x14ac:dyDescent="0.25">
      <c r="B8" t="s">
        <v>78</v>
      </c>
      <c r="C8">
        <v>4</v>
      </c>
      <c r="D8">
        <v>4</v>
      </c>
      <c r="F8" t="s">
        <v>71</v>
      </c>
    </row>
    <row r="9" spans="2:6" x14ac:dyDescent="0.25">
      <c r="B9" t="s">
        <v>81</v>
      </c>
      <c r="C9">
        <v>5</v>
      </c>
      <c r="D9">
        <v>5</v>
      </c>
      <c r="F9" t="s">
        <v>71</v>
      </c>
    </row>
    <row r="10" spans="2:6" x14ac:dyDescent="0.25">
      <c r="B10" t="s">
        <v>86</v>
      </c>
      <c r="C10">
        <v>6</v>
      </c>
      <c r="D10">
        <v>5.333333333333333</v>
      </c>
      <c r="F10" t="s">
        <v>71</v>
      </c>
    </row>
    <row r="11" spans="2:6" x14ac:dyDescent="0.25">
      <c r="B11" t="s">
        <v>75</v>
      </c>
      <c r="C11">
        <v>7</v>
      </c>
      <c r="D11">
        <v>6.333333333333333</v>
      </c>
      <c r="F11" t="s">
        <v>70</v>
      </c>
    </row>
    <row r="12" spans="2:6" x14ac:dyDescent="0.25">
      <c r="B12" t="s">
        <v>114</v>
      </c>
      <c r="C12">
        <v>8</v>
      </c>
      <c r="D12">
        <v>7.333333333333333</v>
      </c>
      <c r="F12" t="s">
        <v>70</v>
      </c>
    </row>
    <row r="13" spans="2:6" x14ac:dyDescent="0.25">
      <c r="B13" t="s">
        <v>125</v>
      </c>
      <c r="C13">
        <v>9</v>
      </c>
      <c r="D13">
        <v>7.666666666666667</v>
      </c>
      <c r="F13" t="s">
        <v>70</v>
      </c>
    </row>
    <row r="14" spans="2:6" x14ac:dyDescent="0.25">
      <c r="B14" t="s">
        <v>124</v>
      </c>
      <c r="C14">
        <v>10</v>
      </c>
      <c r="D14">
        <v>10</v>
      </c>
      <c r="F14" t="s">
        <v>121</v>
      </c>
    </row>
    <row r="20" spans="1:13" x14ac:dyDescent="0.25">
      <c r="A20" s="37"/>
      <c r="B20">
        <v>10</v>
      </c>
      <c r="C20" s="44"/>
      <c r="D20" s="44"/>
      <c r="E20" s="44"/>
      <c r="F20" s="44"/>
      <c r="G20" s="44"/>
      <c r="H20" s="44"/>
      <c r="I20" s="44"/>
      <c r="J20" s="44"/>
      <c r="K20" s="44"/>
      <c r="L20" s="44"/>
      <c r="M20" s="44"/>
    </row>
    <row r="21" spans="1:13" x14ac:dyDescent="0.25">
      <c r="A21" s="37"/>
      <c r="B21">
        <v>9</v>
      </c>
      <c r="C21" s="45"/>
      <c r="D21" s="45"/>
      <c r="E21" s="45"/>
      <c r="F21" s="45"/>
      <c r="G21" s="45"/>
      <c r="H21" s="45"/>
      <c r="I21" s="45"/>
      <c r="J21" s="44"/>
      <c r="K21" s="44"/>
      <c r="L21" s="44"/>
      <c r="M21" s="44"/>
    </row>
    <row r="22" spans="1:13" x14ac:dyDescent="0.25">
      <c r="A22" s="33"/>
      <c r="B22">
        <v>8</v>
      </c>
      <c r="C22" s="46"/>
      <c r="D22" s="46"/>
      <c r="E22" s="46"/>
      <c r="F22" s="46"/>
      <c r="G22" s="45"/>
      <c r="H22" s="45"/>
      <c r="I22" s="45"/>
      <c r="J22" s="45"/>
      <c r="K22" s="45"/>
      <c r="L22" s="44"/>
      <c r="M22" s="44"/>
    </row>
    <row r="23" spans="1:13" x14ac:dyDescent="0.25">
      <c r="A23" s="33"/>
      <c r="B23">
        <v>7</v>
      </c>
      <c r="C23" s="46"/>
      <c r="D23" s="46"/>
      <c r="E23" s="46"/>
      <c r="F23" s="46"/>
      <c r="G23" s="46"/>
      <c r="H23" s="46"/>
      <c r="I23" s="45"/>
      <c r="J23" s="45"/>
      <c r="K23" s="45"/>
      <c r="L23" s="44"/>
      <c r="M23" s="44"/>
    </row>
    <row r="24" spans="1:13" x14ac:dyDescent="0.25">
      <c r="A24" s="32"/>
      <c r="B24">
        <v>6</v>
      </c>
      <c r="C24" s="46"/>
      <c r="D24" s="46"/>
      <c r="E24" s="46"/>
      <c r="F24" s="46"/>
      <c r="G24" s="46"/>
      <c r="H24" s="46"/>
      <c r="I24" s="46"/>
      <c r="J24" s="46"/>
      <c r="K24" s="45"/>
      <c r="L24" s="45"/>
      <c r="M24" s="45"/>
    </row>
    <row r="25" spans="1:13" x14ac:dyDescent="0.25">
      <c r="A25" s="32"/>
      <c r="B25">
        <v>5</v>
      </c>
      <c r="C25" s="47"/>
      <c r="D25" s="46"/>
      <c r="E25" s="46"/>
      <c r="F25" s="46"/>
      <c r="G25" s="46"/>
      <c r="H25" s="46"/>
      <c r="I25" s="46"/>
      <c r="J25" s="46"/>
      <c r="K25" s="46"/>
      <c r="L25" s="45"/>
      <c r="M25" s="45"/>
    </row>
    <row r="26" spans="1:13" x14ac:dyDescent="0.25">
      <c r="A26" s="31"/>
      <c r="B26">
        <v>4</v>
      </c>
      <c r="C26" s="47"/>
      <c r="D26" s="47"/>
      <c r="E26" s="47"/>
      <c r="F26" s="46"/>
      <c r="G26" s="46"/>
      <c r="H26" s="46"/>
      <c r="I26" s="46"/>
      <c r="J26" s="46"/>
      <c r="K26" s="46"/>
      <c r="L26" s="46"/>
      <c r="M26" s="46"/>
    </row>
    <row r="27" spans="1:13" x14ac:dyDescent="0.25">
      <c r="A27" s="31"/>
      <c r="B27">
        <v>3</v>
      </c>
      <c r="C27" s="47"/>
      <c r="D27" s="47"/>
      <c r="E27" s="47"/>
      <c r="F27" s="47"/>
      <c r="G27" s="46"/>
      <c r="H27" s="46"/>
      <c r="I27" s="46"/>
      <c r="J27" s="46"/>
      <c r="K27" s="46"/>
      <c r="L27" s="46"/>
      <c r="M27" s="46"/>
    </row>
    <row r="28" spans="1:13" x14ac:dyDescent="0.25">
      <c r="A28" s="31"/>
      <c r="B28">
        <v>2</v>
      </c>
      <c r="C28" s="47"/>
      <c r="D28" s="47"/>
      <c r="E28" s="47"/>
      <c r="F28" s="47"/>
      <c r="G28" s="47"/>
      <c r="H28" s="47"/>
      <c r="I28" s="46"/>
      <c r="J28" s="46"/>
      <c r="K28" s="46"/>
      <c r="L28" s="48"/>
      <c r="M28" s="48"/>
    </row>
    <row r="29" spans="1:13" x14ac:dyDescent="0.25">
      <c r="A29" s="35"/>
      <c r="B29">
        <v>1</v>
      </c>
      <c r="C29" s="49"/>
      <c r="D29" s="47"/>
      <c r="E29" s="47"/>
      <c r="F29" s="47"/>
      <c r="G29" s="47"/>
      <c r="H29" s="47"/>
      <c r="I29" s="47"/>
      <c r="J29" s="47"/>
      <c r="K29" s="47"/>
      <c r="L29" s="47"/>
      <c r="M29" s="47"/>
    </row>
    <row r="30" spans="1:13" x14ac:dyDescent="0.25">
      <c r="A30" s="35"/>
      <c r="B30">
        <v>0</v>
      </c>
      <c r="C30" s="49"/>
      <c r="D30" s="49"/>
      <c r="E30" s="49"/>
      <c r="F30" s="49"/>
      <c r="G30" s="49"/>
      <c r="H30" s="49"/>
      <c r="I30" s="49"/>
      <c r="J30" s="49"/>
      <c r="K30" s="49"/>
      <c r="L30" s="49"/>
      <c r="M30" s="49"/>
    </row>
    <row r="31" spans="1:13" x14ac:dyDescent="0.25">
      <c r="C31" s="43">
        <v>0</v>
      </c>
      <c r="D31" s="42">
        <v>1</v>
      </c>
      <c r="E31" s="42">
        <v>2</v>
      </c>
      <c r="F31" s="41">
        <v>3</v>
      </c>
      <c r="G31" s="41">
        <v>4</v>
      </c>
      <c r="H31" s="41">
        <v>5</v>
      </c>
      <c r="I31" s="40">
        <v>6</v>
      </c>
      <c r="J31" s="40">
        <v>7</v>
      </c>
      <c r="K31" s="40">
        <v>8</v>
      </c>
      <c r="L31" s="39">
        <v>9</v>
      </c>
      <c r="M31" s="39">
        <v>10</v>
      </c>
    </row>
  </sheetData>
  <sortState ref="B4:F14">
    <sortCondition ref="D4:D14"/>
  </sortState>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Enter Taxa &amp; Numbers</vt:lpstr>
      <vt:lpstr>High Risk Taxa</vt:lpstr>
      <vt:lpstr>Risk of Wildlife Market </vt:lpstr>
      <vt:lpstr>Market Type Risk</vt:lpstr>
      <vt:lpstr>Traded Taxa Risk</vt:lpstr>
      <vt:lpstr>Record of Changes</vt:lpstr>
      <vt:lpstr>Risk Register Weightings</vt:lpstr>
      <vt:lpstr>Matrix</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Fabricius, Christo</dc:creator>
  <cp:lastModifiedBy>Wikramanayake</cp:lastModifiedBy>
  <dcterms:created xsi:type="dcterms:W3CDTF">2020-07-23T11:18:15Z</dcterms:created>
  <dcterms:modified xsi:type="dcterms:W3CDTF">2021-03-01T03:42:24Z</dcterms:modified>
</cp:coreProperties>
</file>