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https://d.docs.live.net/09faf3763b66d7a6/Documents/Article 1 MCDM/"/>
    </mc:Choice>
  </mc:AlternateContent>
  <xr:revisionPtr revIDLastSave="130" documentId="11_6FA408869D25D891E268EC79AF7303EFA8E37F24" xr6:coauthVersionLast="46" xr6:coauthVersionMax="46" xr10:uidLastSave="{BD2C228B-8434-4CCA-B599-66727F928B47}"/>
  <bookViews>
    <workbookView xWindow="-110" yWindow="-110" windowWidth="19420" windowHeight="10420" firstSheet="10" activeTab="12" xr2:uid="{00000000-000D-0000-FFFF-FFFF00000000}"/>
  </bookViews>
  <sheets>
    <sheet name="KPI Calc Sheet" sheetId="1" r:id="rId1"/>
    <sheet name="Raw Data - historical sales" sheetId="12" r:id="rId2"/>
    <sheet name="without outlier" sheetId="4" state="hidden" r:id="rId3"/>
    <sheet name="Prioritisation matrix" sheetId="13" r:id="rId4"/>
    <sheet name="ANP-TOPSIS Calculation sheet" sheetId="2" r:id="rId5"/>
    <sheet name="sensitivity analysis ME" sheetId="3" r:id="rId6"/>
    <sheet name="sensitivity analysis MAE" sheetId="5" r:id="rId7"/>
    <sheet name="sensitivity analysis RMSE" sheetId="6" r:id="rId8"/>
    <sheet name="sensitivity analysis MPE" sheetId="7" r:id="rId9"/>
    <sheet name="sensitivity analysis RMSPE" sheetId="8" r:id="rId10"/>
    <sheet name="sensitivity analysis MAPE" sheetId="9" r:id="rId11"/>
    <sheet name="sensitivity analysis R2" sheetId="10" r:id="rId12"/>
    <sheet name="Summary sensitivity analysis" sheetId="11" r:id="rId13"/>
  </sheets>
  <calcPr calcId="191029" concurrentCalc="0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5" i="13" l="1"/>
  <c r="I16" i="13"/>
  <c r="I17" i="13"/>
  <c r="I18" i="13"/>
  <c r="I19" i="13"/>
  <c r="I20" i="13"/>
  <c r="I14" i="13"/>
  <c r="I5" i="1"/>
  <c r="I6" i="1"/>
  <c r="I7" i="1"/>
  <c r="I8" i="1"/>
  <c r="I9" i="1"/>
  <c r="I10" i="1"/>
  <c r="I11" i="1"/>
  <c r="I12" i="1"/>
  <c r="I13" i="1"/>
  <c r="I14" i="1"/>
  <c r="I15" i="1"/>
  <c r="I4" i="1"/>
  <c r="H5" i="1"/>
  <c r="H6" i="1"/>
  <c r="H7" i="1"/>
  <c r="H8" i="1"/>
  <c r="H9" i="1"/>
  <c r="H10" i="1"/>
  <c r="H11" i="1"/>
  <c r="H12" i="1"/>
  <c r="H13" i="1"/>
  <c r="H14" i="1"/>
  <c r="H15" i="1"/>
  <c r="H4" i="1"/>
  <c r="D3" i="2"/>
  <c r="H3" i="2"/>
  <c r="L3" i="2"/>
  <c r="M3" i="2"/>
  <c r="R3" i="2"/>
  <c r="V3" i="2"/>
  <c r="H4" i="2"/>
  <c r="L4" i="2"/>
  <c r="M4" i="2"/>
  <c r="N4" i="2"/>
  <c r="O4" i="2"/>
  <c r="P4" i="2"/>
  <c r="R4" i="2"/>
  <c r="V4" i="2"/>
  <c r="H5" i="2"/>
  <c r="L5" i="2"/>
  <c r="M5" i="2"/>
  <c r="N5" i="2"/>
  <c r="O5" i="2"/>
  <c r="P5" i="2"/>
  <c r="R5" i="2"/>
  <c r="V5" i="2"/>
  <c r="D6" i="2"/>
  <c r="H6" i="2"/>
  <c r="L6" i="2"/>
  <c r="O6" i="2"/>
  <c r="R6" i="2"/>
  <c r="V6" i="2"/>
  <c r="H7" i="2"/>
  <c r="L7" i="2"/>
  <c r="M7" i="2"/>
  <c r="N7" i="2"/>
  <c r="O7" i="2"/>
  <c r="P7" i="2"/>
  <c r="R7" i="2"/>
  <c r="V7" i="2"/>
  <c r="H8" i="2"/>
  <c r="L8" i="2"/>
  <c r="M8" i="2"/>
  <c r="N8" i="2"/>
  <c r="O8" i="2"/>
  <c r="P8" i="2"/>
  <c r="R8" i="2"/>
  <c r="V8" i="2"/>
  <c r="H9" i="2"/>
  <c r="L9" i="2"/>
  <c r="M9" i="2"/>
  <c r="N9" i="2"/>
  <c r="O9" i="2"/>
  <c r="R9" i="2"/>
  <c r="V9" i="2"/>
  <c r="V10" i="2"/>
  <c r="Q4" i="1"/>
  <c r="Q5" i="1"/>
  <c r="Q6" i="1"/>
  <c r="Q7" i="1"/>
  <c r="Q8" i="1"/>
  <c r="Q9" i="1"/>
  <c r="Q10" i="1"/>
  <c r="Q11" i="1"/>
  <c r="Q12" i="1"/>
  <c r="Q13" i="1"/>
  <c r="Q14" i="1"/>
  <c r="Q15" i="1"/>
  <c r="R4" i="1"/>
  <c r="R5" i="1"/>
  <c r="R6" i="1"/>
  <c r="R7" i="1"/>
  <c r="R8" i="1"/>
  <c r="R9" i="1"/>
  <c r="R10" i="1"/>
  <c r="R11" i="1"/>
  <c r="R12" i="1"/>
  <c r="R13" i="1"/>
  <c r="R14" i="1"/>
  <c r="R15" i="1"/>
  <c r="S4" i="1"/>
  <c r="S5" i="1"/>
  <c r="S6" i="1"/>
  <c r="S7" i="1"/>
  <c r="S8" i="1"/>
  <c r="S9" i="1"/>
  <c r="S10" i="1"/>
  <c r="S11" i="1"/>
  <c r="S12" i="1"/>
  <c r="S13" i="1"/>
  <c r="S14" i="1"/>
  <c r="S15" i="1"/>
  <c r="P4" i="1"/>
  <c r="P5" i="1"/>
  <c r="P6" i="1"/>
  <c r="P7" i="1"/>
  <c r="P8" i="1"/>
  <c r="P9" i="1"/>
  <c r="P10" i="1"/>
  <c r="P11" i="1"/>
  <c r="P12" i="1"/>
  <c r="P13" i="1"/>
  <c r="P14" i="1"/>
  <c r="P15" i="1"/>
  <c r="C28" i="10"/>
  <c r="E31" i="10"/>
  <c r="D33" i="10"/>
  <c r="C24" i="10"/>
  <c r="J41" i="10"/>
  <c r="I40" i="10"/>
  <c r="J40" i="10"/>
  <c r="D3" i="10"/>
  <c r="H3" i="10"/>
  <c r="P14" i="10"/>
  <c r="N14" i="10"/>
  <c r="S14" i="10"/>
  <c r="H4" i="10"/>
  <c r="P15" i="10"/>
  <c r="L15" i="10"/>
  <c r="M15" i="10"/>
  <c r="N15" i="10"/>
  <c r="O15" i="10"/>
  <c r="H5" i="10"/>
  <c r="P16" i="10"/>
  <c r="L16" i="10"/>
  <c r="M16" i="10"/>
  <c r="N16" i="10"/>
  <c r="O16" i="10"/>
  <c r="D6" i="10"/>
  <c r="H6" i="10"/>
  <c r="P17" i="10"/>
  <c r="H7" i="10"/>
  <c r="N18" i="10"/>
  <c r="H8" i="10"/>
  <c r="N19" i="10"/>
  <c r="H9" i="10"/>
  <c r="O20" i="10"/>
  <c r="O17" i="10"/>
  <c r="AE14" i="10"/>
  <c r="L14" i="10"/>
  <c r="L17" i="10"/>
  <c r="N3" i="10"/>
  <c r="S3" i="10"/>
  <c r="P4" i="10"/>
  <c r="L4" i="10"/>
  <c r="M4" i="10"/>
  <c r="N4" i="10"/>
  <c r="P5" i="10"/>
  <c r="L5" i="10"/>
  <c r="M5" i="10"/>
  <c r="N5" i="10"/>
  <c r="O5" i="10"/>
  <c r="P6" i="10"/>
  <c r="N6" i="10"/>
  <c r="S6" i="10"/>
  <c r="O7" i="10"/>
  <c r="P8" i="10"/>
  <c r="O8" i="10"/>
  <c r="M9" i="10"/>
  <c r="M3" i="10"/>
  <c r="O6" i="10"/>
  <c r="R6" i="10"/>
  <c r="X6" i="10"/>
  <c r="O3" i="10"/>
  <c r="AF6" i="10"/>
  <c r="AE6" i="10"/>
  <c r="AD3" i="10"/>
  <c r="M6" i="10"/>
  <c r="W6" i="10"/>
  <c r="L3" i="10"/>
  <c r="AC3" i="10"/>
  <c r="C27" i="9"/>
  <c r="E31" i="9"/>
  <c r="D37" i="9"/>
  <c r="C28" i="9"/>
  <c r="D35" i="9"/>
  <c r="C26" i="9"/>
  <c r="D32" i="9"/>
  <c r="D33" i="9"/>
  <c r="D34" i="9"/>
  <c r="C25" i="9"/>
  <c r="J41" i="9"/>
  <c r="I40" i="9"/>
  <c r="J40" i="9"/>
  <c r="C23" i="9"/>
  <c r="C24" i="9"/>
  <c r="D3" i="9"/>
  <c r="H3" i="9"/>
  <c r="N3" i="9"/>
  <c r="S3" i="9"/>
  <c r="N14" i="9"/>
  <c r="S14" i="9"/>
  <c r="AE14" i="9"/>
  <c r="H4" i="9"/>
  <c r="L15" i="9"/>
  <c r="M15" i="9"/>
  <c r="N15" i="9"/>
  <c r="O15" i="9"/>
  <c r="H5" i="9"/>
  <c r="L16" i="9"/>
  <c r="P16" i="9"/>
  <c r="M16" i="9"/>
  <c r="N16" i="9"/>
  <c r="O16" i="9"/>
  <c r="D6" i="9"/>
  <c r="H7" i="9"/>
  <c r="P18" i="9"/>
  <c r="L18" i="9"/>
  <c r="M18" i="9"/>
  <c r="H8" i="9"/>
  <c r="P19" i="9"/>
  <c r="L19" i="9"/>
  <c r="M19" i="9"/>
  <c r="O19" i="9"/>
  <c r="H9" i="9"/>
  <c r="P20" i="9"/>
  <c r="M20" i="9"/>
  <c r="N20" i="9"/>
  <c r="L20" i="9"/>
  <c r="P4" i="9"/>
  <c r="L4" i="9"/>
  <c r="M4" i="9"/>
  <c r="N4" i="9"/>
  <c r="O4" i="9"/>
  <c r="P5" i="9"/>
  <c r="L5" i="9"/>
  <c r="M5" i="9"/>
  <c r="N5" i="9"/>
  <c r="O5" i="9"/>
  <c r="P7" i="9"/>
  <c r="L7" i="9"/>
  <c r="M7" i="9"/>
  <c r="O7" i="9"/>
  <c r="P8" i="9"/>
  <c r="L8" i="9"/>
  <c r="M8" i="9"/>
  <c r="N8" i="9"/>
  <c r="P9" i="9"/>
  <c r="M9" i="9"/>
  <c r="N9" i="9"/>
  <c r="O9" i="9"/>
  <c r="S9" i="9"/>
  <c r="AF9" i="9"/>
  <c r="M3" i="9"/>
  <c r="AD3" i="9"/>
  <c r="R3" i="9"/>
  <c r="X3" i="9"/>
  <c r="O3" i="9"/>
  <c r="AE3" i="9"/>
  <c r="AE9" i="9"/>
  <c r="AD9" i="9"/>
  <c r="L3" i="9"/>
  <c r="V3" i="9"/>
  <c r="C26" i="8"/>
  <c r="E31" i="8"/>
  <c r="D31" i="8"/>
  <c r="C22" i="8"/>
  <c r="J41" i="8"/>
  <c r="I40" i="8"/>
  <c r="J40" i="8"/>
  <c r="D3" i="8"/>
  <c r="H4" i="8"/>
  <c r="M15" i="8"/>
  <c r="P15" i="8"/>
  <c r="L15" i="8"/>
  <c r="N15" i="8"/>
  <c r="O15" i="8"/>
  <c r="H5" i="8"/>
  <c r="M16" i="8"/>
  <c r="P16" i="8"/>
  <c r="L16" i="8"/>
  <c r="N16" i="8"/>
  <c r="O16" i="8"/>
  <c r="D6" i="8"/>
  <c r="H6" i="8"/>
  <c r="P17" i="8"/>
  <c r="H7" i="8"/>
  <c r="P18" i="8"/>
  <c r="H8" i="8"/>
  <c r="H9" i="8"/>
  <c r="P20" i="8"/>
  <c r="M20" i="8"/>
  <c r="N20" i="8"/>
  <c r="R15" i="8"/>
  <c r="X15" i="8"/>
  <c r="O17" i="8"/>
  <c r="R17" i="8"/>
  <c r="Z17" i="8"/>
  <c r="L20" i="8"/>
  <c r="Y17" i="8"/>
  <c r="M17" i="8"/>
  <c r="W17" i="8"/>
  <c r="L17" i="8"/>
  <c r="V17" i="8"/>
  <c r="P4" i="8"/>
  <c r="L4" i="8"/>
  <c r="M4" i="8"/>
  <c r="N4" i="8"/>
  <c r="O4" i="8"/>
  <c r="R4" i="8"/>
  <c r="S4" i="8"/>
  <c r="P5" i="8"/>
  <c r="L5" i="8"/>
  <c r="M5" i="8"/>
  <c r="N5" i="8"/>
  <c r="O5" i="8"/>
  <c r="P6" i="8"/>
  <c r="N6" i="8"/>
  <c r="P9" i="8"/>
  <c r="O6" i="8"/>
  <c r="L9" i="8"/>
  <c r="X4" i="8"/>
  <c r="M6" i="8"/>
  <c r="W4" i="8"/>
  <c r="L6" i="8"/>
  <c r="E31" i="7"/>
  <c r="D37" i="7"/>
  <c r="C28" i="7"/>
  <c r="D36" i="7"/>
  <c r="C27" i="7"/>
  <c r="D35" i="7"/>
  <c r="C26" i="7"/>
  <c r="D32" i="7"/>
  <c r="C23" i="7"/>
  <c r="D33" i="7"/>
  <c r="C24" i="7"/>
  <c r="D31" i="7"/>
  <c r="C22" i="7"/>
  <c r="J41" i="7"/>
  <c r="I40" i="7"/>
  <c r="J40" i="7"/>
  <c r="D3" i="7"/>
  <c r="H3" i="7"/>
  <c r="H4" i="7"/>
  <c r="N15" i="7"/>
  <c r="O15" i="7"/>
  <c r="H5" i="7"/>
  <c r="M16" i="7"/>
  <c r="P16" i="7"/>
  <c r="L16" i="7"/>
  <c r="N16" i="7"/>
  <c r="O16" i="7"/>
  <c r="D6" i="7"/>
  <c r="H6" i="7"/>
  <c r="N17" i="7"/>
  <c r="P17" i="7"/>
  <c r="S17" i="7"/>
  <c r="AG17" i="7"/>
  <c r="AE17" i="7"/>
  <c r="H7" i="7"/>
  <c r="O18" i="7"/>
  <c r="M18" i="7"/>
  <c r="N18" i="7"/>
  <c r="H8" i="7"/>
  <c r="O19" i="7"/>
  <c r="M19" i="7"/>
  <c r="N19" i="7"/>
  <c r="H9" i="7"/>
  <c r="P20" i="7"/>
  <c r="N20" i="7"/>
  <c r="O20" i="7"/>
  <c r="O17" i="7"/>
  <c r="AF17" i="7"/>
  <c r="L20" i="7"/>
  <c r="L17" i="7"/>
  <c r="P4" i="7"/>
  <c r="O4" i="7"/>
  <c r="P5" i="7"/>
  <c r="L5" i="7"/>
  <c r="M5" i="7"/>
  <c r="N5" i="7"/>
  <c r="O5" i="7"/>
  <c r="N6" i="7"/>
  <c r="S6" i="7"/>
  <c r="AE6" i="7"/>
  <c r="P7" i="7"/>
  <c r="L7" i="7"/>
  <c r="M7" i="7"/>
  <c r="N7" i="7"/>
  <c r="O7" i="7"/>
  <c r="S7" i="7"/>
  <c r="AF7" i="7"/>
  <c r="P8" i="7"/>
  <c r="L8" i="7"/>
  <c r="M8" i="7"/>
  <c r="N8" i="7"/>
  <c r="O8" i="7"/>
  <c r="P9" i="7"/>
  <c r="M9" i="7"/>
  <c r="N9" i="7"/>
  <c r="O9" i="7"/>
  <c r="S9" i="7"/>
  <c r="AG9" i="7"/>
  <c r="L9" i="7"/>
  <c r="R9" i="7"/>
  <c r="W9" i="7"/>
  <c r="Z9" i="7"/>
  <c r="M6" i="7"/>
  <c r="AD9" i="7"/>
  <c r="L3" i="7"/>
  <c r="AC9" i="7"/>
  <c r="V9" i="7"/>
  <c r="C24" i="6"/>
  <c r="E31" i="6"/>
  <c r="D36" i="6"/>
  <c r="C27" i="6"/>
  <c r="D37" i="6"/>
  <c r="C28" i="6"/>
  <c r="D35" i="6"/>
  <c r="C26" i="6"/>
  <c r="D32" i="6"/>
  <c r="C23" i="6"/>
  <c r="J41" i="6"/>
  <c r="I40" i="6"/>
  <c r="J40" i="6"/>
  <c r="D3" i="6"/>
  <c r="H3" i="6"/>
  <c r="N14" i="6"/>
  <c r="H4" i="6"/>
  <c r="N15" i="6"/>
  <c r="P15" i="6"/>
  <c r="L15" i="6"/>
  <c r="M15" i="6"/>
  <c r="O15" i="6"/>
  <c r="S15" i="6"/>
  <c r="H5" i="6"/>
  <c r="N16" i="6"/>
  <c r="P16" i="6"/>
  <c r="L16" i="6"/>
  <c r="M16" i="6"/>
  <c r="O16" i="6"/>
  <c r="S16" i="6"/>
  <c r="D6" i="6"/>
  <c r="H6" i="6"/>
  <c r="P17" i="6"/>
  <c r="N17" i="6"/>
  <c r="S17" i="6"/>
  <c r="H7" i="6"/>
  <c r="O18" i="6"/>
  <c r="N18" i="6"/>
  <c r="H8" i="6"/>
  <c r="M19" i="6"/>
  <c r="H9" i="6"/>
  <c r="N20" i="6"/>
  <c r="O17" i="6"/>
  <c r="R17" i="6"/>
  <c r="AF17" i="6"/>
  <c r="Y17" i="6"/>
  <c r="AE17" i="6"/>
  <c r="X17" i="6"/>
  <c r="M17" i="6"/>
  <c r="AD17" i="6"/>
  <c r="L17" i="6"/>
  <c r="AC17" i="6"/>
  <c r="V17" i="6"/>
  <c r="P4" i="6"/>
  <c r="L4" i="6"/>
  <c r="M4" i="6"/>
  <c r="N4" i="6"/>
  <c r="O4" i="6"/>
  <c r="P5" i="6"/>
  <c r="L5" i="6"/>
  <c r="M5" i="6"/>
  <c r="N5" i="6"/>
  <c r="O5" i="6"/>
  <c r="P6" i="6"/>
  <c r="O6" i="6"/>
  <c r="R6" i="6"/>
  <c r="Z6" i="6"/>
  <c r="N6" i="6"/>
  <c r="S6" i="6"/>
  <c r="AE6" i="6"/>
  <c r="AG6" i="6"/>
  <c r="P7" i="6"/>
  <c r="M7" i="6"/>
  <c r="N7" i="6"/>
  <c r="O7" i="6"/>
  <c r="N8" i="6"/>
  <c r="O8" i="6"/>
  <c r="P9" i="6"/>
  <c r="M9" i="6"/>
  <c r="N9" i="6"/>
  <c r="X6" i="6"/>
  <c r="L9" i="6"/>
  <c r="AF6" i="6"/>
  <c r="Y6" i="6"/>
  <c r="M6" i="6"/>
  <c r="AD6" i="6"/>
  <c r="W6" i="6"/>
  <c r="L6" i="6"/>
  <c r="AC6" i="6"/>
  <c r="V6" i="6"/>
  <c r="E31" i="5"/>
  <c r="D33" i="5"/>
  <c r="C24" i="5"/>
  <c r="D35" i="5"/>
  <c r="D34" i="5"/>
  <c r="E31" i="3"/>
  <c r="D32" i="3"/>
  <c r="C23" i="3"/>
  <c r="D37" i="3"/>
  <c r="D34" i="3"/>
  <c r="D33" i="3"/>
  <c r="C24" i="3"/>
  <c r="J41" i="5"/>
  <c r="I40" i="5"/>
  <c r="J40" i="5"/>
  <c r="C25" i="5"/>
  <c r="C26" i="5"/>
  <c r="D3" i="5"/>
  <c r="H3" i="5"/>
  <c r="N14" i="5"/>
  <c r="S14" i="5"/>
  <c r="AE14" i="5"/>
  <c r="H4" i="5"/>
  <c r="P15" i="5"/>
  <c r="L15" i="5"/>
  <c r="O15" i="5"/>
  <c r="H5" i="5"/>
  <c r="P16" i="5"/>
  <c r="L16" i="5"/>
  <c r="O16" i="5"/>
  <c r="D6" i="5"/>
  <c r="H6" i="5"/>
  <c r="H7" i="5"/>
  <c r="H8" i="5"/>
  <c r="H9" i="5"/>
  <c r="M14" i="5"/>
  <c r="O17" i="5"/>
  <c r="R17" i="5"/>
  <c r="Y17" i="5"/>
  <c r="L14" i="5"/>
  <c r="P4" i="5"/>
  <c r="L4" i="5"/>
  <c r="M4" i="5"/>
  <c r="N4" i="5"/>
  <c r="O4" i="5"/>
  <c r="P5" i="5"/>
  <c r="L5" i="5"/>
  <c r="M5" i="5"/>
  <c r="N5" i="5"/>
  <c r="O5" i="5"/>
  <c r="P9" i="5"/>
  <c r="M9" i="5"/>
  <c r="L9" i="5"/>
  <c r="M6" i="5"/>
  <c r="L6" i="5"/>
  <c r="C25" i="3"/>
  <c r="C28" i="3"/>
  <c r="E13" i="4"/>
  <c r="E14" i="4"/>
  <c r="E15" i="4"/>
  <c r="E16" i="4"/>
  <c r="E17" i="4"/>
  <c r="E18" i="4"/>
  <c r="E19" i="4"/>
  <c r="B21" i="4"/>
  <c r="D14" i="4"/>
  <c r="D15" i="4"/>
  <c r="D16" i="4"/>
  <c r="D17" i="4"/>
  <c r="D18" i="4"/>
  <c r="D19" i="4"/>
  <c r="D13" i="4"/>
  <c r="H2" i="4"/>
  <c r="M2" i="4"/>
  <c r="H3" i="4"/>
  <c r="M3" i="4"/>
  <c r="O3" i="4"/>
  <c r="P3" i="4"/>
  <c r="H4" i="4"/>
  <c r="M4" i="4"/>
  <c r="O4" i="4"/>
  <c r="P4" i="4"/>
  <c r="H5" i="4"/>
  <c r="M5" i="4"/>
  <c r="O5" i="4"/>
  <c r="N15" i="4"/>
  <c r="O15" i="4"/>
  <c r="P15" i="4"/>
  <c r="L16" i="4"/>
  <c r="H6" i="4"/>
  <c r="N14" i="4"/>
  <c r="M14" i="4"/>
  <c r="D25" i="4"/>
  <c r="D26" i="4"/>
  <c r="D27" i="4"/>
  <c r="D28" i="4"/>
  <c r="D29" i="4"/>
  <c r="D30" i="4"/>
  <c r="D24" i="4"/>
  <c r="H7" i="4"/>
  <c r="L7" i="4"/>
  <c r="H8" i="4"/>
  <c r="M19" i="4"/>
  <c r="N8" i="4"/>
  <c r="O8" i="4"/>
  <c r="L9" i="1"/>
  <c r="N9" i="1"/>
  <c r="J4" i="1"/>
  <c r="L6" i="1"/>
  <c r="M6" i="1"/>
  <c r="N6" i="1"/>
  <c r="L7" i="1"/>
  <c r="M7" i="1"/>
  <c r="L8" i="1"/>
  <c r="N8" i="1"/>
  <c r="L10" i="1"/>
  <c r="M10" i="1"/>
  <c r="L11" i="1"/>
  <c r="N11" i="1"/>
  <c r="L12" i="1"/>
  <c r="N12" i="1"/>
  <c r="J13" i="1"/>
  <c r="K13" i="1"/>
  <c r="L14" i="1"/>
  <c r="N14" i="1"/>
  <c r="L15" i="1"/>
  <c r="M15" i="1"/>
  <c r="N15" i="1"/>
  <c r="M9" i="1"/>
  <c r="M8" i="1"/>
  <c r="M11" i="1"/>
  <c r="M12" i="1"/>
  <c r="M14" i="1"/>
  <c r="J9" i="1"/>
  <c r="K9" i="1"/>
  <c r="J6" i="1"/>
  <c r="K6" i="1"/>
  <c r="J7" i="1"/>
  <c r="K7" i="1"/>
  <c r="J8" i="1"/>
  <c r="K8" i="1"/>
  <c r="J10" i="1"/>
  <c r="K10" i="1"/>
  <c r="J11" i="1"/>
  <c r="K11" i="1"/>
  <c r="J12" i="1"/>
  <c r="K12" i="1"/>
  <c r="J14" i="1"/>
  <c r="K14" i="1"/>
  <c r="J15" i="1"/>
  <c r="K15" i="1"/>
  <c r="L14" i="2"/>
  <c r="D3" i="3"/>
  <c r="H3" i="3"/>
  <c r="P14" i="3"/>
  <c r="H4" i="3"/>
  <c r="M15" i="3"/>
  <c r="O15" i="3"/>
  <c r="H5" i="3"/>
  <c r="M16" i="3"/>
  <c r="D6" i="3"/>
  <c r="H6" i="3"/>
  <c r="N17" i="3"/>
  <c r="S17" i="3"/>
  <c r="AE17" i="3"/>
  <c r="H7" i="3"/>
  <c r="H8" i="3"/>
  <c r="L19" i="3"/>
  <c r="O19" i="3"/>
  <c r="H9" i="3"/>
  <c r="M20" i="3"/>
  <c r="L20" i="3"/>
  <c r="L4" i="3"/>
  <c r="N4" i="3"/>
  <c r="O4" i="3"/>
  <c r="P5" i="3"/>
  <c r="P6" i="3"/>
  <c r="N6" i="3"/>
  <c r="S6" i="3"/>
  <c r="M6" i="3"/>
  <c r="AD6" i="3"/>
  <c r="M7" i="3"/>
  <c r="N7" i="3"/>
  <c r="O7" i="3"/>
  <c r="O8" i="3"/>
  <c r="M9" i="3"/>
  <c r="O9" i="3"/>
  <c r="M3" i="3"/>
  <c r="R3" i="3"/>
  <c r="O6" i="3"/>
  <c r="R6" i="3"/>
  <c r="Y6" i="3"/>
  <c r="W6" i="3"/>
  <c r="L9" i="3"/>
  <c r="AE6" i="3"/>
  <c r="W3" i="3"/>
  <c r="L3" i="3"/>
  <c r="L6" i="3"/>
  <c r="M14" i="2"/>
  <c r="R14" i="2"/>
  <c r="V14" i="2"/>
  <c r="M15" i="2"/>
  <c r="L16" i="2"/>
  <c r="M16" i="2"/>
  <c r="P18" i="2"/>
  <c r="L18" i="2"/>
  <c r="M18" i="2"/>
  <c r="N18" i="2"/>
  <c r="O18" i="2"/>
  <c r="P19" i="2"/>
  <c r="L19" i="2"/>
  <c r="M19" i="2"/>
  <c r="N19" i="2"/>
  <c r="O19" i="2"/>
  <c r="S19" i="2"/>
  <c r="P20" i="2"/>
  <c r="L20" i="2"/>
  <c r="M20" i="2"/>
  <c r="N20" i="2"/>
  <c r="O20" i="2"/>
  <c r="N3" i="2"/>
  <c r="S3" i="2"/>
  <c r="AC3" i="2"/>
  <c r="AE3" i="2"/>
  <c r="N14" i="2"/>
  <c r="S14" i="2"/>
  <c r="AC14" i="2"/>
  <c r="P9" i="2"/>
  <c r="P3" i="2"/>
  <c r="AG3" i="2"/>
  <c r="O3" i="2"/>
  <c r="Z3" i="2"/>
  <c r="AF3" i="2"/>
  <c r="Y3" i="2"/>
  <c r="X3" i="2"/>
  <c r="AD3" i="2"/>
  <c r="W3" i="2"/>
  <c r="O14" i="2"/>
  <c r="P14" i="2"/>
  <c r="W14" i="2"/>
  <c r="X14" i="2"/>
  <c r="Y14" i="2"/>
  <c r="Z14" i="2"/>
  <c r="AE19" i="2"/>
  <c r="AF19" i="2"/>
  <c r="AG19" i="2"/>
  <c r="AC19" i="2"/>
  <c r="O17" i="2"/>
  <c r="P6" i="2"/>
  <c r="M17" i="2"/>
  <c r="L17" i="2"/>
  <c r="N6" i="2"/>
  <c r="P17" i="2"/>
  <c r="M6" i="2"/>
  <c r="M19" i="3"/>
  <c r="N19" i="3"/>
  <c r="P19" i="3"/>
  <c r="R19" i="3"/>
  <c r="Y19" i="3"/>
  <c r="V19" i="3"/>
  <c r="M7" i="4"/>
  <c r="N7" i="4"/>
  <c r="O7" i="4"/>
  <c r="P7" i="4"/>
  <c r="S7" i="4"/>
  <c r="AC7" i="4"/>
  <c r="R2" i="4"/>
  <c r="W2" i="4"/>
  <c r="S16" i="10"/>
  <c r="AD16" i="10"/>
  <c r="S15" i="10"/>
  <c r="AC15" i="10"/>
  <c r="R15" i="10"/>
  <c r="R16" i="1"/>
  <c r="AD19" i="2"/>
  <c r="AE14" i="2"/>
  <c r="R19" i="2"/>
  <c r="V19" i="2"/>
  <c r="L15" i="2"/>
  <c r="V6" i="3"/>
  <c r="AF6" i="3"/>
  <c r="O14" i="3"/>
  <c r="O3" i="3"/>
  <c r="L14" i="3"/>
  <c r="N10" i="1"/>
  <c r="P19" i="4"/>
  <c r="L19" i="4"/>
  <c r="N19" i="4"/>
  <c r="O19" i="4"/>
  <c r="P8" i="4"/>
  <c r="M8" i="4"/>
  <c r="L17" i="4"/>
  <c r="M6" i="4"/>
  <c r="O17" i="4"/>
  <c r="O6" i="4"/>
  <c r="P17" i="4"/>
  <c r="N17" i="4"/>
  <c r="M17" i="4"/>
  <c r="P6" i="4"/>
  <c r="L6" i="4"/>
  <c r="L13" i="4"/>
  <c r="N2" i="4"/>
  <c r="O13" i="4"/>
  <c r="L2" i="4"/>
  <c r="P13" i="4"/>
  <c r="O2" i="4"/>
  <c r="P2" i="4"/>
  <c r="N13" i="4"/>
  <c r="F13" i="4"/>
  <c r="AF14" i="2"/>
  <c r="S20" i="2"/>
  <c r="Z6" i="3"/>
  <c r="AG6" i="3"/>
  <c r="P16" i="3"/>
  <c r="L16" i="3"/>
  <c r="N16" i="3"/>
  <c r="L5" i="3"/>
  <c r="O16" i="3"/>
  <c r="M5" i="3"/>
  <c r="N5" i="3"/>
  <c r="O5" i="3"/>
  <c r="L13" i="1"/>
  <c r="L5" i="1"/>
  <c r="J5" i="1"/>
  <c r="K5" i="1"/>
  <c r="R20" i="2"/>
  <c r="Y20" i="2"/>
  <c r="V20" i="2"/>
  <c r="X6" i="3"/>
  <c r="P8" i="3"/>
  <c r="L8" i="3"/>
  <c r="M8" i="3"/>
  <c r="L8" i="4"/>
  <c r="M13" i="4"/>
  <c r="AG16" i="6"/>
  <c r="AD16" i="6"/>
  <c r="AC16" i="6"/>
  <c r="AD6" i="7"/>
  <c r="AC4" i="8"/>
  <c r="AF4" i="8"/>
  <c r="AE4" i="8"/>
  <c r="AG4" i="8"/>
  <c r="AD4" i="8"/>
  <c r="N15" i="2"/>
  <c r="O15" i="2"/>
  <c r="P15" i="2"/>
  <c r="W19" i="2"/>
  <c r="AD14" i="2"/>
  <c r="AC6" i="3"/>
  <c r="N8" i="3"/>
  <c r="M14" i="3"/>
  <c r="P18" i="3"/>
  <c r="M18" i="3"/>
  <c r="N18" i="3"/>
  <c r="L18" i="3"/>
  <c r="O18" i="3"/>
  <c r="P7" i="3"/>
  <c r="L7" i="3"/>
  <c r="N6" i="4"/>
  <c r="M16" i="4"/>
  <c r="N16" i="4"/>
  <c r="O16" i="4"/>
  <c r="P16" i="4"/>
  <c r="S16" i="4"/>
  <c r="AC16" i="4"/>
  <c r="N5" i="4"/>
  <c r="L5" i="4"/>
  <c r="P5" i="4"/>
  <c r="AC14" i="5"/>
  <c r="P18" i="4"/>
  <c r="M18" i="4"/>
  <c r="N18" i="4"/>
  <c r="L18" i="4"/>
  <c r="O18" i="4"/>
  <c r="R4" i="5"/>
  <c r="Z4" i="5"/>
  <c r="S4" i="5"/>
  <c r="V4" i="5"/>
  <c r="AG14" i="2"/>
  <c r="R18" i="2"/>
  <c r="X18" i="2"/>
  <c r="V18" i="2"/>
  <c r="S18" i="2"/>
  <c r="AD18" i="2"/>
  <c r="N16" i="2"/>
  <c r="O16" i="2"/>
  <c r="P16" i="2"/>
  <c r="R16" i="2"/>
  <c r="N3" i="3"/>
  <c r="P19" i="5"/>
  <c r="L8" i="5"/>
  <c r="L19" i="5"/>
  <c r="M8" i="5"/>
  <c r="M19" i="5"/>
  <c r="N8" i="5"/>
  <c r="N19" i="5"/>
  <c r="O19" i="5"/>
  <c r="P8" i="5"/>
  <c r="O8" i="5"/>
  <c r="N17" i="2"/>
  <c r="V3" i="3"/>
  <c r="P3" i="3"/>
  <c r="N14" i="3"/>
  <c r="S19" i="4"/>
  <c r="AD19" i="4"/>
  <c r="P18" i="5"/>
  <c r="P7" i="5"/>
  <c r="L18" i="5"/>
  <c r="L7" i="5"/>
  <c r="M18" i="5"/>
  <c r="M7" i="5"/>
  <c r="N18" i="5"/>
  <c r="O18" i="5"/>
  <c r="O7" i="5"/>
  <c r="N7" i="5"/>
  <c r="M17" i="3"/>
  <c r="P17" i="3"/>
  <c r="L17" i="3"/>
  <c r="N15" i="3"/>
  <c r="L14" i="4"/>
  <c r="N3" i="4"/>
  <c r="O14" i="4"/>
  <c r="L3" i="4"/>
  <c r="P14" i="4"/>
  <c r="S14" i="6"/>
  <c r="AE14" i="6"/>
  <c r="S6" i="8"/>
  <c r="AC6" i="8"/>
  <c r="AE6" i="8"/>
  <c r="N9" i="3"/>
  <c r="M4" i="3"/>
  <c r="P4" i="3"/>
  <c r="R4" i="3"/>
  <c r="O17" i="3"/>
  <c r="B19" i="1"/>
  <c r="N7" i="1"/>
  <c r="L4" i="1"/>
  <c r="E21" i="4"/>
  <c r="F21" i="4"/>
  <c r="F14" i="4"/>
  <c r="M17" i="5"/>
  <c r="P17" i="5"/>
  <c r="L17" i="5"/>
  <c r="P6" i="5"/>
  <c r="O6" i="5"/>
  <c r="N6" i="5"/>
  <c r="P20" i="3"/>
  <c r="N20" i="3"/>
  <c r="O20" i="3"/>
  <c r="S20" i="3"/>
  <c r="P15" i="3"/>
  <c r="L15" i="3"/>
  <c r="N9" i="5"/>
  <c r="O9" i="5"/>
  <c r="R9" i="5"/>
  <c r="V9" i="5"/>
  <c r="R14" i="5"/>
  <c r="X14" i="5"/>
  <c r="P9" i="3"/>
  <c r="K4" i="1"/>
  <c r="N4" i="4"/>
  <c r="L15" i="4"/>
  <c r="L4" i="4"/>
  <c r="M15" i="4"/>
  <c r="W14" i="5"/>
  <c r="AD14" i="5"/>
  <c r="O19" i="8"/>
  <c r="M19" i="8"/>
  <c r="P8" i="8"/>
  <c r="N19" i="8"/>
  <c r="L8" i="8"/>
  <c r="M8" i="8"/>
  <c r="N8" i="8"/>
  <c r="O8" i="8"/>
  <c r="L19" i="8"/>
  <c r="P19" i="8"/>
  <c r="R4" i="6"/>
  <c r="X4" i="6"/>
  <c r="S4" i="6"/>
  <c r="AC4" i="6"/>
  <c r="V4" i="6"/>
  <c r="S5" i="6"/>
  <c r="AE5" i="6"/>
  <c r="S5" i="5"/>
  <c r="AD5" i="5"/>
  <c r="P20" i="5"/>
  <c r="M20" i="5"/>
  <c r="N20" i="5"/>
  <c r="O20" i="5"/>
  <c r="L20" i="5"/>
  <c r="AD5" i="6"/>
  <c r="R5" i="6"/>
  <c r="W5" i="6"/>
  <c r="AE7" i="7"/>
  <c r="AG6" i="8"/>
  <c r="R5" i="5"/>
  <c r="O3" i="5"/>
  <c r="O14" i="5"/>
  <c r="P3" i="5"/>
  <c r="N3" i="5"/>
  <c r="P14" i="5"/>
  <c r="M3" i="5"/>
  <c r="L3" i="5"/>
  <c r="P19" i="6"/>
  <c r="L19" i="6"/>
  <c r="M8" i="6"/>
  <c r="N19" i="6"/>
  <c r="O19" i="6"/>
  <c r="P8" i="6"/>
  <c r="L8" i="6"/>
  <c r="Y4" i="6"/>
  <c r="AE16" i="6"/>
  <c r="R16" i="6"/>
  <c r="X16" i="6"/>
  <c r="P14" i="6"/>
  <c r="M3" i="6"/>
  <c r="M14" i="6"/>
  <c r="L3" i="6"/>
  <c r="P3" i="6"/>
  <c r="O14" i="6"/>
  <c r="N3" i="6"/>
  <c r="O3" i="6"/>
  <c r="AC7" i="7"/>
  <c r="AG7" i="7"/>
  <c r="S5" i="7"/>
  <c r="AC5" i="7"/>
  <c r="R5" i="7"/>
  <c r="R17" i="7"/>
  <c r="Y17" i="7"/>
  <c r="R16" i="7"/>
  <c r="Y16" i="7"/>
  <c r="P14" i="7"/>
  <c r="M14" i="7"/>
  <c r="L14" i="7"/>
  <c r="N14" i="7"/>
  <c r="O3" i="7"/>
  <c r="P3" i="7"/>
  <c r="N3" i="7"/>
  <c r="M3" i="7"/>
  <c r="O14" i="7"/>
  <c r="R6" i="8"/>
  <c r="Y6" i="8"/>
  <c r="V6" i="8"/>
  <c r="AF6" i="8"/>
  <c r="AF3" i="9"/>
  <c r="Y3" i="9"/>
  <c r="AD4" i="6"/>
  <c r="W4" i="6"/>
  <c r="L14" i="6"/>
  <c r="Z17" i="6"/>
  <c r="AG17" i="6"/>
  <c r="AG15" i="6"/>
  <c r="AD15" i="6"/>
  <c r="AF15" i="6"/>
  <c r="AG5" i="7"/>
  <c r="N16" i="5"/>
  <c r="N15" i="5"/>
  <c r="D35" i="3"/>
  <c r="C26" i="3"/>
  <c r="D36" i="3"/>
  <c r="C27" i="3"/>
  <c r="C29" i="3"/>
  <c r="D36" i="5"/>
  <c r="C27" i="5"/>
  <c r="Z4" i="6"/>
  <c r="O20" i="6"/>
  <c r="X16" i="7"/>
  <c r="S16" i="7"/>
  <c r="AD16" i="7"/>
  <c r="O18" i="8"/>
  <c r="L18" i="8"/>
  <c r="M18" i="8"/>
  <c r="P7" i="8"/>
  <c r="N18" i="8"/>
  <c r="L7" i="8"/>
  <c r="M7" i="8"/>
  <c r="N7" i="8"/>
  <c r="O7" i="8"/>
  <c r="N17" i="5"/>
  <c r="M16" i="5"/>
  <c r="R16" i="5"/>
  <c r="M15" i="5"/>
  <c r="R15" i="5"/>
  <c r="D37" i="5"/>
  <c r="C28" i="5"/>
  <c r="AG16" i="7"/>
  <c r="Y15" i="8"/>
  <c r="L20" i="6"/>
  <c r="P20" i="6"/>
  <c r="M20" i="6"/>
  <c r="O9" i="6"/>
  <c r="S9" i="6"/>
  <c r="AF16" i="6"/>
  <c r="AC15" i="6"/>
  <c r="W16" i="7"/>
  <c r="S15" i="8"/>
  <c r="AE15" i="8"/>
  <c r="S5" i="9"/>
  <c r="AF5" i="9"/>
  <c r="P18" i="6"/>
  <c r="L18" i="6"/>
  <c r="L7" i="6"/>
  <c r="M18" i="6"/>
  <c r="W16" i="6"/>
  <c r="Z17" i="7"/>
  <c r="C29" i="7"/>
  <c r="AE5" i="9"/>
  <c r="D31" i="5"/>
  <c r="C22" i="5"/>
  <c r="C29" i="5"/>
  <c r="R15" i="6"/>
  <c r="AE15" i="6"/>
  <c r="X15" i="6"/>
  <c r="Y9" i="7"/>
  <c r="X9" i="7"/>
  <c r="R8" i="7"/>
  <c r="X8" i="7"/>
  <c r="R7" i="7"/>
  <c r="AD7" i="7"/>
  <c r="W7" i="7"/>
  <c r="AC17" i="7"/>
  <c r="V17" i="7"/>
  <c r="P6" i="7"/>
  <c r="O6" i="7"/>
  <c r="M17" i="7"/>
  <c r="L6" i="7"/>
  <c r="S5" i="8"/>
  <c r="AG5" i="8"/>
  <c r="Z15" i="8"/>
  <c r="AF9" i="7"/>
  <c r="AE9" i="7"/>
  <c r="S8" i="7"/>
  <c r="X17" i="7"/>
  <c r="P15" i="7"/>
  <c r="L15" i="7"/>
  <c r="M15" i="7"/>
  <c r="L4" i="7"/>
  <c r="M4" i="7"/>
  <c r="N4" i="7"/>
  <c r="W15" i="8"/>
  <c r="W3" i="9"/>
  <c r="M20" i="7"/>
  <c r="L19" i="7"/>
  <c r="L18" i="7"/>
  <c r="R16" i="8"/>
  <c r="S16" i="8"/>
  <c r="AC16" i="8"/>
  <c r="D36" i="8"/>
  <c r="C27" i="8"/>
  <c r="D37" i="8"/>
  <c r="C28" i="8"/>
  <c r="D34" i="8"/>
  <c r="C25" i="8"/>
  <c r="D32" i="8"/>
  <c r="C23" i="8"/>
  <c r="D33" i="8"/>
  <c r="C24" i="8"/>
  <c r="C29" i="8"/>
  <c r="R5" i="9"/>
  <c r="P16" i="1"/>
  <c r="W17" i="6"/>
  <c r="D34" i="6"/>
  <c r="C25" i="6"/>
  <c r="P19" i="7"/>
  <c r="P18" i="7"/>
  <c r="AC5" i="8"/>
  <c r="R5" i="8"/>
  <c r="V5" i="8"/>
  <c r="Z4" i="8"/>
  <c r="O20" i="8"/>
  <c r="M9" i="8"/>
  <c r="N9" i="8"/>
  <c r="O9" i="8"/>
  <c r="AG16" i="8"/>
  <c r="H3" i="8"/>
  <c r="N14" i="8"/>
  <c r="AC3" i="9"/>
  <c r="AG14" i="10"/>
  <c r="AD6" i="8"/>
  <c r="W6" i="8"/>
  <c r="R17" i="10"/>
  <c r="Y17" i="10"/>
  <c r="H6" i="9"/>
  <c r="N17" i="9"/>
  <c r="N6" i="9"/>
  <c r="R3" i="10"/>
  <c r="V3" i="10"/>
  <c r="W3" i="10"/>
  <c r="D31" i="6"/>
  <c r="C22" i="6"/>
  <c r="C29" i="6"/>
  <c r="Z5" i="8"/>
  <c r="V4" i="8"/>
  <c r="Y4" i="8"/>
  <c r="AD15" i="8"/>
  <c r="V15" i="8"/>
  <c r="R16" i="9"/>
  <c r="Y16" i="9"/>
  <c r="AG6" i="10"/>
  <c r="Z6" i="10"/>
  <c r="S4" i="9"/>
  <c r="AE4" i="9"/>
  <c r="N19" i="9"/>
  <c r="R19" i="9"/>
  <c r="W19" i="9"/>
  <c r="S16" i="9"/>
  <c r="P14" i="9"/>
  <c r="Y6" i="10"/>
  <c r="AF3" i="10"/>
  <c r="AC14" i="10"/>
  <c r="V17" i="10"/>
  <c r="AG15" i="10"/>
  <c r="D36" i="10"/>
  <c r="C27" i="10"/>
  <c r="N18" i="9"/>
  <c r="O18" i="9"/>
  <c r="R18" i="9"/>
  <c r="N7" i="9"/>
  <c r="M20" i="10"/>
  <c r="O9" i="10"/>
  <c r="N20" i="10"/>
  <c r="P20" i="10"/>
  <c r="N9" i="10"/>
  <c r="L18" i="10"/>
  <c r="L7" i="10"/>
  <c r="M18" i="10"/>
  <c r="M7" i="10"/>
  <c r="O18" i="10"/>
  <c r="P18" i="10"/>
  <c r="P7" i="10"/>
  <c r="D35" i="10"/>
  <c r="C26" i="10"/>
  <c r="O8" i="9"/>
  <c r="R8" i="9"/>
  <c r="P9" i="10"/>
  <c r="N7" i="10"/>
  <c r="AG5" i="9"/>
  <c r="O14" i="9"/>
  <c r="O20" i="9"/>
  <c r="L9" i="9"/>
  <c r="P15" i="9"/>
  <c r="AD6" i="10"/>
  <c r="R5" i="10"/>
  <c r="V5" i="10"/>
  <c r="S5" i="10"/>
  <c r="R16" i="10"/>
  <c r="Y16" i="10"/>
  <c r="O14" i="10"/>
  <c r="P3" i="10"/>
  <c r="D32" i="10"/>
  <c r="C23" i="10"/>
  <c r="D34" i="10"/>
  <c r="C25" i="10"/>
  <c r="D37" i="10"/>
  <c r="D31" i="10"/>
  <c r="C22" i="10"/>
  <c r="S16" i="1"/>
  <c r="Q16" i="1"/>
  <c r="N17" i="8"/>
  <c r="R4" i="9"/>
  <c r="Z4" i="9"/>
  <c r="P3" i="9"/>
  <c r="M14" i="9"/>
  <c r="Z16" i="8"/>
  <c r="AG9" i="9"/>
  <c r="S7" i="9"/>
  <c r="AF7" i="9"/>
  <c r="L14" i="9"/>
  <c r="V16" i="9"/>
  <c r="D31" i="9"/>
  <c r="C22" i="9"/>
  <c r="C29" i="9"/>
  <c r="L9" i="10"/>
  <c r="AE3" i="10"/>
  <c r="X3" i="10"/>
  <c r="L20" i="10"/>
  <c r="M14" i="10"/>
  <c r="L19" i="10"/>
  <c r="M8" i="10"/>
  <c r="M19" i="10"/>
  <c r="N8" i="10"/>
  <c r="O19" i="10"/>
  <c r="P19" i="10"/>
  <c r="L8" i="10"/>
  <c r="L6" i="10"/>
  <c r="N17" i="10"/>
  <c r="M17" i="10"/>
  <c r="O4" i="10"/>
  <c r="R4" i="10"/>
  <c r="X4" i="10"/>
  <c r="V4" i="10"/>
  <c r="W4" i="10"/>
  <c r="Z4" i="10"/>
  <c r="S17" i="9"/>
  <c r="AE17" i="9"/>
  <c r="W16" i="2"/>
  <c r="V16" i="2"/>
  <c r="S14" i="8"/>
  <c r="AE14" i="8"/>
  <c r="AE9" i="6"/>
  <c r="AG9" i="6"/>
  <c r="AD9" i="6"/>
  <c r="AC9" i="6"/>
  <c r="V15" i="5"/>
  <c r="Z15" i="5"/>
  <c r="Y15" i="5"/>
  <c r="X4" i="3"/>
  <c r="V4" i="3"/>
  <c r="Y4" i="3"/>
  <c r="Z8" i="9"/>
  <c r="V8" i="9"/>
  <c r="W8" i="9"/>
  <c r="X8" i="9"/>
  <c r="W18" i="9"/>
  <c r="V18" i="9"/>
  <c r="Z18" i="9"/>
  <c r="V16" i="5"/>
  <c r="Y16" i="5"/>
  <c r="Z16" i="5"/>
  <c r="AD20" i="3"/>
  <c r="AC20" i="3"/>
  <c r="S3" i="7"/>
  <c r="AC3" i="7"/>
  <c r="S17" i="2"/>
  <c r="AE17" i="2"/>
  <c r="Z16" i="2"/>
  <c r="Y4" i="2"/>
  <c r="S4" i="2"/>
  <c r="AF4" i="2"/>
  <c r="R8" i="3"/>
  <c r="W8" i="3"/>
  <c r="S16" i="3"/>
  <c r="AE16" i="3"/>
  <c r="AG20" i="2"/>
  <c r="AC20" i="2"/>
  <c r="AD20" i="2"/>
  <c r="Z9" i="5"/>
  <c r="X2" i="4"/>
  <c r="S6" i="4"/>
  <c r="AF6" i="4"/>
  <c r="AC19" i="4"/>
  <c r="R19" i="4"/>
  <c r="W19" i="4"/>
  <c r="W15" i="10"/>
  <c r="Y15" i="10"/>
  <c r="X15" i="10"/>
  <c r="F16" i="4"/>
  <c r="AC17" i="2"/>
  <c r="AG7" i="9"/>
  <c r="X19" i="9"/>
  <c r="R7" i="10"/>
  <c r="W7" i="10"/>
  <c r="S20" i="10"/>
  <c r="AF20" i="10"/>
  <c r="AD16" i="9"/>
  <c r="AE16" i="9"/>
  <c r="AC16" i="9"/>
  <c r="AF16" i="9"/>
  <c r="AG16" i="9"/>
  <c r="AC15" i="8"/>
  <c r="R20" i="8"/>
  <c r="Y20" i="8"/>
  <c r="W16" i="8"/>
  <c r="V16" i="8"/>
  <c r="X16" i="8"/>
  <c r="Y16" i="8"/>
  <c r="AC6" i="7"/>
  <c r="S20" i="8"/>
  <c r="R7" i="8"/>
  <c r="Z7" i="8"/>
  <c r="X15" i="5"/>
  <c r="AG3" i="7"/>
  <c r="AF14" i="5"/>
  <c r="Y14" i="5"/>
  <c r="R8" i="8"/>
  <c r="X8" i="8"/>
  <c r="B29" i="1"/>
  <c r="B21" i="1"/>
  <c r="B20" i="1"/>
  <c r="R6" i="5"/>
  <c r="Y6" i="5"/>
  <c r="S9" i="2"/>
  <c r="AE9" i="2"/>
  <c r="Z3" i="3"/>
  <c r="S5" i="2"/>
  <c r="AC5" i="2"/>
  <c r="AF4" i="5"/>
  <c r="AD4" i="5"/>
  <c r="AE4" i="5"/>
  <c r="R7" i="4"/>
  <c r="X7" i="4"/>
  <c r="AE7" i="4"/>
  <c r="R16" i="4"/>
  <c r="Z16" i="4"/>
  <c r="AG16" i="4"/>
  <c r="V16" i="4"/>
  <c r="S15" i="2"/>
  <c r="AG15" i="2"/>
  <c r="Y8" i="3"/>
  <c r="V8" i="3"/>
  <c r="S8" i="3"/>
  <c r="AF8" i="3"/>
  <c r="AC8" i="3"/>
  <c r="N5" i="1"/>
  <c r="M5" i="1"/>
  <c r="R16" i="3"/>
  <c r="W16" i="3"/>
  <c r="AD16" i="3"/>
  <c r="V16" i="3"/>
  <c r="AG4" i="2"/>
  <c r="Z4" i="2"/>
  <c r="S13" i="4"/>
  <c r="AC13" i="4"/>
  <c r="Z19" i="4"/>
  <c r="AG19" i="4"/>
  <c r="F15" i="4"/>
  <c r="Y6" i="2"/>
  <c r="S19" i="10"/>
  <c r="AF19" i="10"/>
  <c r="R19" i="7"/>
  <c r="Z19" i="7"/>
  <c r="R15" i="9"/>
  <c r="S15" i="9"/>
  <c r="AG15" i="9"/>
  <c r="AF15" i="8"/>
  <c r="X16" i="5"/>
  <c r="Z16" i="6"/>
  <c r="V16" i="6"/>
  <c r="R20" i="5"/>
  <c r="W20" i="5"/>
  <c r="S20" i="5"/>
  <c r="AC20" i="5"/>
  <c r="M4" i="1"/>
  <c r="N4" i="1"/>
  <c r="B22" i="1"/>
  <c r="S8" i="5"/>
  <c r="AE8" i="5"/>
  <c r="R5" i="4"/>
  <c r="Z5" i="4"/>
  <c r="AE13" i="4"/>
  <c r="AD17" i="2"/>
  <c r="W17" i="10"/>
  <c r="S8" i="10"/>
  <c r="AD8" i="10"/>
  <c r="Z17" i="10"/>
  <c r="X17" i="8"/>
  <c r="S17" i="8"/>
  <c r="AF14" i="10"/>
  <c r="R9" i="9"/>
  <c r="V9" i="9"/>
  <c r="AC9" i="9"/>
  <c r="AC16" i="10"/>
  <c r="S7" i="10"/>
  <c r="AC7" i="10"/>
  <c r="AF7" i="10"/>
  <c r="Y7" i="10"/>
  <c r="V7" i="10"/>
  <c r="X16" i="9"/>
  <c r="W16" i="9"/>
  <c r="Z16" i="9"/>
  <c r="AD16" i="8"/>
  <c r="AE16" i="8"/>
  <c r="Y5" i="8"/>
  <c r="X5" i="8"/>
  <c r="W5" i="8"/>
  <c r="S4" i="7"/>
  <c r="AC4" i="7"/>
  <c r="R4" i="7"/>
  <c r="X4" i="7"/>
  <c r="V4" i="7"/>
  <c r="AE4" i="7"/>
  <c r="AF6" i="7"/>
  <c r="R6" i="7"/>
  <c r="Z6" i="7"/>
  <c r="Z7" i="7"/>
  <c r="Y7" i="7"/>
  <c r="X7" i="7"/>
  <c r="V7" i="7"/>
  <c r="W15" i="6"/>
  <c r="Z15" i="6"/>
  <c r="Y15" i="6"/>
  <c r="R18" i="6"/>
  <c r="W18" i="6"/>
  <c r="R9" i="6"/>
  <c r="Y9" i="6"/>
  <c r="AF9" i="6"/>
  <c r="S18" i="8"/>
  <c r="AG18" i="8"/>
  <c r="AC18" i="8"/>
  <c r="R18" i="8"/>
  <c r="Z18" i="8"/>
  <c r="V18" i="8"/>
  <c r="S14" i="7"/>
  <c r="AE14" i="7"/>
  <c r="AE5" i="7"/>
  <c r="AF5" i="7"/>
  <c r="AD5" i="7"/>
  <c r="AF14" i="6"/>
  <c r="R8" i="6"/>
  <c r="S8" i="6"/>
  <c r="AD8" i="6"/>
  <c r="V8" i="6"/>
  <c r="V15" i="6"/>
  <c r="W8" i="8"/>
  <c r="V8" i="8"/>
  <c r="S8" i="8"/>
  <c r="AD8" i="8"/>
  <c r="AC8" i="8"/>
  <c r="S17" i="5"/>
  <c r="AC17" i="5"/>
  <c r="V17" i="5"/>
  <c r="S8" i="2"/>
  <c r="AE8" i="2"/>
  <c r="AG17" i="3"/>
  <c r="S19" i="5"/>
  <c r="AD19" i="5"/>
  <c r="X16" i="2"/>
  <c r="AF7" i="4"/>
  <c r="AF16" i="4"/>
  <c r="Y16" i="4"/>
  <c r="S18" i="3"/>
  <c r="AE18" i="3"/>
  <c r="AE15" i="2"/>
  <c r="X19" i="3"/>
  <c r="AF20" i="2"/>
  <c r="AG4" i="5"/>
  <c r="S5" i="3"/>
  <c r="AF5" i="3"/>
  <c r="X20" i="2"/>
  <c r="Z2" i="4"/>
  <c r="AC6" i="4"/>
  <c r="R6" i="4"/>
  <c r="Y6" i="4"/>
  <c r="V6" i="4"/>
  <c r="S17" i="4"/>
  <c r="AC17" i="4"/>
  <c r="R17" i="4"/>
  <c r="V17" i="4"/>
  <c r="AF16" i="10"/>
  <c r="Z6" i="2"/>
  <c r="AG14" i="9"/>
  <c r="X17" i="5"/>
  <c r="S19" i="6"/>
  <c r="AD19" i="6"/>
  <c r="AC19" i="6"/>
  <c r="R19" i="6"/>
  <c r="W19" i="6"/>
  <c r="S6" i="5"/>
  <c r="AE6" i="5"/>
  <c r="X6" i="5"/>
  <c r="Z19" i="9"/>
  <c r="V19" i="9"/>
  <c r="S6" i="9"/>
  <c r="AE6" i="9"/>
  <c r="V5" i="9"/>
  <c r="W5" i="9"/>
  <c r="X5" i="9"/>
  <c r="AD18" i="8"/>
  <c r="W18" i="8"/>
  <c r="X5" i="7"/>
  <c r="Y5" i="7"/>
  <c r="W5" i="7"/>
  <c r="S7" i="2"/>
  <c r="S18" i="4"/>
  <c r="AG18" i="4"/>
  <c r="M13" i="1"/>
  <c r="N13" i="1"/>
  <c r="S17" i="10"/>
  <c r="X17" i="10"/>
  <c r="AC19" i="10"/>
  <c r="AE19" i="10"/>
  <c r="R19" i="10"/>
  <c r="X19" i="10"/>
  <c r="AG16" i="10"/>
  <c r="R20" i="9"/>
  <c r="S20" i="9"/>
  <c r="Y20" i="9"/>
  <c r="R18" i="10"/>
  <c r="X18" i="10"/>
  <c r="S18" i="10"/>
  <c r="AC18" i="10"/>
  <c r="V18" i="10"/>
  <c r="AE18" i="10"/>
  <c r="AF4" i="9"/>
  <c r="AD4" i="9"/>
  <c r="AC4" i="9"/>
  <c r="P17" i="9"/>
  <c r="L17" i="9"/>
  <c r="P6" i="9"/>
  <c r="M6" i="9"/>
  <c r="L6" i="9"/>
  <c r="M17" i="9"/>
  <c r="O17" i="9"/>
  <c r="O6" i="9"/>
  <c r="L14" i="8"/>
  <c r="O3" i="8"/>
  <c r="M14" i="8"/>
  <c r="P3" i="8"/>
  <c r="O14" i="8"/>
  <c r="P14" i="8"/>
  <c r="N3" i="8"/>
  <c r="L3" i="8"/>
  <c r="M3" i="8"/>
  <c r="AF5" i="8"/>
  <c r="AE5" i="8"/>
  <c r="AD5" i="8"/>
  <c r="R18" i="7"/>
  <c r="S18" i="7"/>
  <c r="AC18" i="7"/>
  <c r="V18" i="7"/>
  <c r="R15" i="7"/>
  <c r="W15" i="7"/>
  <c r="AG6" i="7"/>
  <c r="V8" i="7"/>
  <c r="W8" i="7"/>
  <c r="Z8" i="7"/>
  <c r="Y8" i="7"/>
  <c r="S7" i="6"/>
  <c r="R7" i="6"/>
  <c r="V7" i="6"/>
  <c r="S20" i="6"/>
  <c r="AE20" i="6"/>
  <c r="AD20" i="6"/>
  <c r="Y7" i="8"/>
  <c r="AF18" i="8"/>
  <c r="Y18" i="8"/>
  <c r="AC14" i="7"/>
  <c r="V5" i="7"/>
  <c r="S3" i="6"/>
  <c r="AG3" i="6"/>
  <c r="AG8" i="6"/>
  <c r="Z8" i="6"/>
  <c r="X5" i="5"/>
  <c r="Z5" i="5"/>
  <c r="Y5" i="5"/>
  <c r="W5" i="5"/>
  <c r="V5" i="5"/>
  <c r="Z5" i="6"/>
  <c r="V5" i="6"/>
  <c r="Y5" i="6"/>
  <c r="AG4" i="6"/>
  <c r="AE4" i="6"/>
  <c r="AF4" i="6"/>
  <c r="R20" i="3"/>
  <c r="Y20" i="3"/>
  <c r="AF20" i="3"/>
  <c r="Z17" i="5"/>
  <c r="AG17" i="5"/>
  <c r="X6" i="8"/>
  <c r="AD17" i="3"/>
  <c r="R17" i="3"/>
  <c r="W17" i="3"/>
  <c r="S7" i="5"/>
  <c r="AC7" i="5"/>
  <c r="R7" i="5"/>
  <c r="V7" i="5"/>
  <c r="AD8" i="5"/>
  <c r="AF18" i="2"/>
  <c r="AC18" i="2"/>
  <c r="AE18" i="2"/>
  <c r="AG18" i="2"/>
  <c r="S5" i="4"/>
  <c r="AC5" i="4"/>
  <c r="V5" i="4"/>
  <c r="X6" i="4"/>
  <c r="AE6" i="4"/>
  <c r="X4" i="2"/>
  <c r="AE4" i="2"/>
  <c r="W19" i="3"/>
  <c r="Y2" i="4"/>
  <c r="Z6" i="4"/>
  <c r="AG6" i="4"/>
  <c r="S8" i="4"/>
  <c r="R8" i="4"/>
  <c r="W8" i="4"/>
  <c r="W6" i="2"/>
  <c r="R17" i="2"/>
  <c r="V17" i="2"/>
  <c r="AF17" i="2"/>
  <c r="Y17" i="2"/>
  <c r="AC4" i="5"/>
  <c r="Y8" i="9"/>
  <c r="S8" i="9"/>
  <c r="AF8" i="9"/>
  <c r="AC8" i="7"/>
  <c r="AD8" i="7"/>
  <c r="AG8" i="7"/>
  <c r="AF8" i="7"/>
  <c r="AG14" i="6"/>
  <c r="AF8" i="8"/>
  <c r="Y8" i="8"/>
  <c r="S4" i="4"/>
  <c r="AE4" i="4"/>
  <c r="S14" i="4"/>
  <c r="R14" i="4"/>
  <c r="Z14" i="4"/>
  <c r="Y4" i="9"/>
  <c r="W4" i="9"/>
  <c r="V4" i="9"/>
  <c r="AD18" i="10"/>
  <c r="W18" i="10"/>
  <c r="AD17" i="7"/>
  <c r="W17" i="7"/>
  <c r="AF20" i="6"/>
  <c r="AF3" i="7"/>
  <c r="R3" i="7"/>
  <c r="Y3" i="7"/>
  <c r="Z4" i="3"/>
  <c r="W7" i="5"/>
  <c r="AD7" i="5"/>
  <c r="S16" i="2"/>
  <c r="AF16" i="2"/>
  <c r="Y16" i="2"/>
  <c r="Z8" i="3"/>
  <c r="AG8" i="3"/>
  <c r="AG16" i="3"/>
  <c r="AD6" i="4"/>
  <c r="W6" i="4"/>
  <c r="AE20" i="2"/>
  <c r="AC6" i="10"/>
  <c r="V6" i="10"/>
  <c r="R14" i="10"/>
  <c r="Y14" i="10"/>
  <c r="AD14" i="10"/>
  <c r="W14" i="10"/>
  <c r="Y18" i="9"/>
  <c r="W16" i="10"/>
  <c r="V16" i="10"/>
  <c r="X16" i="10"/>
  <c r="AF14" i="9"/>
  <c r="S9" i="10"/>
  <c r="AD9" i="10"/>
  <c r="Y3" i="10"/>
  <c r="Z16" i="10"/>
  <c r="AD7" i="9"/>
  <c r="V19" i="7"/>
  <c r="S19" i="7"/>
  <c r="S15" i="7"/>
  <c r="AC15" i="7"/>
  <c r="V15" i="7"/>
  <c r="S18" i="6"/>
  <c r="AD18" i="6"/>
  <c r="AC18" i="6"/>
  <c r="V18" i="6"/>
  <c r="AC5" i="9"/>
  <c r="AD5" i="9"/>
  <c r="AG20" i="6"/>
  <c r="AC16" i="7"/>
  <c r="AF16" i="7"/>
  <c r="AE16" i="7"/>
  <c r="AC14" i="6"/>
  <c r="AC20" i="6"/>
  <c r="AC21" i="6"/>
  <c r="R14" i="7"/>
  <c r="W14" i="7"/>
  <c r="AD14" i="7"/>
  <c r="AF19" i="6"/>
  <c r="Y19" i="6"/>
  <c r="R3" i="5"/>
  <c r="V3" i="5"/>
  <c r="AE5" i="5"/>
  <c r="AF5" i="5"/>
  <c r="AG5" i="5"/>
  <c r="AC5" i="5"/>
  <c r="S9" i="5"/>
  <c r="AF9" i="5"/>
  <c r="Y9" i="5"/>
  <c r="Z8" i="8"/>
  <c r="AG8" i="8"/>
  <c r="AE20" i="3"/>
  <c r="X20" i="3"/>
  <c r="AD17" i="5"/>
  <c r="W17" i="5"/>
  <c r="X17" i="3"/>
  <c r="AF17" i="3"/>
  <c r="R3" i="4"/>
  <c r="V3" i="4"/>
  <c r="S3" i="4"/>
  <c r="AC3" i="4"/>
  <c r="R18" i="5"/>
  <c r="X18" i="5"/>
  <c r="S18" i="5"/>
  <c r="AE18" i="5"/>
  <c r="AC18" i="5"/>
  <c r="F18" i="4"/>
  <c r="R19" i="5"/>
  <c r="V19" i="5"/>
  <c r="AF19" i="5"/>
  <c r="AC19" i="5"/>
  <c r="X3" i="3"/>
  <c r="S3" i="3"/>
  <c r="AG3" i="3"/>
  <c r="AD7" i="4"/>
  <c r="V14" i="5"/>
  <c r="AD16" i="4"/>
  <c r="W16" i="4"/>
  <c r="Z19" i="3"/>
  <c r="F17" i="4"/>
  <c r="AG13" i="4"/>
  <c r="AD17" i="4"/>
  <c r="AG8" i="4"/>
  <c r="AF3" i="3"/>
  <c r="Y3" i="3"/>
  <c r="R15" i="2"/>
  <c r="W15" i="2"/>
  <c r="AD15" i="2"/>
  <c r="W9" i="5"/>
  <c r="Z3" i="9"/>
  <c r="AG3" i="9"/>
  <c r="Y18" i="10"/>
  <c r="AF18" i="10"/>
  <c r="S9" i="8"/>
  <c r="AD9" i="8"/>
  <c r="R9" i="8"/>
  <c r="W9" i="8"/>
  <c r="AE18" i="8"/>
  <c r="X18" i="8"/>
  <c r="Y4" i="10"/>
  <c r="S4" i="10"/>
  <c r="AF4" i="10"/>
  <c r="Z3" i="10"/>
  <c r="AG3" i="10"/>
  <c r="R15" i="3"/>
  <c r="Z15" i="3"/>
  <c r="S15" i="3"/>
  <c r="AG15" i="3"/>
  <c r="V15" i="3"/>
  <c r="R8" i="10"/>
  <c r="X8" i="10"/>
  <c r="AE8" i="10"/>
  <c r="AC8" i="10"/>
  <c r="R20" i="10"/>
  <c r="Y20" i="10"/>
  <c r="AC20" i="10"/>
  <c r="S19" i="9"/>
  <c r="Z15" i="10"/>
  <c r="C29" i="10"/>
  <c r="X5" i="10"/>
  <c r="Z5" i="10"/>
  <c r="Y5" i="10"/>
  <c r="W5" i="10"/>
  <c r="X7" i="10"/>
  <c r="AE7" i="10"/>
  <c r="AG7" i="10"/>
  <c r="Z7" i="10"/>
  <c r="Z20" i="10"/>
  <c r="AG20" i="10"/>
  <c r="AE7" i="9"/>
  <c r="AC7" i="9"/>
  <c r="S20" i="7"/>
  <c r="AD20" i="7"/>
  <c r="R20" i="7"/>
  <c r="W20" i="7"/>
  <c r="AG15" i="7"/>
  <c r="Z15" i="7"/>
  <c r="AG15" i="8"/>
  <c r="AE8" i="7"/>
  <c r="AG4" i="9"/>
  <c r="AG18" i="6"/>
  <c r="Z18" i="6"/>
  <c r="Y5" i="9"/>
  <c r="R20" i="6"/>
  <c r="X20" i="6"/>
  <c r="S15" i="5"/>
  <c r="AD15" i="5"/>
  <c r="W15" i="5"/>
  <c r="W7" i="8"/>
  <c r="V16" i="7"/>
  <c r="Z16" i="7"/>
  <c r="Z5" i="7"/>
  <c r="AF14" i="7"/>
  <c r="AG14" i="7"/>
  <c r="AD14" i="6"/>
  <c r="R14" i="6"/>
  <c r="X14" i="6"/>
  <c r="W14" i="6"/>
  <c r="AE19" i="6"/>
  <c r="AG14" i="5"/>
  <c r="Z14" i="5"/>
  <c r="Z6" i="8"/>
  <c r="AG5" i="6"/>
  <c r="AC5" i="6"/>
  <c r="AF5" i="6"/>
  <c r="AF20" i="5"/>
  <c r="AD20" i="5"/>
  <c r="X5" i="6"/>
  <c r="S19" i="8"/>
  <c r="AG19" i="8"/>
  <c r="R19" i="8"/>
  <c r="W19" i="8"/>
  <c r="R4" i="4"/>
  <c r="X4" i="4"/>
  <c r="Z20" i="3"/>
  <c r="AG20" i="3"/>
  <c r="S4" i="3"/>
  <c r="W4" i="3"/>
  <c r="Y14" i="4"/>
  <c r="X7" i="5"/>
  <c r="AE7" i="5"/>
  <c r="Z7" i="5"/>
  <c r="AG7" i="5"/>
  <c r="AF8" i="5"/>
  <c r="R8" i="5"/>
  <c r="Y8" i="5"/>
  <c r="AC8" i="5"/>
  <c r="V8" i="5"/>
  <c r="X5" i="2"/>
  <c r="AE5" i="2"/>
  <c r="W18" i="2"/>
  <c r="Y18" i="2"/>
  <c r="Z18" i="2"/>
  <c r="AC18" i="4"/>
  <c r="AF18" i="4"/>
  <c r="R18" i="4"/>
  <c r="Z18" i="4"/>
  <c r="V18" i="4"/>
  <c r="AE5" i="4"/>
  <c r="R14" i="3"/>
  <c r="Z14" i="3"/>
  <c r="W14" i="3"/>
  <c r="AD13" i="4"/>
  <c r="R13" i="4"/>
  <c r="W13" i="4"/>
  <c r="X13" i="4"/>
  <c r="W20" i="2"/>
  <c r="Z20" i="2"/>
  <c r="AF16" i="3"/>
  <c r="V2" i="4"/>
  <c r="S2" i="4"/>
  <c r="AD2" i="4"/>
  <c r="AE17" i="4"/>
  <c r="AF19" i="4"/>
  <c r="Y19" i="4"/>
  <c r="S14" i="3"/>
  <c r="AF14" i="3"/>
  <c r="AD15" i="10"/>
  <c r="AF15" i="10"/>
  <c r="AE15" i="10"/>
  <c r="Z17" i="2"/>
  <c r="AG17" i="2"/>
  <c r="AF9" i="10"/>
  <c r="AG20" i="5"/>
  <c r="AF18" i="5"/>
  <c r="Y18" i="5"/>
  <c r="R9" i="10"/>
  <c r="W9" i="10"/>
  <c r="AC9" i="10"/>
  <c r="AD4" i="7"/>
  <c r="W4" i="7"/>
  <c r="X4" i="9"/>
  <c r="AE3" i="6"/>
  <c r="AG6" i="5"/>
  <c r="Z6" i="5"/>
  <c r="AC17" i="3"/>
  <c r="V17" i="3"/>
  <c r="Y4" i="5"/>
  <c r="W4" i="5"/>
  <c r="X4" i="5"/>
  <c r="AD18" i="3"/>
  <c r="AC18" i="3"/>
  <c r="R18" i="3"/>
  <c r="Z18" i="3"/>
  <c r="AG19" i="10"/>
  <c r="Z19" i="10"/>
  <c r="AC14" i="9"/>
  <c r="AD14" i="9"/>
  <c r="R14" i="9"/>
  <c r="X14" i="9"/>
  <c r="AD5" i="10"/>
  <c r="AE5" i="10"/>
  <c r="AC5" i="10"/>
  <c r="AF5" i="10"/>
  <c r="AG5" i="10"/>
  <c r="Z5" i="9"/>
  <c r="AG9" i="10"/>
  <c r="Z18" i="10"/>
  <c r="AG18" i="10"/>
  <c r="AE20" i="10"/>
  <c r="X20" i="10"/>
  <c r="X18" i="9"/>
  <c r="S18" i="9"/>
  <c r="AE18" i="9"/>
  <c r="AF18" i="9"/>
  <c r="AE9" i="8"/>
  <c r="Z18" i="7"/>
  <c r="AG18" i="7"/>
  <c r="AF16" i="8"/>
  <c r="Y16" i="6"/>
  <c r="Y19" i="9"/>
  <c r="W16" i="5"/>
  <c r="S16" i="5"/>
  <c r="AE16" i="5"/>
  <c r="X7" i="8"/>
  <c r="S7" i="8"/>
  <c r="AG7" i="8"/>
  <c r="V3" i="7"/>
  <c r="AD3" i="7"/>
  <c r="R3" i="6"/>
  <c r="W3" i="6"/>
  <c r="AD3" i="6"/>
  <c r="W8" i="6"/>
  <c r="S3" i="5"/>
  <c r="AE3" i="5"/>
  <c r="AD3" i="5"/>
  <c r="AE9" i="5"/>
  <c r="X9" i="5"/>
  <c r="R7" i="9"/>
  <c r="X7" i="9"/>
  <c r="AE19" i="8"/>
  <c r="X19" i="8"/>
  <c r="Y19" i="8"/>
  <c r="S15" i="4"/>
  <c r="AC15" i="4"/>
  <c r="R15" i="4"/>
  <c r="V15" i="4"/>
  <c r="AD9" i="2"/>
  <c r="W9" i="2"/>
  <c r="F19" i="4"/>
  <c r="S9" i="3"/>
  <c r="AE9" i="3"/>
  <c r="R9" i="3"/>
  <c r="X9" i="3"/>
  <c r="AE3" i="4"/>
  <c r="AF7" i="5"/>
  <c r="Y7" i="5"/>
  <c r="Z18" i="5"/>
  <c r="AG18" i="5"/>
  <c r="X14" i="3"/>
  <c r="Z8" i="5"/>
  <c r="Z19" i="5"/>
  <c r="AG19" i="5"/>
  <c r="AD5" i="2"/>
  <c r="W5" i="2"/>
  <c r="X18" i="4"/>
  <c r="AE18" i="4"/>
  <c r="AE16" i="4"/>
  <c r="R7" i="3"/>
  <c r="S7" i="3"/>
  <c r="AG7" i="3"/>
  <c r="AC7" i="3"/>
  <c r="AE8" i="3"/>
  <c r="X8" i="3"/>
  <c r="AD4" i="2"/>
  <c r="W4" i="2"/>
  <c r="AC8" i="4"/>
  <c r="Z8" i="4"/>
  <c r="AG7" i="4"/>
  <c r="AC5" i="3"/>
  <c r="AG5" i="3"/>
  <c r="R5" i="3"/>
  <c r="Z5" i="3"/>
  <c r="AE16" i="10"/>
  <c r="AF13" i="4"/>
  <c r="Y13" i="4"/>
  <c r="AG17" i="4"/>
  <c r="AE19" i="4"/>
  <c r="X19" i="4"/>
  <c r="Y19" i="2"/>
  <c r="Z19" i="2"/>
  <c r="X19" i="2"/>
  <c r="V15" i="10"/>
  <c r="V7" i="4"/>
  <c r="S19" i="3"/>
  <c r="AE19" i="3"/>
  <c r="S6" i="2"/>
  <c r="AE6" i="2"/>
  <c r="X6" i="2"/>
  <c r="AF6" i="2"/>
  <c r="AD16" i="5"/>
  <c r="AD18" i="5"/>
  <c r="AD21" i="5"/>
  <c r="W18" i="7"/>
  <c r="W19" i="7"/>
  <c r="W21" i="7"/>
  <c r="V6" i="5"/>
  <c r="V10" i="5"/>
  <c r="AE8" i="9"/>
  <c r="AE10" i="9"/>
  <c r="W8" i="10"/>
  <c r="W10" i="10"/>
  <c r="Y7" i="3"/>
  <c r="X7" i="3"/>
  <c r="W7" i="3"/>
  <c r="AC19" i="9"/>
  <c r="AF19" i="9"/>
  <c r="AD19" i="9"/>
  <c r="AG19" i="9"/>
  <c r="Y4" i="7"/>
  <c r="Y6" i="7"/>
  <c r="Y10" i="7"/>
  <c r="AE14" i="4"/>
  <c r="AD14" i="4"/>
  <c r="X5" i="3"/>
  <c r="AD7" i="6"/>
  <c r="AG7" i="6"/>
  <c r="AE7" i="6"/>
  <c r="AE8" i="6"/>
  <c r="AE10" i="6"/>
  <c r="AF7" i="6"/>
  <c r="R3" i="8"/>
  <c r="W3" i="8"/>
  <c r="W10" i="8"/>
  <c r="AC14" i="8"/>
  <c r="AG17" i="9"/>
  <c r="AE15" i="3"/>
  <c r="Y3" i="6"/>
  <c r="AG8" i="5"/>
  <c r="X3" i="4"/>
  <c r="AG9" i="2"/>
  <c r="AF9" i="2"/>
  <c r="AC9" i="2"/>
  <c r="AF19" i="8"/>
  <c r="AD10" i="7"/>
  <c r="Z20" i="5"/>
  <c r="X17" i="4"/>
  <c r="AC4" i="3"/>
  <c r="AE4" i="3"/>
  <c r="AF4" i="3"/>
  <c r="AD19" i="8"/>
  <c r="V20" i="6"/>
  <c r="V20" i="10"/>
  <c r="AC6" i="2"/>
  <c r="V18" i="5"/>
  <c r="V20" i="5"/>
  <c r="V21" i="5"/>
  <c r="AF3" i="4"/>
  <c r="AG3" i="4"/>
  <c r="AD3" i="4"/>
  <c r="V20" i="3"/>
  <c r="W20" i="3"/>
  <c r="W3" i="5"/>
  <c r="V14" i="6"/>
  <c r="X15" i="7"/>
  <c r="Y15" i="7"/>
  <c r="AC16" i="2"/>
  <c r="AD16" i="2"/>
  <c r="AD21" i="2"/>
  <c r="W17" i="2"/>
  <c r="W21" i="2"/>
  <c r="AK21" i="2"/>
  <c r="AE8" i="4"/>
  <c r="AF8" i="4"/>
  <c r="AF5" i="4"/>
  <c r="AD5" i="4"/>
  <c r="Z3" i="6"/>
  <c r="AF7" i="8"/>
  <c r="V3" i="8"/>
  <c r="AF6" i="9"/>
  <c r="AF10" i="9"/>
  <c r="R6" i="9"/>
  <c r="X6" i="9"/>
  <c r="X9" i="9"/>
  <c r="X10" i="9"/>
  <c r="AG20" i="9"/>
  <c r="AG18" i="9"/>
  <c r="AG21" i="9"/>
  <c r="AE20" i="9"/>
  <c r="AC20" i="9"/>
  <c r="AD20" i="9"/>
  <c r="AF7" i="2"/>
  <c r="AE7" i="2"/>
  <c r="AD7" i="2"/>
  <c r="AG7" i="2"/>
  <c r="V19" i="6"/>
  <c r="Y5" i="3"/>
  <c r="X18" i="3"/>
  <c r="W19" i="5"/>
  <c r="AC8" i="6"/>
  <c r="W9" i="9"/>
  <c r="Y9" i="9"/>
  <c r="Z9" i="9"/>
  <c r="X8" i="5"/>
  <c r="Y19" i="10"/>
  <c r="Y21" i="10"/>
  <c r="AF17" i="4"/>
  <c r="X15" i="3"/>
  <c r="AF3" i="6"/>
  <c r="AD20" i="8"/>
  <c r="AC20" i="8"/>
  <c r="AE20" i="8"/>
  <c r="AG20" i="8"/>
  <c r="AE19" i="9"/>
  <c r="X16" i="3"/>
  <c r="AG16" i="2"/>
  <c r="AG21" i="2"/>
  <c r="Z15" i="2"/>
  <c r="Z21" i="2"/>
  <c r="AN21" i="2"/>
  <c r="X3" i="6"/>
  <c r="W5" i="3"/>
  <c r="W9" i="3"/>
  <c r="W10" i="3"/>
  <c r="V9" i="8"/>
  <c r="Z9" i="8"/>
  <c r="V5" i="3"/>
  <c r="X3" i="5"/>
  <c r="AD21" i="6"/>
  <c r="AF8" i="2"/>
  <c r="AD8" i="2"/>
  <c r="AG8" i="2"/>
  <c r="R17" i="9"/>
  <c r="X17" i="9"/>
  <c r="AF17" i="9"/>
  <c r="X21" i="3"/>
  <c r="Y9" i="3"/>
  <c r="V9" i="3"/>
  <c r="Z9" i="2"/>
  <c r="Y9" i="2"/>
  <c r="AC19" i="8"/>
  <c r="AE10" i="5"/>
  <c r="W3" i="7"/>
  <c r="W6" i="7"/>
  <c r="W10" i="7"/>
  <c r="W20" i="8"/>
  <c r="V20" i="8"/>
  <c r="X20" i="8"/>
  <c r="Z20" i="8"/>
  <c r="Z3" i="5"/>
  <c r="Z10" i="5"/>
  <c r="V4" i="4"/>
  <c r="V8" i="4"/>
  <c r="V9" i="4"/>
  <c r="AD15" i="4"/>
  <c r="AD18" i="4"/>
  <c r="AD20" i="4"/>
  <c r="W14" i="4"/>
  <c r="W15" i="4"/>
  <c r="W17" i="4"/>
  <c r="W18" i="4"/>
  <c r="W20" i="4"/>
  <c r="AK20" i="4"/>
  <c r="Z19" i="8"/>
  <c r="AD7" i="8"/>
  <c r="AC15" i="3"/>
  <c r="AC9" i="8"/>
  <c r="AG9" i="8"/>
  <c r="AG19" i="3"/>
  <c r="W7" i="4"/>
  <c r="AF15" i="7"/>
  <c r="AE15" i="7"/>
  <c r="AE18" i="7"/>
  <c r="AE19" i="7"/>
  <c r="AE20" i="7"/>
  <c r="AE21" i="7"/>
  <c r="X14" i="7"/>
  <c r="X18" i="7"/>
  <c r="X19" i="7"/>
  <c r="X20" i="7"/>
  <c r="X21" i="7"/>
  <c r="AL21" i="7"/>
  <c r="Y19" i="5"/>
  <c r="AE10" i="2"/>
  <c r="W8" i="5"/>
  <c r="AC8" i="2"/>
  <c r="X20" i="5"/>
  <c r="AF18" i="7"/>
  <c r="AD18" i="7"/>
  <c r="AG14" i="8"/>
  <c r="W17" i="9"/>
  <c r="AD17" i="9"/>
  <c r="AF20" i="9"/>
  <c r="AC7" i="2"/>
  <c r="AG6" i="2"/>
  <c r="W18" i="5"/>
  <c r="W21" i="5"/>
  <c r="Y8" i="6"/>
  <c r="X8" i="6"/>
  <c r="W15" i="9"/>
  <c r="V15" i="9"/>
  <c r="X15" i="9"/>
  <c r="X20" i="9"/>
  <c r="X21" i="9"/>
  <c r="Y15" i="9"/>
  <c r="AC16" i="3"/>
  <c r="AE19" i="5"/>
  <c r="X9" i="2"/>
  <c r="AE8" i="8"/>
  <c r="Z3" i="7"/>
  <c r="AF20" i="8"/>
  <c r="AE2" i="4"/>
  <c r="AE9" i="4"/>
  <c r="AD8" i="3"/>
  <c r="Y3" i="4"/>
  <c r="Y4" i="4"/>
  <c r="Y5" i="4"/>
  <c r="Y7" i="4"/>
  <c r="Y8" i="4"/>
  <c r="Y9" i="4"/>
  <c r="Z3" i="4"/>
  <c r="W3" i="4"/>
  <c r="V20" i="9"/>
  <c r="Z20" i="9"/>
  <c r="W20" i="9"/>
  <c r="Y17" i="4"/>
  <c r="AC9" i="5"/>
  <c r="AD9" i="5"/>
  <c r="AG9" i="5"/>
  <c r="Z17" i="4"/>
  <c r="Z7" i="4"/>
  <c r="AE14" i="3"/>
  <c r="AE21" i="3"/>
  <c r="AL21" i="3"/>
  <c r="AG14" i="3"/>
  <c r="AG18" i="3"/>
  <c r="AG21" i="3"/>
  <c r="AF9" i="3"/>
  <c r="AD9" i="3"/>
  <c r="AC9" i="3"/>
  <c r="AF15" i="4"/>
  <c r="AE15" i="4"/>
  <c r="AG15" i="4"/>
  <c r="V19" i="8"/>
  <c r="V7" i="8"/>
  <c r="AD18" i="9"/>
  <c r="AC18" i="9"/>
  <c r="Z9" i="10"/>
  <c r="W14" i="9"/>
  <c r="V18" i="3"/>
  <c r="AG3" i="5"/>
  <c r="AG10" i="5"/>
  <c r="AN10" i="5"/>
  <c r="Y14" i="3"/>
  <c r="Y15" i="3"/>
  <c r="Y16" i="3"/>
  <c r="Y17" i="3"/>
  <c r="Y18" i="3"/>
  <c r="Y21" i="3"/>
  <c r="AC2" i="4"/>
  <c r="AD14" i="3"/>
  <c r="AF4" i="4"/>
  <c r="AD4" i="4"/>
  <c r="AD8" i="4"/>
  <c r="AD9" i="4"/>
  <c r="AG4" i="4"/>
  <c r="Z21" i="5"/>
  <c r="Z14" i="7"/>
  <c r="Z20" i="7"/>
  <c r="Z21" i="7"/>
  <c r="V8" i="10"/>
  <c r="V9" i="10"/>
  <c r="V10" i="10"/>
  <c r="W15" i="3"/>
  <c r="W18" i="3"/>
  <c r="W21" i="3"/>
  <c r="V15" i="2"/>
  <c r="V21" i="2"/>
  <c r="AE3" i="3"/>
  <c r="V3" i="6"/>
  <c r="V9" i="6"/>
  <c r="V10" i="6"/>
  <c r="Y18" i="6"/>
  <c r="X18" i="6"/>
  <c r="X19" i="6"/>
  <c r="X21" i="6"/>
  <c r="AE9" i="10"/>
  <c r="AC8" i="9"/>
  <c r="AG8" i="9"/>
  <c r="AD8" i="9"/>
  <c r="AD6" i="2"/>
  <c r="AD10" i="2"/>
  <c r="Y18" i="4"/>
  <c r="Y8" i="2"/>
  <c r="W8" i="2"/>
  <c r="Z8" i="2"/>
  <c r="AE20" i="5"/>
  <c r="V14" i="7"/>
  <c r="V20" i="7"/>
  <c r="V21" i="7"/>
  <c r="W20" i="6"/>
  <c r="W21" i="6"/>
  <c r="Y18" i="7"/>
  <c r="AF14" i="8"/>
  <c r="V6" i="9"/>
  <c r="V7" i="9"/>
  <c r="V10" i="9"/>
  <c r="AC6" i="9"/>
  <c r="AC10" i="9"/>
  <c r="X7" i="2"/>
  <c r="Y7" i="2"/>
  <c r="W7" i="2"/>
  <c r="W10" i="2"/>
  <c r="Z7" i="2"/>
  <c r="Z7" i="3"/>
  <c r="Y20" i="5"/>
  <c r="Y21" i="5"/>
  <c r="AF18" i="6"/>
  <c r="AF21" i="6"/>
  <c r="AE17" i="8"/>
  <c r="AD17" i="8"/>
  <c r="AG17" i="8"/>
  <c r="AF17" i="8"/>
  <c r="AC17" i="8"/>
  <c r="B24" i="1"/>
  <c r="Z15" i="9"/>
  <c r="AF18" i="3"/>
  <c r="W6" i="5"/>
  <c r="AD20" i="10"/>
  <c r="AE3" i="7"/>
  <c r="AE10" i="7"/>
  <c r="AE4" i="10"/>
  <c r="AE10" i="10"/>
  <c r="AC4" i="10"/>
  <c r="AC10" i="10"/>
  <c r="AD4" i="10"/>
  <c r="AG4" i="10"/>
  <c r="AE17" i="10"/>
  <c r="AE21" i="10"/>
  <c r="X14" i="10"/>
  <c r="X21" i="10"/>
  <c r="AL21" i="10"/>
  <c r="AG17" i="10"/>
  <c r="AG21" i="10"/>
  <c r="Z14" i="10"/>
  <c r="Z21" i="10"/>
  <c r="AN21" i="10"/>
  <c r="AF17" i="10"/>
  <c r="AF21" i="10"/>
  <c r="AM21" i="10"/>
  <c r="AC17" i="10"/>
  <c r="AC21" i="10"/>
  <c r="V14" i="10"/>
  <c r="V19" i="10"/>
  <c r="V21" i="10"/>
  <c r="AJ21" i="10"/>
  <c r="X17" i="2"/>
  <c r="V7" i="3"/>
  <c r="W4" i="4"/>
  <c r="Z4" i="4"/>
  <c r="Z9" i="4"/>
  <c r="AF19" i="7"/>
  <c r="AF20" i="7"/>
  <c r="AF21" i="7"/>
  <c r="AG20" i="7"/>
  <c r="AC20" i="7"/>
  <c r="AG14" i="4"/>
  <c r="AG20" i="4"/>
  <c r="AD3" i="3"/>
  <c r="AC3" i="3"/>
  <c r="AC3" i="6"/>
  <c r="AD19" i="7"/>
  <c r="X9" i="10"/>
  <c r="X10" i="10"/>
  <c r="Z16" i="3"/>
  <c r="X14" i="4"/>
  <c r="X15" i="4"/>
  <c r="X20" i="4"/>
  <c r="Z14" i="6"/>
  <c r="AC14" i="3"/>
  <c r="AC19" i="3"/>
  <c r="AC21" i="3"/>
  <c r="V14" i="3"/>
  <c r="V21" i="3"/>
  <c r="AJ21" i="3"/>
  <c r="AF2" i="4"/>
  <c r="AF9" i="4"/>
  <c r="AC3" i="5"/>
  <c r="Z3" i="8"/>
  <c r="Z10" i="8"/>
  <c r="AD6" i="9"/>
  <c r="AD10" i="9"/>
  <c r="Y15" i="2"/>
  <c r="Y21" i="2"/>
  <c r="Y3" i="5"/>
  <c r="Y10" i="5"/>
  <c r="Z9" i="3"/>
  <c r="Z10" i="3"/>
  <c r="Y14" i="6"/>
  <c r="AF4" i="7"/>
  <c r="AF10" i="7"/>
  <c r="AM10" i="7"/>
  <c r="AG4" i="7"/>
  <c r="AG10" i="7"/>
  <c r="AE20" i="4"/>
  <c r="B30" i="1"/>
  <c r="B23" i="1"/>
  <c r="AD19" i="10"/>
  <c r="V13" i="4"/>
  <c r="W20" i="10"/>
  <c r="X3" i="7"/>
  <c r="X6" i="7"/>
  <c r="X10" i="7"/>
  <c r="AC16" i="5"/>
  <c r="AG16" i="5"/>
  <c r="AF16" i="5"/>
  <c r="X9" i="8"/>
  <c r="AF15" i="3"/>
  <c r="AF19" i="3"/>
  <c r="AF21" i="3"/>
  <c r="AM21" i="3"/>
  <c r="AD15" i="3"/>
  <c r="Y20" i="6"/>
  <c r="AG10" i="6"/>
  <c r="S3" i="8"/>
  <c r="AE3" i="8"/>
  <c r="AE7" i="8"/>
  <c r="AE10" i="8"/>
  <c r="X3" i="8"/>
  <c r="X10" i="8"/>
  <c r="AL10" i="8"/>
  <c r="AC3" i="8"/>
  <c r="AC7" i="8"/>
  <c r="AC10" i="8"/>
  <c r="AD17" i="10"/>
  <c r="X8" i="4"/>
  <c r="X9" i="4"/>
  <c r="AF14" i="4"/>
  <c r="AF20" i="4"/>
  <c r="W7" i="9"/>
  <c r="Z7" i="9"/>
  <c r="Y7" i="9"/>
  <c r="V14" i="9"/>
  <c r="V17" i="9"/>
  <c r="V21" i="9"/>
  <c r="Y9" i="10"/>
  <c r="Y14" i="7"/>
  <c r="AC15" i="5"/>
  <c r="AC21" i="5"/>
  <c r="AJ21" i="5"/>
  <c r="AG15" i="5"/>
  <c r="AG21" i="5"/>
  <c r="AN21" i="5"/>
  <c r="AF15" i="5"/>
  <c r="AF17" i="5"/>
  <c r="AF21" i="5"/>
  <c r="AM21" i="5"/>
  <c r="Y9" i="8"/>
  <c r="AF8" i="10"/>
  <c r="AF10" i="10"/>
  <c r="AG8" i="10"/>
  <c r="AG10" i="10"/>
  <c r="AG6" i="9"/>
  <c r="AG10" i="9"/>
  <c r="AC15" i="2"/>
  <c r="AC21" i="2"/>
  <c r="AJ21" i="2"/>
  <c r="Z13" i="4"/>
  <c r="X10" i="3"/>
  <c r="AC19" i="7"/>
  <c r="AC21" i="7"/>
  <c r="AJ21" i="7"/>
  <c r="Y14" i="9"/>
  <c r="AD21" i="10"/>
  <c r="AG4" i="3"/>
  <c r="AG9" i="3"/>
  <c r="AG10" i="3"/>
  <c r="AN10" i="3"/>
  <c r="V14" i="4"/>
  <c r="AC7" i="6"/>
  <c r="R14" i="8"/>
  <c r="X14" i="8"/>
  <c r="X21" i="8"/>
  <c r="W14" i="8"/>
  <c r="W21" i="8"/>
  <c r="AD14" i="8"/>
  <c r="AD21" i="8"/>
  <c r="AK21" i="8"/>
  <c r="AF15" i="2"/>
  <c r="AF21" i="2"/>
  <c r="AF3" i="5"/>
  <c r="AD6" i="5"/>
  <c r="AD10" i="5"/>
  <c r="AC6" i="5"/>
  <c r="AE17" i="5"/>
  <c r="Z17" i="3"/>
  <c r="Z21" i="3"/>
  <c r="W19" i="10"/>
  <c r="W21" i="10"/>
  <c r="Z5" i="2"/>
  <c r="Z10" i="2"/>
  <c r="Y5" i="2"/>
  <c r="Y10" i="2"/>
  <c r="AF6" i="5"/>
  <c r="AG19" i="6"/>
  <c r="AG21" i="6"/>
  <c r="AE15" i="5"/>
  <c r="V19" i="4"/>
  <c r="AC10" i="7"/>
  <c r="AE21" i="8"/>
  <c r="AL21" i="8"/>
  <c r="Z20" i="6"/>
  <c r="Y20" i="7"/>
  <c r="AD19" i="3"/>
  <c r="AF8" i="6"/>
  <c r="AD15" i="9"/>
  <c r="AD21" i="9"/>
  <c r="AC15" i="9"/>
  <c r="AE15" i="9"/>
  <c r="AE21" i="9"/>
  <c r="AF15" i="9"/>
  <c r="X19" i="5"/>
  <c r="X21" i="5"/>
  <c r="V6" i="7"/>
  <c r="V10" i="7"/>
  <c r="Y15" i="4"/>
  <c r="Y20" i="4"/>
  <c r="Z15" i="4"/>
  <c r="AF7" i="3"/>
  <c r="AF10" i="3"/>
  <c r="Y10" i="3"/>
  <c r="AM10" i="3"/>
  <c r="AE7" i="3"/>
  <c r="AD7" i="3"/>
  <c r="AD10" i="6"/>
  <c r="W5" i="4"/>
  <c r="AD4" i="3"/>
  <c r="AC4" i="4"/>
  <c r="AF9" i="8"/>
  <c r="Y8" i="10"/>
  <c r="Y10" i="10"/>
  <c r="Z8" i="10"/>
  <c r="Z10" i="10"/>
  <c r="AD5" i="3"/>
  <c r="AE18" i="6"/>
  <c r="AE21" i="6"/>
  <c r="Y19" i="7"/>
  <c r="AF21" i="9"/>
  <c r="AC14" i="4"/>
  <c r="AC20" i="4"/>
  <c r="AE5" i="3"/>
  <c r="X7" i="6"/>
  <c r="W7" i="6"/>
  <c r="W9" i="6"/>
  <c r="W10" i="6"/>
  <c r="Z7" i="6"/>
  <c r="Y7" i="6"/>
  <c r="AD15" i="7"/>
  <c r="AD21" i="7"/>
  <c r="AK21" i="7"/>
  <c r="AF3" i="8"/>
  <c r="AF10" i="8"/>
  <c r="Y3" i="8"/>
  <c r="Y10" i="8"/>
  <c r="AM10" i="8"/>
  <c r="AC17" i="9"/>
  <c r="AC21" i="9"/>
  <c r="AJ21" i="9"/>
  <c r="Z14" i="9"/>
  <c r="AG2" i="4"/>
  <c r="X15" i="2"/>
  <c r="AE16" i="2"/>
  <c r="AE21" i="2"/>
  <c r="X8" i="2"/>
  <c r="X10" i="2"/>
  <c r="X9" i="6"/>
  <c r="Z9" i="6"/>
  <c r="Z4" i="7"/>
  <c r="AG5" i="4"/>
  <c r="AG19" i="7"/>
  <c r="AG21" i="7"/>
  <c r="AN21" i="7"/>
  <c r="AF5" i="2"/>
  <c r="AF10" i="2"/>
  <c r="AM10" i="2"/>
  <c r="AG5" i="2"/>
  <c r="AG10" i="2"/>
  <c r="AN10" i="2"/>
  <c r="Z19" i="6"/>
  <c r="AD7" i="10"/>
  <c r="AC4" i="2"/>
  <c r="AM10" i="10"/>
  <c r="Z10" i="7"/>
  <c r="AN10" i="7"/>
  <c r="AK10" i="2"/>
  <c r="X10" i="6"/>
  <c r="AL10" i="6"/>
  <c r="V21" i="6"/>
  <c r="AJ21" i="6"/>
  <c r="X21" i="2"/>
  <c r="AL21" i="2"/>
  <c r="AL21" i="9"/>
  <c r="Z6" i="9"/>
  <c r="Z10" i="9"/>
  <c r="AC10" i="5"/>
  <c r="AJ10" i="5"/>
  <c r="AD10" i="3"/>
  <c r="AK10" i="3"/>
  <c r="Y21" i="7"/>
  <c r="AM21" i="7"/>
  <c r="AD21" i="3"/>
  <c r="AK21" i="3"/>
  <c r="W9" i="4"/>
  <c r="AK9" i="4"/>
  <c r="AK10" i="7"/>
  <c r="Y10" i="6"/>
  <c r="AJ10" i="10"/>
  <c r="AG9" i="4"/>
  <c r="AN9" i="4"/>
  <c r="Z20" i="4"/>
  <c r="AN20" i="4"/>
  <c r="V20" i="4"/>
  <c r="AJ20" i="4"/>
  <c r="AD10" i="10"/>
  <c r="AK10" i="10"/>
  <c r="AC9" i="4"/>
  <c r="AJ9" i="4"/>
  <c r="Z10" i="6"/>
  <c r="AD3" i="8"/>
  <c r="AD10" i="8"/>
  <c r="AK10" i="8"/>
  <c r="AK21" i="10"/>
  <c r="AJ10" i="9"/>
  <c r="AL10" i="9"/>
  <c r="AN10" i="9"/>
  <c r="AM9" i="4"/>
  <c r="AN10" i="10"/>
  <c r="AL20" i="4"/>
  <c r="W6" i="9"/>
  <c r="W10" i="9"/>
  <c r="AK10" i="9"/>
  <c r="Z21" i="6"/>
  <c r="AN21" i="6"/>
  <c r="AL10" i="7"/>
  <c r="Y14" i="8"/>
  <c r="Y21" i="8"/>
  <c r="AE10" i="3"/>
  <c r="AL10" i="3"/>
  <c r="AK21" i="6"/>
  <c r="W10" i="5"/>
  <c r="AK10" i="5"/>
  <c r="Z17" i="9"/>
  <c r="Z21" i="9"/>
  <c r="AN21" i="9"/>
  <c r="AJ10" i="7"/>
  <c r="AN10" i="6"/>
  <c r="AK10" i="6"/>
  <c r="AF10" i="5"/>
  <c r="AM10" i="5"/>
  <c r="AG3" i="8"/>
  <c r="AG10" i="8"/>
  <c r="AN10" i="8"/>
  <c r="AC10" i="6"/>
  <c r="AJ10" i="6"/>
  <c r="AF21" i="8"/>
  <c r="W21" i="9"/>
  <c r="AK21" i="9"/>
  <c r="Z14" i="8"/>
  <c r="Z21" i="8"/>
  <c r="AL10" i="2"/>
  <c r="Y6" i="9"/>
  <c r="Y10" i="9"/>
  <c r="AM10" i="9"/>
  <c r="V14" i="8"/>
  <c r="V21" i="8"/>
  <c r="Y21" i="6"/>
  <c r="AM21" i="6"/>
  <c r="AN21" i="3"/>
  <c r="AM20" i="4"/>
  <c r="AL10" i="10"/>
  <c r="AF10" i="6"/>
  <c r="AM10" i="6"/>
  <c r="AL21" i="6"/>
  <c r="AE21" i="5"/>
  <c r="AL21" i="5"/>
  <c r="AM21" i="2"/>
  <c r="AG21" i="8"/>
  <c r="AN21" i="8"/>
  <c r="X10" i="5"/>
  <c r="AL10" i="5"/>
  <c r="AC21" i="8"/>
  <c r="AJ21" i="8"/>
  <c r="AK21" i="5"/>
  <c r="AC10" i="2"/>
  <c r="AJ10" i="2"/>
  <c r="AC10" i="3"/>
  <c r="AL9" i="4"/>
  <c r="Y17" i="9"/>
  <c r="Y21" i="9"/>
  <c r="AM21" i="9"/>
  <c r="V10" i="3"/>
  <c r="V10" i="8"/>
  <c r="AJ10" i="8"/>
  <c r="AM21" i="8"/>
  <c r="AJ10" i="3"/>
</calcChain>
</file>

<file path=xl/sharedStrings.xml><?xml version="1.0" encoding="utf-8"?>
<sst xmlns="http://schemas.openxmlformats.org/spreadsheetml/2006/main" count="1217" uniqueCount="100">
  <si>
    <t>Compared to ARIMA</t>
  </si>
  <si>
    <t>Forecast Month</t>
  </si>
  <si>
    <t>Actual Demand</t>
  </si>
  <si>
    <t>Holt-Winter Fcst</t>
  </si>
  <si>
    <t>ARIMA Fcst</t>
  </si>
  <si>
    <t xml:space="preserve"> SARIMA(5,0,4)(1,1,1)</t>
  </si>
  <si>
    <t>Single Adj + ARIMA</t>
  </si>
  <si>
    <t>Collab Adj + ARIMA</t>
  </si>
  <si>
    <t>absolute</t>
  </si>
  <si>
    <t>squared</t>
  </si>
  <si>
    <t>error /actuals</t>
  </si>
  <si>
    <t>abs</t>
  </si>
  <si>
    <t>HW</t>
  </si>
  <si>
    <t>SARIMA</t>
  </si>
  <si>
    <t>Single adj</t>
  </si>
  <si>
    <t>Collab adj</t>
  </si>
  <si>
    <t>Mth 37</t>
  </si>
  <si>
    <t>Mth 38</t>
  </si>
  <si>
    <t>Mth 39</t>
  </si>
  <si>
    <t>Mth 40</t>
  </si>
  <si>
    <t>Mth 41</t>
  </si>
  <si>
    <t>Mth 42</t>
  </si>
  <si>
    <t>Mth 43</t>
  </si>
  <si>
    <t>Mth 44</t>
  </si>
  <si>
    <t>Mth 45</t>
  </si>
  <si>
    <t>Mth 46</t>
  </si>
  <si>
    <t>Mth 47</t>
  </si>
  <si>
    <t>Mth 48</t>
  </si>
  <si>
    <t>ME</t>
  </si>
  <si>
    <t>MAE</t>
  </si>
  <si>
    <t>RMSE</t>
  </si>
  <si>
    <t>MPE</t>
  </si>
  <si>
    <t>RMSPE</t>
  </si>
  <si>
    <t>MAPE</t>
  </si>
  <si>
    <t>R2</t>
  </si>
  <si>
    <t>MSE</t>
  </si>
  <si>
    <t>MSPE</t>
  </si>
  <si>
    <t>Years</t>
  </si>
  <si>
    <t>Months</t>
  </si>
  <si>
    <t>Demand</t>
  </si>
  <si>
    <t>Y1</t>
  </si>
  <si>
    <t>Y2</t>
  </si>
  <si>
    <t>Y3</t>
  </si>
  <si>
    <t>Error Measures</t>
  </si>
  <si>
    <t>Holt-Winter</t>
  </si>
  <si>
    <t>ARIMA</t>
  </si>
  <si>
    <t>Single Adjustment</t>
  </si>
  <si>
    <t>Collab Adjustment</t>
  </si>
  <si>
    <t>to normalise</t>
  </si>
  <si>
    <t>AHP (rij)</t>
  </si>
  <si>
    <t>MIN (V+)</t>
  </si>
  <si>
    <t>MAX (V-)</t>
  </si>
  <si>
    <t>best &amp; worst</t>
  </si>
  <si>
    <t>switched for min max (trying to maximise R2)</t>
  </si>
  <si>
    <t>D+</t>
  </si>
  <si>
    <t>D-</t>
  </si>
  <si>
    <t>C</t>
  </si>
  <si>
    <t>TO be made positive in calc of V+ &amp; V- as want to minimise these KPI</t>
  </si>
  <si>
    <t>Ranking</t>
  </si>
  <si>
    <t>weights</t>
  </si>
  <si>
    <t>ANP w</t>
  </si>
  <si>
    <t>AHP w</t>
  </si>
  <si>
    <t>increase</t>
  </si>
  <si>
    <t>abs diff</t>
  </si>
  <si>
    <t>ANP</t>
  </si>
  <si>
    <t>Initial solutions</t>
  </si>
  <si>
    <t>without outlier</t>
  </si>
  <si>
    <t>Single Adj</t>
  </si>
  <si>
    <t>Collab Adj</t>
  </si>
  <si>
    <t>Rank</t>
  </si>
  <si>
    <t>ANP-TOPSIS</t>
  </si>
  <si>
    <t>AHP-TOPSIS</t>
  </si>
  <si>
    <t>proportion of total</t>
  </si>
  <si>
    <t>50% increase ME</t>
  </si>
  <si>
    <t>sum</t>
  </si>
  <si>
    <t>original</t>
  </si>
  <si>
    <t xml:space="preserve">Normalised decision matrix </t>
  </si>
  <si>
    <t>Forecasts</t>
  </si>
  <si>
    <t>F-A (collab)</t>
  </si>
  <si>
    <t>F-A (Sarima)</t>
  </si>
  <si>
    <t xml:space="preserve">KPI </t>
  </si>
  <si>
    <t>This sheet helps calculate the error measures for each forecast. Column H is adjusted based on the forecast model you want to calculate te KPI.</t>
  </si>
  <si>
    <t>This sheet has the historical sales for three years taken from literature (Marmier et al. 2010)</t>
  </si>
  <si>
    <t>This sheet uses the ANP-TOPSIS method to rank the forecast models from best to worst.</t>
  </si>
  <si>
    <t>This sheet collects the information from the experts regarding the prioritisation of the evaluate criteria (error measures)</t>
  </si>
  <si>
    <t>Criteria</t>
  </si>
  <si>
    <r>
      <t>R</t>
    </r>
    <r>
      <rPr>
        <vertAlign val="superscript"/>
        <sz val="11"/>
        <color theme="1"/>
        <rFont val="Times New Roman"/>
        <family val="1"/>
      </rPr>
      <t>2</t>
    </r>
  </si>
  <si>
    <r>
      <t>Weight (</t>
    </r>
    <r>
      <rPr>
        <b/>
        <i/>
        <sz val="11"/>
        <color theme="1"/>
        <rFont val="Times New Roman"/>
        <family val="1"/>
      </rPr>
      <t>w</t>
    </r>
    <r>
      <rPr>
        <b/>
        <sz val="11"/>
        <color theme="1"/>
        <rFont val="Times New Roman"/>
        <family val="1"/>
      </rPr>
      <t>)</t>
    </r>
  </si>
  <si>
    <t>The weights are calculated using an online calculator</t>
  </si>
  <si>
    <r>
      <t>R</t>
    </r>
    <r>
      <rPr>
        <b/>
        <vertAlign val="superscript"/>
        <sz val="11"/>
        <color theme="1"/>
        <rFont val="Times New Roman"/>
        <family val="1"/>
      </rPr>
      <t>2</t>
    </r>
  </si>
  <si>
    <t>ANP method of prioritisation of interdependencies</t>
  </si>
  <si>
    <r>
      <t>Weight (</t>
    </r>
    <r>
      <rPr>
        <b/>
        <i/>
        <sz val="11"/>
        <color theme="1"/>
        <rFont val="Times New Roman"/>
        <family val="1"/>
      </rPr>
      <t>w ANP</t>
    </r>
    <r>
      <rPr>
        <b/>
        <sz val="11"/>
        <color theme="1"/>
        <rFont val="Times New Roman"/>
        <family val="1"/>
      </rPr>
      <t>)</t>
    </r>
  </si>
  <si>
    <t>This sheet is used to do a sensitive analysis on MAE</t>
  </si>
  <si>
    <t>This sheet is used to do a sensitive analysis on ME</t>
  </si>
  <si>
    <t>This sheet is used to do a sensitive analysis on RMSE</t>
  </si>
  <si>
    <t>This sheet is used to do a sensitive analysis on MPE</t>
  </si>
  <si>
    <t>This sheet is used to do a sensitive analysis on RMSPE</t>
  </si>
  <si>
    <t>This sheet is used to do a sensitive analysis on MAPE</t>
  </si>
  <si>
    <t>This sheet is used to do a sensitive analysis on R2</t>
  </si>
  <si>
    <t>This sheet provides the final ranking of the sensitivity analysis in the other sheets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</si>
</sst>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 * #,##0.00_ ;_ * \-#,##0.00_ ;_ * &quot;-&quot;??_ ;_ @_ "/>
    <numFmt numFmtId="165" formatCode="0.0000"/>
    <numFmt numFmtId="166" formatCode="0.000"/>
    <numFmt numFmtId="167" formatCode="_ * #,##0.000_ ;_ * \-#,##0.000_ ;_ * &quot;-&quot;??_ ;_ @_ "/>
    <numFmt numFmtId="168" formatCode="_ * #,##0.0000_ ;_ * \-#,##0.0000_ ;_ * &quot;-&quot;??_ ;_ @_ "/>
  </numFmts>
  <fonts count="20" x14ac:knownFonts="1">
    <font>
      <sz val="11"/>
      <color theme="1"/>
      <name val="Calibri"/>
      <family val="2"/>
      <scheme val="minor"/>
    </font>
    <font>
      <sz val="11"/>
      <color rgb="FF1A1A1A"/>
      <name val="Times New Roman"/>
      <family val="1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color theme="1"/>
      <name val="Times"/>
    </font>
    <font>
      <b/>
      <sz val="10"/>
      <color theme="1"/>
      <name val="Times"/>
    </font>
    <font>
      <sz val="8"/>
      <color rgb="FF1A1A1A"/>
      <name val="Times New Roman"/>
      <family val="1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000000"/>
      <name val="Times"/>
    </font>
    <font>
      <sz val="12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sz val="11"/>
      <color theme="1"/>
      <name val="Times New Roman"/>
      <family val="1"/>
    </font>
    <font>
      <b/>
      <vertAlign val="superscript"/>
      <sz val="11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B3B3B3"/>
        <bgColor indexed="64"/>
      </patternFill>
    </fill>
    <fill>
      <patternFill patternType="solid">
        <fgColor rgb="FFCDCDC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3B3B3"/>
        <bgColor rgb="FF000000"/>
      </patternFill>
    </fill>
    <fill>
      <patternFill patternType="solid">
        <fgColor rgb="FFFFFFFF"/>
        <bgColor rgb="FF000000"/>
      </patternFill>
    </fill>
  </fills>
  <borders count="27">
    <border>
      <left/>
      <right/>
      <top/>
      <bottom/>
      <diagonal/>
    </border>
    <border>
      <left style="medium">
        <color rgb="FF3C3E3D"/>
      </left>
      <right style="medium">
        <color rgb="FF3C3E3D"/>
      </right>
      <top style="medium">
        <color rgb="FF3C3E3D"/>
      </top>
      <bottom style="medium">
        <color rgb="FF3C3E3D"/>
      </bottom>
      <diagonal/>
    </border>
    <border>
      <left/>
      <right style="medium">
        <color rgb="FF3C3E3D"/>
      </right>
      <top style="medium">
        <color rgb="FF3C3E3D"/>
      </top>
      <bottom style="medium">
        <color rgb="FF3C3E3D"/>
      </bottom>
      <diagonal/>
    </border>
    <border>
      <left style="medium">
        <color rgb="FF3C3E3D"/>
      </left>
      <right style="medium">
        <color rgb="FF3C3E3D"/>
      </right>
      <top/>
      <bottom style="medium">
        <color rgb="FF3C3E3D"/>
      </bottom>
      <diagonal/>
    </border>
    <border>
      <left/>
      <right style="medium">
        <color rgb="FFD4D4D4"/>
      </right>
      <top/>
      <bottom style="medium">
        <color rgb="FFD4D4D4"/>
      </bottom>
      <diagonal/>
    </border>
    <border>
      <left/>
      <right style="medium">
        <color rgb="FFD4D4D4"/>
      </right>
      <top/>
      <bottom style="medium">
        <color rgb="FF3C3E3D"/>
      </bottom>
      <diagonal/>
    </border>
    <border>
      <left style="medium">
        <color rgb="FF3C3E3D"/>
      </left>
      <right style="medium">
        <color rgb="FFD4D4D4"/>
      </right>
      <top/>
      <bottom style="medium">
        <color rgb="FFD4D4D4"/>
      </bottom>
      <diagonal/>
    </border>
    <border>
      <left style="medium">
        <color rgb="FF3C3E3D"/>
      </left>
      <right style="medium">
        <color rgb="FFD4D4D4"/>
      </right>
      <top/>
      <bottom style="medium">
        <color rgb="FF3C3E3D"/>
      </bottom>
      <diagonal/>
    </border>
    <border>
      <left style="medium">
        <color rgb="FF3C3E3D"/>
      </left>
      <right style="medium">
        <color rgb="FF3C3E3D"/>
      </right>
      <top/>
      <bottom style="medium">
        <color rgb="FFD4D4D4"/>
      </bottom>
      <diagonal/>
    </border>
    <border>
      <left/>
      <right style="medium">
        <color rgb="FF3C3E3D"/>
      </right>
      <top/>
      <bottom/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/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/>
      <bottom style="medium">
        <color rgb="FFBFBFBF"/>
      </bottom>
      <diagonal/>
    </border>
    <border>
      <left/>
      <right style="medium">
        <color rgb="FFBFBFBF"/>
      </right>
      <top/>
      <bottom style="medium">
        <color rgb="FFBFBFBF"/>
      </bottom>
      <diagonal/>
    </border>
    <border>
      <left style="medium">
        <color rgb="FF3C3E3D"/>
      </left>
      <right style="medium">
        <color rgb="FF3C3E3D"/>
      </right>
      <top/>
      <bottom/>
      <diagonal/>
    </border>
    <border>
      <left/>
      <right style="medium">
        <color rgb="FF3C3E3D"/>
      </right>
      <top style="medium">
        <color rgb="FF3C3E3D"/>
      </top>
      <bottom style="medium">
        <color rgb="FF3A3B3B"/>
      </bottom>
      <diagonal/>
    </border>
    <border>
      <left/>
      <right style="medium">
        <color rgb="FF3C3E3D"/>
      </right>
      <top style="medium">
        <color rgb="FF3C3E3D"/>
      </top>
      <bottom style="medium">
        <color rgb="FF383A39"/>
      </bottom>
      <diagonal/>
    </border>
    <border>
      <left/>
      <right style="medium">
        <color rgb="FF3A3B3B"/>
      </right>
      <top/>
      <bottom style="medium">
        <color rgb="FFD4D4D4"/>
      </bottom>
      <diagonal/>
    </border>
    <border>
      <left/>
      <right style="medium">
        <color rgb="FF3A3B3B"/>
      </right>
      <top/>
      <bottom style="medium">
        <color rgb="FF000000"/>
      </bottom>
      <diagonal/>
    </border>
    <border>
      <left/>
      <right style="medium">
        <color rgb="FF383A39"/>
      </right>
      <top/>
      <bottom style="medium">
        <color rgb="FFD4D4D4"/>
      </bottom>
      <diagonal/>
    </border>
    <border>
      <left/>
      <right style="medium">
        <color rgb="FF383A39"/>
      </right>
      <top/>
      <bottom style="medium">
        <color rgb="FF3F3F3F"/>
      </bottom>
      <diagonal/>
    </border>
    <border>
      <left/>
      <right style="medium">
        <color rgb="FF3A3B3B"/>
      </right>
      <top/>
      <bottom style="medium">
        <color rgb="FF3A3B3B"/>
      </bottom>
      <diagonal/>
    </border>
    <border>
      <left/>
      <right style="medium">
        <color rgb="FF383A39"/>
      </right>
      <top/>
      <bottom style="medium">
        <color rgb="FF383A3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91">
    <xf numFmtId="0" fontId="0" fillId="0" borderId="0" xfId="0"/>
    <xf numFmtId="0" fontId="0" fillId="0" borderId="0" xfId="0" applyAlignment="1">
      <alignment wrapText="1"/>
    </xf>
    <xf numFmtId="1" fontId="0" fillId="0" borderId="0" xfId="0" applyNumberFormat="1"/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2" fillId="0" borderId="0" xfId="0" applyFont="1"/>
    <xf numFmtId="0" fontId="0" fillId="5" borderId="0" xfId="0" applyFill="1"/>
    <xf numFmtId="0" fontId="1" fillId="2" borderId="4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0" fillId="0" borderId="0" xfId="0" applyAlignment="1"/>
    <xf numFmtId="0" fontId="1" fillId="2" borderId="5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0" fillId="5" borderId="0" xfId="0" applyFill="1" applyAlignment="1"/>
    <xf numFmtId="0" fontId="1" fillId="5" borderId="6" xfId="0" applyFont="1" applyFill="1" applyBorder="1" applyAlignment="1">
      <alignment vertical="center" wrapText="1"/>
    </xf>
    <xf numFmtId="0" fontId="6" fillId="6" borderId="10" xfId="0" applyFont="1" applyFill="1" applyBorder="1" applyAlignment="1">
      <alignment horizontal="justify" vertical="center" wrapText="1"/>
    </xf>
    <xf numFmtId="0" fontId="7" fillId="6" borderId="11" xfId="0" applyFont="1" applyFill="1" applyBorder="1" applyAlignment="1">
      <alignment horizontal="justify" vertical="center" wrapText="1"/>
    </xf>
    <xf numFmtId="0" fontId="7" fillId="6" borderId="12" xfId="0" applyFont="1" applyFill="1" applyBorder="1" applyAlignment="1">
      <alignment horizontal="justify" vertical="center" wrapText="1"/>
    </xf>
    <xf numFmtId="0" fontId="7" fillId="0" borderId="13" xfId="0" applyFont="1" applyBorder="1" applyAlignment="1">
      <alignment horizontal="justify" vertical="center" wrapText="1"/>
    </xf>
    <xf numFmtId="0" fontId="7" fillId="6" borderId="13" xfId="0" applyFont="1" applyFill="1" applyBorder="1" applyAlignment="1">
      <alignment horizontal="justify" vertical="center" wrapText="1"/>
    </xf>
    <xf numFmtId="0" fontId="8" fillId="6" borderId="12" xfId="0" applyFont="1" applyFill="1" applyBorder="1" applyAlignment="1">
      <alignment horizontal="justify" vertical="center" wrapText="1"/>
    </xf>
    <xf numFmtId="0" fontId="8" fillId="6" borderId="13" xfId="0" applyFont="1" applyFill="1" applyBorder="1" applyAlignment="1">
      <alignment horizontal="justify" vertical="center" wrapText="1"/>
    </xf>
    <xf numFmtId="0" fontId="6" fillId="0" borderId="10" xfId="0" applyFont="1" applyFill="1" applyBorder="1" applyAlignment="1">
      <alignment horizontal="justify" vertical="center" wrapText="1"/>
    </xf>
    <xf numFmtId="0" fontId="7" fillId="0" borderId="11" xfId="0" applyFont="1" applyFill="1" applyBorder="1" applyAlignment="1">
      <alignment horizontal="justify" vertical="center" wrapText="1"/>
    </xf>
    <xf numFmtId="0" fontId="8" fillId="0" borderId="13" xfId="0" applyFont="1" applyFill="1" applyBorder="1" applyAlignment="1">
      <alignment horizontal="justify" vertical="center" wrapText="1"/>
    </xf>
    <xf numFmtId="165" fontId="7" fillId="0" borderId="13" xfId="0" applyNumberFormat="1" applyFont="1" applyFill="1" applyBorder="1" applyAlignment="1">
      <alignment horizontal="justify" vertical="center" wrapText="1"/>
    </xf>
    <xf numFmtId="165" fontId="7" fillId="0" borderId="13" xfId="0" applyNumberFormat="1" applyFont="1" applyBorder="1" applyAlignment="1">
      <alignment horizontal="justify" vertical="center" wrapText="1"/>
    </xf>
    <xf numFmtId="165" fontId="7" fillId="6" borderId="13" xfId="0" applyNumberFormat="1" applyFont="1" applyFill="1" applyBorder="1" applyAlignment="1">
      <alignment horizontal="justify" vertical="center" wrapText="1"/>
    </xf>
    <xf numFmtId="165" fontId="0" fillId="5" borderId="0" xfId="0" applyNumberFormat="1" applyFill="1" applyAlignment="1">
      <alignment horizontal="left" indent="1"/>
    </xf>
    <xf numFmtId="165" fontId="0" fillId="0" borderId="0" xfId="0" applyNumberFormat="1" applyAlignment="1">
      <alignment horizontal="left" indent="1"/>
    </xf>
    <xf numFmtId="166" fontId="0" fillId="0" borderId="0" xfId="0" applyNumberFormat="1"/>
    <xf numFmtId="0" fontId="9" fillId="4" borderId="2" xfId="0" applyFont="1" applyFill="1" applyBorder="1" applyAlignment="1">
      <alignment horizontal="center" vertical="center" wrapText="1"/>
    </xf>
    <xf numFmtId="165" fontId="10" fillId="0" borderId="0" xfId="0" applyNumberFormat="1" applyFont="1"/>
    <xf numFmtId="165" fontId="11" fillId="0" borderId="0" xfId="0" applyNumberFormat="1" applyFont="1"/>
    <xf numFmtId="0" fontId="10" fillId="0" borderId="0" xfId="0" applyFont="1"/>
    <xf numFmtId="0" fontId="9" fillId="3" borderId="1" xfId="0" applyFont="1" applyFill="1" applyBorder="1" applyAlignment="1">
      <alignment horizontal="center" vertical="center" wrapText="1"/>
    </xf>
    <xf numFmtId="0" fontId="11" fillId="0" borderId="0" xfId="0" applyFont="1"/>
    <xf numFmtId="0" fontId="9" fillId="4" borderId="1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9" fontId="0" fillId="0" borderId="0" xfId="6" applyFont="1"/>
    <xf numFmtId="164" fontId="0" fillId="0" borderId="0" xfId="5" applyFont="1"/>
    <xf numFmtId="10" fontId="0" fillId="0" borderId="0" xfId="6" applyNumberFormat="1" applyFont="1"/>
    <xf numFmtId="2" fontId="0" fillId="0" borderId="0" xfId="0" applyNumberFormat="1"/>
    <xf numFmtId="2" fontId="0" fillId="0" borderId="0" xfId="0" applyNumberFormat="1" applyAlignment="1"/>
    <xf numFmtId="0" fontId="1" fillId="5" borderId="7" xfId="0" applyFont="1" applyFill="1" applyBorder="1" applyAlignment="1">
      <alignment vertical="center" wrapText="1"/>
    </xf>
    <xf numFmtId="0" fontId="1" fillId="5" borderId="4" xfId="0" applyFont="1" applyFill="1" applyBorder="1" applyAlignment="1">
      <alignment vertical="center" wrapText="1"/>
    </xf>
    <xf numFmtId="0" fontId="1" fillId="3" borderId="14" xfId="0" applyFont="1" applyFill="1" applyBorder="1" applyAlignment="1">
      <alignment horizontal="center" vertical="center" wrapText="1"/>
    </xf>
    <xf numFmtId="164" fontId="0" fillId="0" borderId="0" xfId="0" applyNumberFormat="1"/>
    <xf numFmtId="167" fontId="0" fillId="0" borderId="0" xfId="5" applyNumberFormat="1" applyFont="1"/>
    <xf numFmtId="167" fontId="0" fillId="0" borderId="0" xfId="0" applyNumberFormat="1"/>
    <xf numFmtId="168" fontId="0" fillId="0" borderId="0" xfId="0" applyNumberFormat="1"/>
    <xf numFmtId="0" fontId="0" fillId="0" borderId="0" xfId="0" applyFont="1"/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2" fillId="2" borderId="17" xfId="0" applyFon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0" fontId="12" fillId="2" borderId="19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center" wrapText="1"/>
    </xf>
    <xf numFmtId="0" fontId="12" fillId="3" borderId="22" xfId="0" applyFont="1" applyFill="1" applyBorder="1" applyAlignment="1">
      <alignment horizontal="center" vertical="center" wrapText="1"/>
    </xf>
    <xf numFmtId="0" fontId="12" fillId="7" borderId="20" xfId="0" applyFont="1" applyFill="1" applyBorder="1" applyAlignment="1">
      <alignment horizontal="center" vertical="center" wrapText="1"/>
    </xf>
    <xf numFmtId="0" fontId="12" fillId="8" borderId="4" xfId="0" applyFont="1" applyFill="1" applyBorder="1" applyAlignment="1">
      <alignment horizontal="center" vertical="center" wrapText="1"/>
    </xf>
    <xf numFmtId="0" fontId="12" fillId="7" borderId="22" xfId="0" applyFont="1" applyFill="1" applyBorder="1" applyAlignment="1">
      <alignment horizontal="center" vertical="center" wrapText="1"/>
    </xf>
    <xf numFmtId="1" fontId="2" fillId="0" borderId="0" xfId="0" applyNumberFormat="1" applyFont="1"/>
    <xf numFmtId="0" fontId="13" fillId="0" borderId="0" xfId="0" applyFont="1"/>
    <xf numFmtId="0" fontId="0" fillId="0" borderId="9" xfId="0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/>
    <xf numFmtId="0" fontId="15" fillId="0" borderId="23" xfId="0" applyFont="1" applyBorder="1" applyAlignment="1">
      <alignment vertical="center" wrapText="1"/>
    </xf>
    <xf numFmtId="0" fontId="15" fillId="0" borderId="24" xfId="0" applyFont="1" applyBorder="1" applyAlignment="1">
      <alignment vertical="center" wrapText="1"/>
    </xf>
    <xf numFmtId="0" fontId="17" fillId="0" borderId="24" xfId="0" applyFont="1" applyBorder="1" applyAlignment="1">
      <alignment vertical="center" wrapText="1"/>
    </xf>
    <xf numFmtId="0" fontId="15" fillId="0" borderId="25" xfId="0" applyFont="1" applyBorder="1" applyAlignment="1">
      <alignment vertical="center" wrapText="1"/>
    </xf>
    <xf numFmtId="0" fontId="15" fillId="0" borderId="26" xfId="0" applyFont="1" applyBorder="1" applyAlignment="1">
      <alignment vertical="center" wrapText="1"/>
    </xf>
    <xf numFmtId="0" fontId="17" fillId="0" borderId="26" xfId="0" applyFont="1" applyBorder="1" applyAlignment="1">
      <alignment vertical="center" wrapText="1"/>
    </xf>
    <xf numFmtId="2" fontId="15" fillId="0" borderId="23" xfId="0" applyNumberFormat="1" applyFont="1" applyBorder="1" applyAlignment="1">
      <alignment vertical="center" wrapText="1"/>
    </xf>
    <xf numFmtId="2" fontId="15" fillId="0" borderId="24" xfId="0" applyNumberFormat="1" applyFont="1" applyBorder="1" applyAlignment="1">
      <alignment vertical="center" wrapText="1"/>
    </xf>
    <xf numFmtId="2" fontId="15" fillId="0" borderId="25" xfId="0" applyNumberFormat="1" applyFont="1" applyBorder="1" applyAlignment="1">
      <alignment vertical="center" wrapText="1"/>
    </xf>
    <xf numFmtId="2" fontId="15" fillId="0" borderId="26" xfId="0" applyNumberFormat="1" applyFont="1" applyBorder="1" applyAlignment="1">
      <alignment vertical="center" wrapText="1"/>
    </xf>
    <xf numFmtId="0" fontId="17" fillId="0" borderId="23" xfId="0" applyFont="1" applyBorder="1" applyAlignment="1">
      <alignment vertical="center" wrapText="1"/>
    </xf>
    <xf numFmtId="0" fontId="17" fillId="0" borderId="25" xfId="0" applyFont="1" applyBorder="1" applyAlignment="1">
      <alignment vertical="center" wrapText="1"/>
    </xf>
  </cellXfs>
  <cellStyles count="47">
    <cellStyle name="Comma" xfId="5" builtinId="3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0" builtinId="9" hidden="1"/>
    <cellStyle name="Followed Hyperlink" xfId="32" builtinId="9" hidden="1"/>
    <cellStyle name="Followed Hyperlink" xfId="24" builtinId="9" hidden="1"/>
    <cellStyle name="Followed Hyperlink" xfId="12" builtinId="9" hidden="1"/>
    <cellStyle name="Followed Hyperlink" xfId="14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16" builtinId="9" hidden="1"/>
    <cellStyle name="Followed Hyperlink" xfId="8" builtinId="9" hidden="1"/>
    <cellStyle name="Followed Hyperlink" xfId="10" builtinId="9" hidden="1"/>
    <cellStyle name="Followed Hyperlink" xfId="4" builtinId="9" hidden="1"/>
    <cellStyle name="Followed Hyperlink" xfId="2" builtinId="9" hidden="1"/>
    <cellStyle name="Hyperlink" xfId="43" builtinId="8" hidden="1"/>
    <cellStyle name="Hyperlink" xfId="45" builtinId="8" hidden="1"/>
    <cellStyle name="Hyperlink" xfId="19" builtinId="8" hidden="1"/>
    <cellStyle name="Hyperlink" xfId="21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41" builtinId="8" hidden="1"/>
    <cellStyle name="Hyperlink" xfId="39" builtinId="8" hidden="1"/>
    <cellStyle name="Hyperlink" xfId="23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3" builtinId="8" hidden="1"/>
    <cellStyle name="Hyperlink" xfId="9" builtinId="8" hidden="1"/>
    <cellStyle name="Hyperlink" xfId="7" builtinId="8" hidden="1"/>
    <cellStyle name="Hyperlink" xfId="1" builtinId="8" hidden="1"/>
    <cellStyle name="Normal" xfId="0" builtinId="0"/>
    <cellStyle name="Percent" xfId="6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Demand vs Quantitative</a:t>
            </a:r>
            <a:r>
              <a:rPr lang="en-GB" baseline="0"/>
              <a:t> </a:t>
            </a:r>
            <a:r>
              <a:rPr lang="en-GB"/>
              <a:t>Forecasts for 12 months horizon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'KPI Calc Sheet'!$B$3</c:f>
              <c:strCache>
                <c:ptCount val="1"/>
                <c:pt idx="0">
                  <c:v>Actual Demand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38100">
              <a:noFill/>
            </a:ln>
            <a:effectLst/>
          </c:spPr>
          <c:invertIfNegative val="0"/>
          <c:cat>
            <c:strRef>
              <c:f>'KPI Calc Sheet'!$A$4:$A$15</c:f>
              <c:strCache>
                <c:ptCount val="12"/>
                <c:pt idx="0">
                  <c:v>Mth 37</c:v>
                </c:pt>
                <c:pt idx="1">
                  <c:v>Mth 38</c:v>
                </c:pt>
                <c:pt idx="2">
                  <c:v>Mth 39</c:v>
                </c:pt>
                <c:pt idx="3">
                  <c:v>Mth 40</c:v>
                </c:pt>
                <c:pt idx="4">
                  <c:v>Mth 41</c:v>
                </c:pt>
                <c:pt idx="5">
                  <c:v>Mth 42</c:v>
                </c:pt>
                <c:pt idx="6">
                  <c:v>Mth 43</c:v>
                </c:pt>
                <c:pt idx="7">
                  <c:v>Mth 44</c:v>
                </c:pt>
                <c:pt idx="8">
                  <c:v>Mth 45</c:v>
                </c:pt>
                <c:pt idx="9">
                  <c:v>Mth 46</c:v>
                </c:pt>
                <c:pt idx="10">
                  <c:v>Mth 47</c:v>
                </c:pt>
                <c:pt idx="11">
                  <c:v>Mth 48</c:v>
                </c:pt>
              </c:strCache>
            </c:strRef>
          </c:cat>
          <c:val>
            <c:numRef>
              <c:f>'KPI Calc Sheet'!$B$4:$B$15</c:f>
              <c:numCache>
                <c:formatCode>General</c:formatCode>
                <c:ptCount val="12"/>
                <c:pt idx="0">
                  <c:v>1322</c:v>
                </c:pt>
                <c:pt idx="1">
                  <c:v>1349</c:v>
                </c:pt>
                <c:pt idx="2">
                  <c:v>1436</c:v>
                </c:pt>
                <c:pt idx="3">
                  <c:v>1555</c:v>
                </c:pt>
                <c:pt idx="4">
                  <c:v>1608</c:v>
                </c:pt>
                <c:pt idx="5">
                  <c:v>1208</c:v>
                </c:pt>
                <c:pt idx="6">
                  <c:v>1341</c:v>
                </c:pt>
                <c:pt idx="7">
                  <c:v>1473</c:v>
                </c:pt>
                <c:pt idx="8">
                  <c:v>1604</c:v>
                </c:pt>
                <c:pt idx="9">
                  <c:v>1528</c:v>
                </c:pt>
                <c:pt idx="10">
                  <c:v>1131</c:v>
                </c:pt>
                <c:pt idx="11">
                  <c:v>1296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E2-40E2-BF9D-02B0618699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6136432"/>
        <c:axId val="1876121248"/>
      </c:barChart>
      <c:lineChart>
        <c:grouping val="standard"/>
        <c:varyColors val="0"/>
        <c:ser>
          <c:idx val="1"/>
          <c:order val="1"/>
          <c:tx>
            <c:strRef>
              <c:f>'KPI Calc Sheet'!$C$3</c:f>
              <c:strCache>
                <c:ptCount val="1"/>
                <c:pt idx="0">
                  <c:v>Holt-Winter Fcst</c:v>
                </c:pt>
              </c:strCache>
            </c:strRef>
          </c:tx>
          <c:spPr>
            <a:ln w="31750" cap="rnd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'KPI Calc Sheet'!$A$4:$A$15</c:f>
              <c:strCache>
                <c:ptCount val="12"/>
                <c:pt idx="0">
                  <c:v>Mth 37</c:v>
                </c:pt>
                <c:pt idx="1">
                  <c:v>Mth 38</c:v>
                </c:pt>
                <c:pt idx="2">
                  <c:v>Mth 39</c:v>
                </c:pt>
                <c:pt idx="3">
                  <c:v>Mth 40</c:v>
                </c:pt>
                <c:pt idx="4">
                  <c:v>Mth 41</c:v>
                </c:pt>
                <c:pt idx="5">
                  <c:v>Mth 42</c:v>
                </c:pt>
                <c:pt idx="6">
                  <c:v>Mth 43</c:v>
                </c:pt>
                <c:pt idx="7">
                  <c:v>Mth 44</c:v>
                </c:pt>
                <c:pt idx="8">
                  <c:v>Mth 45</c:v>
                </c:pt>
                <c:pt idx="9">
                  <c:v>Mth 46</c:v>
                </c:pt>
                <c:pt idx="10">
                  <c:v>Mth 47</c:v>
                </c:pt>
                <c:pt idx="11">
                  <c:v>Mth 48</c:v>
                </c:pt>
              </c:strCache>
            </c:strRef>
          </c:cat>
          <c:val>
            <c:numRef>
              <c:f>'KPI Calc Sheet'!$C$4:$C$15</c:f>
              <c:numCache>
                <c:formatCode>0</c:formatCode>
                <c:ptCount val="12"/>
                <c:pt idx="0">
                  <c:v>1392.628784</c:v>
                </c:pt>
                <c:pt idx="1">
                  <c:v>1448.5878909999999</c:v>
                </c:pt>
                <c:pt idx="2">
                  <c:v>1491.267822</c:v>
                </c:pt>
                <c:pt idx="3">
                  <c:v>1524.1091309999999</c:v>
                </c:pt>
                <c:pt idx="4">
                  <c:v>1601.2254640000001</c:v>
                </c:pt>
                <c:pt idx="5">
                  <c:v>1345.4730219999999</c:v>
                </c:pt>
                <c:pt idx="6">
                  <c:v>1399.028442</c:v>
                </c:pt>
                <c:pt idx="7">
                  <c:v>1404.1240230000001</c:v>
                </c:pt>
                <c:pt idx="8">
                  <c:v>1480.709961</c:v>
                </c:pt>
                <c:pt idx="9">
                  <c:v>1523.502686</c:v>
                </c:pt>
                <c:pt idx="10">
                  <c:v>1325.0217290000001</c:v>
                </c:pt>
                <c:pt idx="11">
                  <c:v>1358.552612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1AE2-40E2-BF9D-02B0618699D0}"/>
            </c:ext>
          </c:extLst>
        </c:ser>
        <c:ser>
          <c:idx val="2"/>
          <c:order val="2"/>
          <c:tx>
            <c:strRef>
              <c:f>'KPI Calc Sheet'!$D$3</c:f>
              <c:strCache>
                <c:ptCount val="1"/>
                <c:pt idx="0">
                  <c:v>ARIMA Fcst</c:v>
                </c:pt>
              </c:strCache>
            </c:strRef>
          </c:tx>
          <c:spPr>
            <a:ln w="31750" cap="rnd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'KPI Calc Sheet'!$A$4:$A$15</c:f>
              <c:strCache>
                <c:ptCount val="12"/>
                <c:pt idx="0">
                  <c:v>Mth 37</c:v>
                </c:pt>
                <c:pt idx="1">
                  <c:v>Mth 38</c:v>
                </c:pt>
                <c:pt idx="2">
                  <c:v>Mth 39</c:v>
                </c:pt>
                <c:pt idx="3">
                  <c:v>Mth 40</c:v>
                </c:pt>
                <c:pt idx="4">
                  <c:v>Mth 41</c:v>
                </c:pt>
                <c:pt idx="5">
                  <c:v>Mth 42</c:v>
                </c:pt>
                <c:pt idx="6">
                  <c:v>Mth 43</c:v>
                </c:pt>
                <c:pt idx="7">
                  <c:v>Mth 44</c:v>
                </c:pt>
                <c:pt idx="8">
                  <c:v>Mth 45</c:v>
                </c:pt>
                <c:pt idx="9">
                  <c:v>Mth 46</c:v>
                </c:pt>
                <c:pt idx="10">
                  <c:v>Mth 47</c:v>
                </c:pt>
                <c:pt idx="11">
                  <c:v>Mth 48</c:v>
                </c:pt>
              </c:strCache>
            </c:strRef>
          </c:cat>
          <c:val>
            <c:numRef>
              <c:f>'KPI Calc Sheet'!$D$4:$D$15</c:f>
              <c:numCache>
                <c:formatCode>General</c:formatCode>
                <c:ptCount val="12"/>
                <c:pt idx="0">
                  <c:v>1106</c:v>
                </c:pt>
                <c:pt idx="1">
                  <c:v>1359</c:v>
                </c:pt>
                <c:pt idx="2">
                  <c:v>1539</c:v>
                </c:pt>
                <c:pt idx="3">
                  <c:v>1411</c:v>
                </c:pt>
                <c:pt idx="4">
                  <c:v>1513</c:v>
                </c:pt>
                <c:pt idx="5">
                  <c:v>1152</c:v>
                </c:pt>
                <c:pt idx="6">
                  <c:v>1372</c:v>
                </c:pt>
                <c:pt idx="7">
                  <c:v>1411</c:v>
                </c:pt>
                <c:pt idx="8">
                  <c:v>1512</c:v>
                </c:pt>
                <c:pt idx="9">
                  <c:v>1669</c:v>
                </c:pt>
                <c:pt idx="10">
                  <c:v>1325</c:v>
                </c:pt>
                <c:pt idx="11">
                  <c:v>1498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1AE2-40E2-BF9D-02B0618699D0}"/>
            </c:ext>
          </c:extLst>
        </c:ser>
        <c:ser>
          <c:idx val="3"/>
          <c:order val="3"/>
          <c:tx>
            <c:strRef>
              <c:f>'KPI Calc Sheet'!$E$3</c:f>
              <c:strCache>
                <c:ptCount val="1"/>
                <c:pt idx="0">
                  <c:v> SARIMA(5,0,4)(1,1,1)</c:v>
                </c:pt>
              </c:strCache>
            </c:strRef>
          </c:tx>
          <c:spPr>
            <a:ln w="31750" cap="rnd">
              <a:solidFill>
                <a:schemeClr val="accent4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'KPI Calc Sheet'!$A$4:$A$15</c:f>
              <c:strCache>
                <c:ptCount val="12"/>
                <c:pt idx="0">
                  <c:v>Mth 37</c:v>
                </c:pt>
                <c:pt idx="1">
                  <c:v>Mth 38</c:v>
                </c:pt>
                <c:pt idx="2">
                  <c:v>Mth 39</c:v>
                </c:pt>
                <c:pt idx="3">
                  <c:v>Mth 40</c:v>
                </c:pt>
                <c:pt idx="4">
                  <c:v>Mth 41</c:v>
                </c:pt>
                <c:pt idx="5">
                  <c:v>Mth 42</c:v>
                </c:pt>
                <c:pt idx="6">
                  <c:v>Mth 43</c:v>
                </c:pt>
                <c:pt idx="7">
                  <c:v>Mth 44</c:v>
                </c:pt>
                <c:pt idx="8">
                  <c:v>Mth 45</c:v>
                </c:pt>
                <c:pt idx="9">
                  <c:v>Mth 46</c:v>
                </c:pt>
                <c:pt idx="10">
                  <c:v>Mth 47</c:v>
                </c:pt>
                <c:pt idx="11">
                  <c:v>Mth 48</c:v>
                </c:pt>
              </c:strCache>
            </c:strRef>
          </c:cat>
          <c:val>
            <c:numRef>
              <c:f>'KPI Calc Sheet'!$E$4:$E$15</c:f>
              <c:numCache>
                <c:formatCode>General</c:formatCode>
                <c:ptCount val="12"/>
                <c:pt idx="0">
                  <c:v>1207</c:v>
                </c:pt>
                <c:pt idx="1">
                  <c:v>1426</c:v>
                </c:pt>
                <c:pt idx="2">
                  <c:v>1593</c:v>
                </c:pt>
                <c:pt idx="3">
                  <c:v>1442</c:v>
                </c:pt>
                <c:pt idx="4">
                  <c:v>1450</c:v>
                </c:pt>
                <c:pt idx="5">
                  <c:v>1193</c:v>
                </c:pt>
                <c:pt idx="6">
                  <c:v>1382</c:v>
                </c:pt>
                <c:pt idx="7">
                  <c:v>1486</c:v>
                </c:pt>
                <c:pt idx="8">
                  <c:v>1558</c:v>
                </c:pt>
                <c:pt idx="9">
                  <c:v>1600</c:v>
                </c:pt>
                <c:pt idx="10">
                  <c:v>1316</c:v>
                </c:pt>
                <c:pt idx="11">
                  <c:v>1408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1AE2-40E2-BF9D-02B0618699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6136432"/>
        <c:axId val="1876121248"/>
      </c:lineChart>
      <c:catAx>
        <c:axId val="1876136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876121248"/>
        <c:crosses val="autoZero"/>
        <c:auto val="1"/>
        <c:lblAlgn val="ctr"/>
        <c:lblOffset val="100"/>
        <c:noMultiLvlLbl val="0"/>
      </c:catAx>
      <c:valAx>
        <c:axId val="1876121248"/>
        <c:scaling>
          <c:orientation val="minMax"/>
          <c:max val="1700"/>
          <c:min val="1000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876136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Demand vs Hybrid Forecasts for 12 months horizon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'KPI Calc Sheet'!$B$3</c:f>
              <c:strCache>
                <c:ptCount val="1"/>
                <c:pt idx="0">
                  <c:v>Actual Demand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38100">
              <a:noFill/>
            </a:ln>
            <a:effectLst/>
          </c:spPr>
          <c:invertIfNegative val="0"/>
          <c:cat>
            <c:strRef>
              <c:f>'KPI Calc Sheet'!$A$4:$A$15</c:f>
              <c:strCache>
                <c:ptCount val="12"/>
                <c:pt idx="0">
                  <c:v>Mth 37</c:v>
                </c:pt>
                <c:pt idx="1">
                  <c:v>Mth 38</c:v>
                </c:pt>
                <c:pt idx="2">
                  <c:v>Mth 39</c:v>
                </c:pt>
                <c:pt idx="3">
                  <c:v>Mth 40</c:v>
                </c:pt>
                <c:pt idx="4">
                  <c:v>Mth 41</c:v>
                </c:pt>
                <c:pt idx="5">
                  <c:v>Mth 42</c:v>
                </c:pt>
                <c:pt idx="6">
                  <c:v>Mth 43</c:v>
                </c:pt>
                <c:pt idx="7">
                  <c:v>Mth 44</c:v>
                </c:pt>
                <c:pt idx="8">
                  <c:v>Mth 45</c:v>
                </c:pt>
                <c:pt idx="9">
                  <c:v>Mth 46</c:v>
                </c:pt>
                <c:pt idx="10">
                  <c:v>Mth 47</c:v>
                </c:pt>
                <c:pt idx="11">
                  <c:v>Mth 48</c:v>
                </c:pt>
              </c:strCache>
            </c:strRef>
          </c:cat>
          <c:val>
            <c:numRef>
              <c:f>'KPI Calc Sheet'!$B$4:$B$15</c:f>
              <c:numCache>
                <c:formatCode>General</c:formatCode>
                <c:ptCount val="12"/>
                <c:pt idx="0">
                  <c:v>1322</c:v>
                </c:pt>
                <c:pt idx="1">
                  <c:v>1349</c:v>
                </c:pt>
                <c:pt idx="2">
                  <c:v>1436</c:v>
                </c:pt>
                <c:pt idx="3">
                  <c:v>1555</c:v>
                </c:pt>
                <c:pt idx="4">
                  <c:v>1608</c:v>
                </c:pt>
                <c:pt idx="5">
                  <c:v>1208</c:v>
                </c:pt>
                <c:pt idx="6">
                  <c:v>1341</c:v>
                </c:pt>
                <c:pt idx="7">
                  <c:v>1473</c:v>
                </c:pt>
                <c:pt idx="8">
                  <c:v>1604</c:v>
                </c:pt>
                <c:pt idx="9">
                  <c:v>1528</c:v>
                </c:pt>
                <c:pt idx="10">
                  <c:v>1131</c:v>
                </c:pt>
                <c:pt idx="11">
                  <c:v>1296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14-4DD7-9CE1-25D13A62EE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4369456"/>
        <c:axId val="1884675680"/>
      </c:barChart>
      <c:lineChart>
        <c:grouping val="standard"/>
        <c:varyColors val="0"/>
        <c:ser>
          <c:idx val="4"/>
          <c:order val="4"/>
          <c:tx>
            <c:strRef>
              <c:f>'KPI Calc Sheet'!$F$3</c:f>
              <c:strCache>
                <c:ptCount val="1"/>
                <c:pt idx="0">
                  <c:v>Single Adj + ARIMA</c:v>
                </c:pt>
              </c:strCache>
            </c:strRef>
          </c:tx>
          <c:spPr>
            <a:ln w="31750" cap="rnd">
              <a:solidFill>
                <a:srgbClr val="7030A0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'KPI Calc Sheet'!$A$4:$A$15</c:f>
              <c:strCache>
                <c:ptCount val="12"/>
                <c:pt idx="0">
                  <c:v>Mth 37</c:v>
                </c:pt>
                <c:pt idx="1">
                  <c:v>Mth 38</c:v>
                </c:pt>
                <c:pt idx="2">
                  <c:v>Mth 39</c:v>
                </c:pt>
                <c:pt idx="3">
                  <c:v>Mth 40</c:v>
                </c:pt>
                <c:pt idx="4">
                  <c:v>Mth 41</c:v>
                </c:pt>
                <c:pt idx="5">
                  <c:v>Mth 42</c:v>
                </c:pt>
                <c:pt idx="6">
                  <c:v>Mth 43</c:v>
                </c:pt>
                <c:pt idx="7">
                  <c:v>Mth 44</c:v>
                </c:pt>
                <c:pt idx="8">
                  <c:v>Mth 45</c:v>
                </c:pt>
                <c:pt idx="9">
                  <c:v>Mth 46</c:v>
                </c:pt>
                <c:pt idx="10">
                  <c:v>Mth 47</c:v>
                </c:pt>
                <c:pt idx="11">
                  <c:v>Mth 48</c:v>
                </c:pt>
              </c:strCache>
            </c:strRef>
          </c:cat>
          <c:val>
            <c:numRef>
              <c:f>'KPI Calc Sheet'!$F$4:$F$15</c:f>
              <c:numCache>
                <c:formatCode>General</c:formatCode>
                <c:ptCount val="12"/>
                <c:pt idx="0">
                  <c:v>1482</c:v>
                </c:pt>
                <c:pt idx="1">
                  <c:v>1313</c:v>
                </c:pt>
                <c:pt idx="2">
                  <c:v>1470</c:v>
                </c:pt>
                <c:pt idx="3">
                  <c:v>1519</c:v>
                </c:pt>
                <c:pt idx="4">
                  <c:v>1598</c:v>
                </c:pt>
                <c:pt idx="5">
                  <c:v>1214</c:v>
                </c:pt>
                <c:pt idx="6">
                  <c:v>1411</c:v>
                </c:pt>
                <c:pt idx="7">
                  <c:v>1427</c:v>
                </c:pt>
                <c:pt idx="8">
                  <c:v>1055</c:v>
                </c:pt>
                <c:pt idx="9">
                  <c:v>1439</c:v>
                </c:pt>
                <c:pt idx="10">
                  <c:v>1072</c:v>
                </c:pt>
                <c:pt idx="11">
                  <c:v>1222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EC14-4DD7-9CE1-25D13A62EE7A}"/>
            </c:ext>
          </c:extLst>
        </c:ser>
        <c:ser>
          <c:idx val="5"/>
          <c:order val="5"/>
          <c:tx>
            <c:strRef>
              <c:f>'KPI Calc Sheet'!$G$3</c:f>
              <c:strCache>
                <c:ptCount val="1"/>
                <c:pt idx="0">
                  <c:v>Collab Adj + ARIMA</c:v>
                </c:pt>
              </c:strCache>
            </c:strRef>
          </c:tx>
          <c:spPr>
            <a:ln w="31750" cap="rnd">
              <a:solidFill>
                <a:schemeClr val="accent6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'KPI Calc Sheet'!$A$4:$A$15</c:f>
              <c:strCache>
                <c:ptCount val="12"/>
                <c:pt idx="0">
                  <c:v>Mth 37</c:v>
                </c:pt>
                <c:pt idx="1">
                  <c:v>Mth 38</c:v>
                </c:pt>
                <c:pt idx="2">
                  <c:v>Mth 39</c:v>
                </c:pt>
                <c:pt idx="3">
                  <c:v>Mth 40</c:v>
                </c:pt>
                <c:pt idx="4">
                  <c:v>Mth 41</c:v>
                </c:pt>
                <c:pt idx="5">
                  <c:v>Mth 42</c:v>
                </c:pt>
                <c:pt idx="6">
                  <c:v>Mth 43</c:v>
                </c:pt>
                <c:pt idx="7">
                  <c:v>Mth 44</c:v>
                </c:pt>
                <c:pt idx="8">
                  <c:v>Mth 45</c:v>
                </c:pt>
                <c:pt idx="9">
                  <c:v>Mth 46</c:v>
                </c:pt>
                <c:pt idx="10">
                  <c:v>Mth 47</c:v>
                </c:pt>
                <c:pt idx="11">
                  <c:v>Mth 48</c:v>
                </c:pt>
              </c:strCache>
            </c:strRef>
          </c:cat>
          <c:val>
            <c:numRef>
              <c:f>'KPI Calc Sheet'!$G$4:$G$15</c:f>
              <c:numCache>
                <c:formatCode>General</c:formatCode>
                <c:ptCount val="12"/>
                <c:pt idx="0">
                  <c:v>1350</c:v>
                </c:pt>
                <c:pt idx="1">
                  <c:v>1369</c:v>
                </c:pt>
                <c:pt idx="2">
                  <c:v>1531</c:v>
                </c:pt>
                <c:pt idx="3">
                  <c:v>1515</c:v>
                </c:pt>
                <c:pt idx="4">
                  <c:v>1599</c:v>
                </c:pt>
                <c:pt idx="5">
                  <c:v>1219</c:v>
                </c:pt>
                <c:pt idx="6">
                  <c:v>1420</c:v>
                </c:pt>
                <c:pt idx="7">
                  <c:v>1441</c:v>
                </c:pt>
                <c:pt idx="8">
                  <c:v>1598</c:v>
                </c:pt>
                <c:pt idx="9">
                  <c:v>1482</c:v>
                </c:pt>
                <c:pt idx="10">
                  <c:v>1120</c:v>
                </c:pt>
                <c:pt idx="11">
                  <c:v>1274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EC14-4DD7-9CE1-25D13A62EE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4369456"/>
        <c:axId val="1884675680"/>
        <c:extLst>
          <c:ext xmlns:c15="http://schemas.microsoft.com/office/drawing/2012/chart" uri="{02D57815-91ED-43cb-92C2-25804820EDAC}">
            <c15:filteredLine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'KPI Calc Sheet'!$C$3</c15:sqref>
                        </c15:formulaRef>
                      </c:ext>
                    </c:extLst>
                    <c:strCache>
                      <c:ptCount val="1"/>
                      <c:pt idx="0">
                        <c:v>Holt-Winter Fcst</c:v>
                      </c:pt>
                    </c:strCache>
                  </c:strRef>
                </c:tx>
                <c:spPr>
                  <a:ln w="31750" cap="rnd">
                    <a:solidFill>
                      <a:schemeClr val="accent2"/>
                    </a:solidFill>
                    <a:prstDash val="sysDash"/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ormulaRef>
                          <c15:sqref>'KPI Calc Sheet'!$A$4:$A$15</c15:sqref>
                        </c15:formulaRef>
                      </c:ext>
                    </c:extLst>
                    <c:strCache>
                      <c:ptCount val="12"/>
                      <c:pt idx="0">
                        <c:v>Mth 37</c:v>
                      </c:pt>
                      <c:pt idx="1">
                        <c:v>Mth 38</c:v>
                      </c:pt>
                      <c:pt idx="2">
                        <c:v>Mth 39</c:v>
                      </c:pt>
                      <c:pt idx="3">
                        <c:v>Mth 40</c:v>
                      </c:pt>
                      <c:pt idx="4">
                        <c:v>Mth 41</c:v>
                      </c:pt>
                      <c:pt idx="5">
                        <c:v>Mth 42</c:v>
                      </c:pt>
                      <c:pt idx="6">
                        <c:v>Mth 43</c:v>
                      </c:pt>
                      <c:pt idx="7">
                        <c:v>Mth 44</c:v>
                      </c:pt>
                      <c:pt idx="8">
                        <c:v>Mth 45</c:v>
                      </c:pt>
                      <c:pt idx="9">
                        <c:v>Mth 46</c:v>
                      </c:pt>
                      <c:pt idx="10">
                        <c:v>Mth 47</c:v>
                      </c:pt>
                      <c:pt idx="11">
                        <c:v>Mth 48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'KPI Calc Sheet'!$C$4:$C$15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1392.628784</c:v>
                      </c:pt>
                      <c:pt idx="1">
                        <c:v>1448.5878909999999</c:v>
                      </c:pt>
                      <c:pt idx="2">
                        <c:v>1491.267822</c:v>
                      </c:pt>
                      <c:pt idx="3">
                        <c:v>1524.1091309999999</c:v>
                      </c:pt>
                      <c:pt idx="4">
                        <c:v>1601.2254640000001</c:v>
                      </c:pt>
                      <c:pt idx="5">
                        <c:v>1345.4730219999999</c:v>
                      </c:pt>
                      <c:pt idx="6">
                        <c:v>1399.028442</c:v>
                      </c:pt>
                      <c:pt idx="7">
                        <c:v>1404.1240230000001</c:v>
                      </c:pt>
                      <c:pt idx="8">
                        <c:v>1480.709961</c:v>
                      </c:pt>
                      <c:pt idx="9">
                        <c:v>1523.502686</c:v>
                      </c:pt>
                      <c:pt idx="10">
                        <c:v>1325.0217290000001</c:v>
                      </c:pt>
                      <c:pt idx="11">
                        <c:v>1358.552612</c:v>
                      </c:pt>
                    </c:numCache>
                  </c:numRef>
                </c:val>
                <c:smooth val="1"/>
                <c:extLst>
                  <c:ext xmlns:c16="http://schemas.microsoft.com/office/drawing/2014/chart" uri="{C3380CC4-5D6E-409C-BE32-E72D297353CC}">
                    <c16:uniqueId val="{00000003-EC14-4DD7-9CE1-25D13A62EE7A}"/>
                  </c:ext>
                </c:extLst>
              </c15:ser>
            </c15:filteredLineSeries>
            <c15:filteredLin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'KPI Calc Sheet'!$D$3</c15:sqref>
                        </c15:formulaRef>
                      </c:ext>
                    </c:extLst>
                    <c:strCache>
                      <c:ptCount val="1"/>
                      <c:pt idx="0">
                        <c:v>ARIMA Fcst</c:v>
                      </c:pt>
                    </c:strCache>
                  </c:strRef>
                </c:tx>
                <c:spPr>
                  <a:ln w="31750" cap="rnd">
                    <a:solidFill>
                      <a:schemeClr val="accent3"/>
                    </a:solidFill>
                    <a:prstDash val="sysDash"/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'KPI Calc Sheet'!$A$4:$A$15</c15:sqref>
                        </c15:formulaRef>
                      </c:ext>
                    </c:extLst>
                    <c:strCache>
                      <c:ptCount val="12"/>
                      <c:pt idx="0">
                        <c:v>Mth 37</c:v>
                      </c:pt>
                      <c:pt idx="1">
                        <c:v>Mth 38</c:v>
                      </c:pt>
                      <c:pt idx="2">
                        <c:v>Mth 39</c:v>
                      </c:pt>
                      <c:pt idx="3">
                        <c:v>Mth 40</c:v>
                      </c:pt>
                      <c:pt idx="4">
                        <c:v>Mth 41</c:v>
                      </c:pt>
                      <c:pt idx="5">
                        <c:v>Mth 42</c:v>
                      </c:pt>
                      <c:pt idx="6">
                        <c:v>Mth 43</c:v>
                      </c:pt>
                      <c:pt idx="7">
                        <c:v>Mth 44</c:v>
                      </c:pt>
                      <c:pt idx="8">
                        <c:v>Mth 45</c:v>
                      </c:pt>
                      <c:pt idx="9">
                        <c:v>Mth 46</c:v>
                      </c:pt>
                      <c:pt idx="10">
                        <c:v>Mth 47</c:v>
                      </c:pt>
                      <c:pt idx="11">
                        <c:v>Mth 48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'KPI Calc Sheet'!$D$4:$D$15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1106</c:v>
                      </c:pt>
                      <c:pt idx="1">
                        <c:v>1359</c:v>
                      </c:pt>
                      <c:pt idx="2">
                        <c:v>1539</c:v>
                      </c:pt>
                      <c:pt idx="3">
                        <c:v>1411</c:v>
                      </c:pt>
                      <c:pt idx="4">
                        <c:v>1513</c:v>
                      </c:pt>
                      <c:pt idx="5">
                        <c:v>1152</c:v>
                      </c:pt>
                      <c:pt idx="6">
                        <c:v>1372</c:v>
                      </c:pt>
                      <c:pt idx="7">
                        <c:v>1411</c:v>
                      </c:pt>
                      <c:pt idx="8">
                        <c:v>1512</c:v>
                      </c:pt>
                      <c:pt idx="9">
                        <c:v>1669</c:v>
                      </c:pt>
                      <c:pt idx="10">
                        <c:v>1325</c:v>
                      </c:pt>
                      <c:pt idx="11">
                        <c:v>1498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EC14-4DD7-9CE1-25D13A62EE7A}"/>
                  </c:ext>
                </c:extLst>
              </c15:ser>
            </c15:filteredLineSeries>
            <c15:filteredLine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'KPI Calc Sheet'!$E$3</c15:sqref>
                        </c15:formulaRef>
                      </c:ext>
                    </c:extLst>
                    <c:strCache>
                      <c:ptCount val="1"/>
                      <c:pt idx="0">
                        <c:v> SARIMA(5,0,4)(1,1,1)</c:v>
                      </c:pt>
                    </c:strCache>
                  </c:strRef>
                </c:tx>
                <c:spPr>
                  <a:ln w="31750" cap="rnd">
                    <a:solidFill>
                      <a:schemeClr val="accent4"/>
                    </a:solidFill>
                    <a:prstDash val="sysDash"/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'KPI Calc Sheet'!$A$4:$A$15</c15:sqref>
                        </c15:formulaRef>
                      </c:ext>
                    </c:extLst>
                    <c:strCache>
                      <c:ptCount val="12"/>
                      <c:pt idx="0">
                        <c:v>Mth 37</c:v>
                      </c:pt>
                      <c:pt idx="1">
                        <c:v>Mth 38</c:v>
                      </c:pt>
                      <c:pt idx="2">
                        <c:v>Mth 39</c:v>
                      </c:pt>
                      <c:pt idx="3">
                        <c:v>Mth 40</c:v>
                      </c:pt>
                      <c:pt idx="4">
                        <c:v>Mth 41</c:v>
                      </c:pt>
                      <c:pt idx="5">
                        <c:v>Mth 42</c:v>
                      </c:pt>
                      <c:pt idx="6">
                        <c:v>Mth 43</c:v>
                      </c:pt>
                      <c:pt idx="7">
                        <c:v>Mth 44</c:v>
                      </c:pt>
                      <c:pt idx="8">
                        <c:v>Mth 45</c:v>
                      </c:pt>
                      <c:pt idx="9">
                        <c:v>Mth 46</c:v>
                      </c:pt>
                      <c:pt idx="10">
                        <c:v>Mth 47</c:v>
                      </c:pt>
                      <c:pt idx="11">
                        <c:v>Mth 48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'KPI Calc Sheet'!$E$4:$E$15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1207</c:v>
                      </c:pt>
                      <c:pt idx="1">
                        <c:v>1426</c:v>
                      </c:pt>
                      <c:pt idx="2">
                        <c:v>1593</c:v>
                      </c:pt>
                      <c:pt idx="3">
                        <c:v>1442</c:v>
                      </c:pt>
                      <c:pt idx="4">
                        <c:v>1450</c:v>
                      </c:pt>
                      <c:pt idx="5">
                        <c:v>1193</c:v>
                      </c:pt>
                      <c:pt idx="6">
                        <c:v>1382</c:v>
                      </c:pt>
                      <c:pt idx="7">
                        <c:v>1486</c:v>
                      </c:pt>
                      <c:pt idx="8">
                        <c:v>1558</c:v>
                      </c:pt>
                      <c:pt idx="9">
                        <c:v>1600</c:v>
                      </c:pt>
                      <c:pt idx="10">
                        <c:v>1316</c:v>
                      </c:pt>
                      <c:pt idx="11">
                        <c:v>1408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EC14-4DD7-9CE1-25D13A62EE7A}"/>
                  </c:ext>
                </c:extLst>
              </c15:ser>
            </c15:filteredLineSeries>
          </c:ext>
        </c:extLst>
      </c:lineChart>
      <c:catAx>
        <c:axId val="1884369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884675680"/>
        <c:crosses val="autoZero"/>
        <c:auto val="1"/>
        <c:lblAlgn val="ctr"/>
        <c:lblOffset val="100"/>
        <c:noMultiLvlLbl val="0"/>
      </c:catAx>
      <c:valAx>
        <c:axId val="1884675680"/>
        <c:scaling>
          <c:orientation val="minMax"/>
          <c:max val="1700"/>
          <c:min val="1000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884369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Demand vs Forecast for 12 months horizon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'KPI Calc Sheet'!$B$3</c:f>
              <c:strCache>
                <c:ptCount val="1"/>
                <c:pt idx="0">
                  <c:v>Actual Demand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38100">
              <a:noFill/>
            </a:ln>
            <a:effectLst/>
          </c:spPr>
          <c:invertIfNegative val="0"/>
          <c:cat>
            <c:strRef>
              <c:f>'KPI Calc Sheet'!$A$4:$A$15</c:f>
              <c:strCache>
                <c:ptCount val="12"/>
                <c:pt idx="0">
                  <c:v>Mth 37</c:v>
                </c:pt>
                <c:pt idx="1">
                  <c:v>Mth 38</c:v>
                </c:pt>
                <c:pt idx="2">
                  <c:v>Mth 39</c:v>
                </c:pt>
                <c:pt idx="3">
                  <c:v>Mth 40</c:v>
                </c:pt>
                <c:pt idx="4">
                  <c:v>Mth 41</c:v>
                </c:pt>
                <c:pt idx="5">
                  <c:v>Mth 42</c:v>
                </c:pt>
                <c:pt idx="6">
                  <c:v>Mth 43</c:v>
                </c:pt>
                <c:pt idx="7">
                  <c:v>Mth 44</c:v>
                </c:pt>
                <c:pt idx="8">
                  <c:v>Mth 45</c:v>
                </c:pt>
                <c:pt idx="9">
                  <c:v>Mth 46</c:v>
                </c:pt>
                <c:pt idx="10">
                  <c:v>Mth 47</c:v>
                </c:pt>
                <c:pt idx="11">
                  <c:v>Mth 48</c:v>
                </c:pt>
              </c:strCache>
            </c:strRef>
          </c:cat>
          <c:val>
            <c:numRef>
              <c:f>'KPI Calc Sheet'!$B$4:$B$15</c:f>
              <c:numCache>
                <c:formatCode>General</c:formatCode>
                <c:ptCount val="12"/>
                <c:pt idx="0">
                  <c:v>1322</c:v>
                </c:pt>
                <c:pt idx="1">
                  <c:v>1349</c:v>
                </c:pt>
                <c:pt idx="2">
                  <c:v>1436</c:v>
                </c:pt>
                <c:pt idx="3">
                  <c:v>1555</c:v>
                </c:pt>
                <c:pt idx="4">
                  <c:v>1608</c:v>
                </c:pt>
                <c:pt idx="5">
                  <c:v>1208</c:v>
                </c:pt>
                <c:pt idx="6">
                  <c:v>1341</c:v>
                </c:pt>
                <c:pt idx="7">
                  <c:v>1473</c:v>
                </c:pt>
                <c:pt idx="8">
                  <c:v>1604</c:v>
                </c:pt>
                <c:pt idx="9">
                  <c:v>1528</c:v>
                </c:pt>
                <c:pt idx="10">
                  <c:v>1131</c:v>
                </c:pt>
                <c:pt idx="11">
                  <c:v>1296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6C-4351-92CD-2A4BACEF87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1812576"/>
        <c:axId val="1881521456"/>
      </c:barChart>
      <c:lineChart>
        <c:grouping val="standard"/>
        <c:varyColors val="0"/>
        <c:ser>
          <c:idx val="1"/>
          <c:order val="1"/>
          <c:tx>
            <c:strRef>
              <c:f>'KPI Calc Sheet'!$C$3</c:f>
              <c:strCache>
                <c:ptCount val="1"/>
                <c:pt idx="0">
                  <c:v>Holt-Winter Fcst</c:v>
                </c:pt>
              </c:strCache>
            </c:strRef>
          </c:tx>
          <c:spPr>
            <a:ln w="31750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'KPI Calc Sheet'!$A$4:$A$15</c:f>
              <c:strCache>
                <c:ptCount val="12"/>
                <c:pt idx="0">
                  <c:v>Mth 37</c:v>
                </c:pt>
                <c:pt idx="1">
                  <c:v>Mth 38</c:v>
                </c:pt>
                <c:pt idx="2">
                  <c:v>Mth 39</c:v>
                </c:pt>
                <c:pt idx="3">
                  <c:v>Mth 40</c:v>
                </c:pt>
                <c:pt idx="4">
                  <c:v>Mth 41</c:v>
                </c:pt>
                <c:pt idx="5">
                  <c:v>Mth 42</c:v>
                </c:pt>
                <c:pt idx="6">
                  <c:v>Mth 43</c:v>
                </c:pt>
                <c:pt idx="7">
                  <c:v>Mth 44</c:v>
                </c:pt>
                <c:pt idx="8">
                  <c:v>Mth 45</c:v>
                </c:pt>
                <c:pt idx="9">
                  <c:v>Mth 46</c:v>
                </c:pt>
                <c:pt idx="10">
                  <c:v>Mth 47</c:v>
                </c:pt>
                <c:pt idx="11">
                  <c:v>Mth 48</c:v>
                </c:pt>
              </c:strCache>
            </c:strRef>
          </c:cat>
          <c:val>
            <c:numRef>
              <c:f>'KPI Calc Sheet'!$C$4:$C$15</c:f>
              <c:numCache>
                <c:formatCode>0</c:formatCode>
                <c:ptCount val="12"/>
                <c:pt idx="0">
                  <c:v>1392.628784</c:v>
                </c:pt>
                <c:pt idx="1">
                  <c:v>1448.5878909999999</c:v>
                </c:pt>
                <c:pt idx="2">
                  <c:v>1491.267822</c:v>
                </c:pt>
                <c:pt idx="3">
                  <c:v>1524.1091309999999</c:v>
                </c:pt>
                <c:pt idx="4">
                  <c:v>1601.2254640000001</c:v>
                </c:pt>
                <c:pt idx="5">
                  <c:v>1345.4730219999999</c:v>
                </c:pt>
                <c:pt idx="6">
                  <c:v>1399.028442</c:v>
                </c:pt>
                <c:pt idx="7">
                  <c:v>1404.1240230000001</c:v>
                </c:pt>
                <c:pt idx="8">
                  <c:v>1480.709961</c:v>
                </c:pt>
                <c:pt idx="9">
                  <c:v>1523.502686</c:v>
                </c:pt>
                <c:pt idx="10">
                  <c:v>1325.0217290000001</c:v>
                </c:pt>
                <c:pt idx="11">
                  <c:v>1358.552612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8D6C-4351-92CD-2A4BACEF8705}"/>
            </c:ext>
          </c:extLst>
        </c:ser>
        <c:ser>
          <c:idx val="2"/>
          <c:order val="2"/>
          <c:tx>
            <c:strRef>
              <c:f>'KPI Calc Sheet'!$D$3</c:f>
              <c:strCache>
                <c:ptCount val="1"/>
                <c:pt idx="0">
                  <c:v>ARIMA Fcst</c:v>
                </c:pt>
              </c:strCache>
            </c:strRef>
          </c:tx>
          <c:spPr>
            <a:ln w="31750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'KPI Calc Sheet'!$A$4:$A$15</c:f>
              <c:strCache>
                <c:ptCount val="12"/>
                <c:pt idx="0">
                  <c:v>Mth 37</c:v>
                </c:pt>
                <c:pt idx="1">
                  <c:v>Mth 38</c:v>
                </c:pt>
                <c:pt idx="2">
                  <c:v>Mth 39</c:v>
                </c:pt>
                <c:pt idx="3">
                  <c:v>Mth 40</c:v>
                </c:pt>
                <c:pt idx="4">
                  <c:v>Mth 41</c:v>
                </c:pt>
                <c:pt idx="5">
                  <c:v>Mth 42</c:v>
                </c:pt>
                <c:pt idx="6">
                  <c:v>Mth 43</c:v>
                </c:pt>
                <c:pt idx="7">
                  <c:v>Mth 44</c:v>
                </c:pt>
                <c:pt idx="8">
                  <c:v>Mth 45</c:v>
                </c:pt>
                <c:pt idx="9">
                  <c:v>Mth 46</c:v>
                </c:pt>
                <c:pt idx="10">
                  <c:v>Mth 47</c:v>
                </c:pt>
                <c:pt idx="11">
                  <c:v>Mth 48</c:v>
                </c:pt>
              </c:strCache>
            </c:strRef>
          </c:cat>
          <c:val>
            <c:numRef>
              <c:f>'KPI Calc Sheet'!$D$4:$D$15</c:f>
              <c:numCache>
                <c:formatCode>General</c:formatCode>
                <c:ptCount val="12"/>
                <c:pt idx="0">
                  <c:v>1106</c:v>
                </c:pt>
                <c:pt idx="1">
                  <c:v>1359</c:v>
                </c:pt>
                <c:pt idx="2">
                  <c:v>1539</c:v>
                </c:pt>
                <c:pt idx="3">
                  <c:v>1411</c:v>
                </c:pt>
                <c:pt idx="4">
                  <c:v>1513</c:v>
                </c:pt>
                <c:pt idx="5">
                  <c:v>1152</c:v>
                </c:pt>
                <c:pt idx="6">
                  <c:v>1372</c:v>
                </c:pt>
                <c:pt idx="7">
                  <c:v>1411</c:v>
                </c:pt>
                <c:pt idx="8">
                  <c:v>1512</c:v>
                </c:pt>
                <c:pt idx="9">
                  <c:v>1669</c:v>
                </c:pt>
                <c:pt idx="10">
                  <c:v>1325</c:v>
                </c:pt>
                <c:pt idx="11">
                  <c:v>1498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8D6C-4351-92CD-2A4BACEF8705}"/>
            </c:ext>
          </c:extLst>
        </c:ser>
        <c:ser>
          <c:idx val="3"/>
          <c:order val="3"/>
          <c:tx>
            <c:strRef>
              <c:f>'KPI Calc Sheet'!$E$3</c:f>
              <c:strCache>
                <c:ptCount val="1"/>
                <c:pt idx="0">
                  <c:v> SARIMA(5,0,4)(1,1,1)</c:v>
                </c:pt>
              </c:strCache>
            </c:strRef>
          </c:tx>
          <c:spPr>
            <a:ln w="31750" cap="rnd">
              <a:solidFill>
                <a:schemeClr val="accent4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'KPI Calc Sheet'!$A$4:$A$15</c:f>
              <c:strCache>
                <c:ptCount val="12"/>
                <c:pt idx="0">
                  <c:v>Mth 37</c:v>
                </c:pt>
                <c:pt idx="1">
                  <c:v>Mth 38</c:v>
                </c:pt>
                <c:pt idx="2">
                  <c:v>Mth 39</c:v>
                </c:pt>
                <c:pt idx="3">
                  <c:v>Mth 40</c:v>
                </c:pt>
                <c:pt idx="4">
                  <c:v>Mth 41</c:v>
                </c:pt>
                <c:pt idx="5">
                  <c:v>Mth 42</c:v>
                </c:pt>
                <c:pt idx="6">
                  <c:v>Mth 43</c:v>
                </c:pt>
                <c:pt idx="7">
                  <c:v>Mth 44</c:v>
                </c:pt>
                <c:pt idx="8">
                  <c:v>Mth 45</c:v>
                </c:pt>
                <c:pt idx="9">
                  <c:v>Mth 46</c:v>
                </c:pt>
                <c:pt idx="10">
                  <c:v>Mth 47</c:v>
                </c:pt>
                <c:pt idx="11">
                  <c:v>Mth 48</c:v>
                </c:pt>
              </c:strCache>
            </c:strRef>
          </c:cat>
          <c:val>
            <c:numRef>
              <c:f>'KPI Calc Sheet'!$E$4:$E$15</c:f>
              <c:numCache>
                <c:formatCode>General</c:formatCode>
                <c:ptCount val="12"/>
                <c:pt idx="0">
                  <c:v>1207</c:v>
                </c:pt>
                <c:pt idx="1">
                  <c:v>1426</c:v>
                </c:pt>
                <c:pt idx="2">
                  <c:v>1593</c:v>
                </c:pt>
                <c:pt idx="3">
                  <c:v>1442</c:v>
                </c:pt>
                <c:pt idx="4">
                  <c:v>1450</c:v>
                </c:pt>
                <c:pt idx="5">
                  <c:v>1193</c:v>
                </c:pt>
                <c:pt idx="6">
                  <c:v>1382</c:v>
                </c:pt>
                <c:pt idx="7">
                  <c:v>1486</c:v>
                </c:pt>
                <c:pt idx="8">
                  <c:v>1558</c:v>
                </c:pt>
                <c:pt idx="9">
                  <c:v>1600</c:v>
                </c:pt>
                <c:pt idx="10">
                  <c:v>1316</c:v>
                </c:pt>
                <c:pt idx="11">
                  <c:v>1408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8D6C-4351-92CD-2A4BACEF8705}"/>
            </c:ext>
          </c:extLst>
        </c:ser>
        <c:ser>
          <c:idx val="4"/>
          <c:order val="4"/>
          <c:tx>
            <c:strRef>
              <c:f>'KPI Calc Sheet'!$F$3</c:f>
              <c:strCache>
                <c:ptCount val="1"/>
                <c:pt idx="0">
                  <c:v>Single Adj + ARIMA</c:v>
                </c:pt>
              </c:strCache>
            </c:strRef>
          </c:tx>
          <c:spPr>
            <a:ln w="31750" cap="rnd">
              <a:solidFill>
                <a:srgbClr val="7030A0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'KPI Calc Sheet'!$A$4:$A$15</c:f>
              <c:strCache>
                <c:ptCount val="12"/>
                <c:pt idx="0">
                  <c:v>Mth 37</c:v>
                </c:pt>
                <c:pt idx="1">
                  <c:v>Mth 38</c:v>
                </c:pt>
                <c:pt idx="2">
                  <c:v>Mth 39</c:v>
                </c:pt>
                <c:pt idx="3">
                  <c:v>Mth 40</c:v>
                </c:pt>
                <c:pt idx="4">
                  <c:v>Mth 41</c:v>
                </c:pt>
                <c:pt idx="5">
                  <c:v>Mth 42</c:v>
                </c:pt>
                <c:pt idx="6">
                  <c:v>Mth 43</c:v>
                </c:pt>
                <c:pt idx="7">
                  <c:v>Mth 44</c:v>
                </c:pt>
                <c:pt idx="8">
                  <c:v>Mth 45</c:v>
                </c:pt>
                <c:pt idx="9">
                  <c:v>Mth 46</c:v>
                </c:pt>
                <c:pt idx="10">
                  <c:v>Mth 47</c:v>
                </c:pt>
                <c:pt idx="11">
                  <c:v>Mth 48</c:v>
                </c:pt>
              </c:strCache>
            </c:strRef>
          </c:cat>
          <c:val>
            <c:numRef>
              <c:f>'KPI Calc Sheet'!$F$4:$F$15</c:f>
              <c:numCache>
                <c:formatCode>General</c:formatCode>
                <c:ptCount val="12"/>
                <c:pt idx="0">
                  <c:v>1482</c:v>
                </c:pt>
                <c:pt idx="1">
                  <c:v>1313</c:v>
                </c:pt>
                <c:pt idx="2">
                  <c:v>1470</c:v>
                </c:pt>
                <c:pt idx="3">
                  <c:v>1519</c:v>
                </c:pt>
                <c:pt idx="4">
                  <c:v>1598</c:v>
                </c:pt>
                <c:pt idx="5">
                  <c:v>1214</c:v>
                </c:pt>
                <c:pt idx="6">
                  <c:v>1411</c:v>
                </c:pt>
                <c:pt idx="7">
                  <c:v>1427</c:v>
                </c:pt>
                <c:pt idx="8">
                  <c:v>1055</c:v>
                </c:pt>
                <c:pt idx="9">
                  <c:v>1439</c:v>
                </c:pt>
                <c:pt idx="10">
                  <c:v>1072</c:v>
                </c:pt>
                <c:pt idx="11">
                  <c:v>1222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8D6C-4351-92CD-2A4BACEF8705}"/>
            </c:ext>
          </c:extLst>
        </c:ser>
        <c:ser>
          <c:idx val="5"/>
          <c:order val="5"/>
          <c:tx>
            <c:strRef>
              <c:f>'KPI Calc Sheet'!$G$3</c:f>
              <c:strCache>
                <c:ptCount val="1"/>
                <c:pt idx="0">
                  <c:v>Collab Adj + ARIMA</c:v>
                </c:pt>
              </c:strCache>
            </c:strRef>
          </c:tx>
          <c:spPr>
            <a:ln w="31750" cap="rnd">
              <a:solidFill>
                <a:schemeClr val="accent6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'KPI Calc Sheet'!$A$4:$A$15</c:f>
              <c:strCache>
                <c:ptCount val="12"/>
                <c:pt idx="0">
                  <c:v>Mth 37</c:v>
                </c:pt>
                <c:pt idx="1">
                  <c:v>Mth 38</c:v>
                </c:pt>
                <c:pt idx="2">
                  <c:v>Mth 39</c:v>
                </c:pt>
                <c:pt idx="3">
                  <c:v>Mth 40</c:v>
                </c:pt>
                <c:pt idx="4">
                  <c:v>Mth 41</c:v>
                </c:pt>
                <c:pt idx="5">
                  <c:v>Mth 42</c:v>
                </c:pt>
                <c:pt idx="6">
                  <c:v>Mth 43</c:v>
                </c:pt>
                <c:pt idx="7">
                  <c:v>Mth 44</c:v>
                </c:pt>
                <c:pt idx="8">
                  <c:v>Mth 45</c:v>
                </c:pt>
                <c:pt idx="9">
                  <c:v>Mth 46</c:v>
                </c:pt>
                <c:pt idx="10">
                  <c:v>Mth 47</c:v>
                </c:pt>
                <c:pt idx="11">
                  <c:v>Mth 48</c:v>
                </c:pt>
              </c:strCache>
            </c:strRef>
          </c:cat>
          <c:val>
            <c:numRef>
              <c:f>'KPI Calc Sheet'!$G$4:$G$15</c:f>
              <c:numCache>
                <c:formatCode>General</c:formatCode>
                <c:ptCount val="12"/>
                <c:pt idx="0">
                  <c:v>1350</c:v>
                </c:pt>
                <c:pt idx="1">
                  <c:v>1369</c:v>
                </c:pt>
                <c:pt idx="2">
                  <c:v>1531</c:v>
                </c:pt>
                <c:pt idx="3">
                  <c:v>1515</c:v>
                </c:pt>
                <c:pt idx="4">
                  <c:v>1599</c:v>
                </c:pt>
                <c:pt idx="5">
                  <c:v>1219</c:v>
                </c:pt>
                <c:pt idx="6">
                  <c:v>1420</c:v>
                </c:pt>
                <c:pt idx="7">
                  <c:v>1441</c:v>
                </c:pt>
                <c:pt idx="8">
                  <c:v>1598</c:v>
                </c:pt>
                <c:pt idx="9">
                  <c:v>1482</c:v>
                </c:pt>
                <c:pt idx="10">
                  <c:v>1120</c:v>
                </c:pt>
                <c:pt idx="11">
                  <c:v>1274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8D6C-4351-92CD-2A4BACEF87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1812576"/>
        <c:axId val="1881521456"/>
      </c:lineChart>
      <c:catAx>
        <c:axId val="1881812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881521456"/>
        <c:crosses val="autoZero"/>
        <c:auto val="1"/>
        <c:lblAlgn val="ctr"/>
        <c:lblOffset val="100"/>
        <c:noMultiLvlLbl val="0"/>
      </c:catAx>
      <c:valAx>
        <c:axId val="1881521456"/>
        <c:scaling>
          <c:orientation val="minMax"/>
          <c:max val="1700"/>
          <c:min val="1000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8818125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459332086251601"/>
          <c:y val="6.0185185185185203E-2"/>
          <c:w val="0.87146561099751996"/>
          <c:h val="0.68760790317876896"/>
        </c:manualLayout>
      </c:layout>
      <c:lineChart>
        <c:grouping val="standard"/>
        <c:varyColors val="0"/>
        <c:ser>
          <c:idx val="2"/>
          <c:order val="0"/>
          <c:tx>
            <c:strRef>
              <c:f>'Raw Data - historical sales'!$C$2</c:f>
              <c:strCache>
                <c:ptCount val="1"/>
                <c:pt idx="0">
                  <c:v>Demand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multiLvlStrRef>
              <c:f>'Raw Data - historical sales'!$A$3:$B$38</c:f>
              <c:multiLvlStrCache>
                <c:ptCount val="3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  <c:pt idx="30">
                    <c:v>31</c:v>
                  </c:pt>
                  <c:pt idx="31">
                    <c:v>32</c:v>
                  </c:pt>
                  <c:pt idx="32">
                    <c:v>33</c:v>
                  </c:pt>
                  <c:pt idx="33">
                    <c:v>34</c:v>
                  </c:pt>
                  <c:pt idx="34">
                    <c:v>35</c:v>
                  </c:pt>
                  <c:pt idx="35">
                    <c:v>36</c:v>
                  </c:pt>
                </c:lvl>
                <c:lvl>
                  <c:pt idx="0">
                    <c:v>Y1</c:v>
                  </c:pt>
                  <c:pt idx="12">
                    <c:v>Y2</c:v>
                  </c:pt>
                  <c:pt idx="24">
                    <c:v>Y3</c:v>
                  </c:pt>
                </c:lvl>
              </c:multiLvlStrCache>
            </c:multiLvlStrRef>
          </c:cat>
          <c:val>
            <c:numRef>
              <c:f>'Raw Data - historical sales'!$C$3:$C$38</c:f>
              <c:numCache>
                <c:formatCode>General</c:formatCode>
                <c:ptCount val="36"/>
                <c:pt idx="0">
                  <c:v>742</c:v>
                </c:pt>
                <c:pt idx="1">
                  <c:v>741</c:v>
                </c:pt>
                <c:pt idx="2">
                  <c:v>896</c:v>
                </c:pt>
                <c:pt idx="3">
                  <c:v>951</c:v>
                </c:pt>
                <c:pt idx="4">
                  <c:v>1030</c:v>
                </c:pt>
                <c:pt idx="5">
                  <c:v>697</c:v>
                </c:pt>
                <c:pt idx="6">
                  <c:v>700</c:v>
                </c:pt>
                <c:pt idx="7">
                  <c:v>793</c:v>
                </c:pt>
                <c:pt idx="8">
                  <c:v>861</c:v>
                </c:pt>
                <c:pt idx="9">
                  <c:v>1032</c:v>
                </c:pt>
                <c:pt idx="10">
                  <c:v>776</c:v>
                </c:pt>
                <c:pt idx="11">
                  <c:v>774</c:v>
                </c:pt>
                <c:pt idx="12">
                  <c:v>885</c:v>
                </c:pt>
                <c:pt idx="13">
                  <c:v>938</c:v>
                </c:pt>
                <c:pt idx="14">
                  <c:v>896</c:v>
                </c:pt>
                <c:pt idx="15">
                  <c:v>1030</c:v>
                </c:pt>
                <c:pt idx="16">
                  <c:v>1126</c:v>
                </c:pt>
                <c:pt idx="17">
                  <c:v>898</c:v>
                </c:pt>
                <c:pt idx="18">
                  <c:v>932</c:v>
                </c:pt>
                <c:pt idx="19">
                  <c:v>1055</c:v>
                </c:pt>
                <c:pt idx="20">
                  <c:v>1109</c:v>
                </c:pt>
                <c:pt idx="21">
                  <c:v>1285</c:v>
                </c:pt>
                <c:pt idx="22">
                  <c:v>1030</c:v>
                </c:pt>
                <c:pt idx="23">
                  <c:v>1099</c:v>
                </c:pt>
                <c:pt idx="24">
                  <c:v>1107</c:v>
                </c:pt>
                <c:pt idx="25">
                  <c:v>1223</c:v>
                </c:pt>
                <c:pt idx="26">
                  <c:v>1326</c:v>
                </c:pt>
                <c:pt idx="27">
                  <c:v>1422</c:v>
                </c:pt>
                <c:pt idx="28">
                  <c:v>1637</c:v>
                </c:pt>
                <c:pt idx="29">
                  <c:v>1165</c:v>
                </c:pt>
                <c:pt idx="30">
                  <c:v>1290</c:v>
                </c:pt>
                <c:pt idx="31">
                  <c:v>1303</c:v>
                </c:pt>
                <c:pt idx="32">
                  <c:v>1486</c:v>
                </c:pt>
                <c:pt idx="33">
                  <c:v>1611</c:v>
                </c:pt>
                <c:pt idx="34">
                  <c:v>1216</c:v>
                </c:pt>
                <c:pt idx="35">
                  <c:v>1290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114-43E7-B9E0-4350F28193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81986496"/>
        <c:axId val="1881158912"/>
      </c:lineChart>
      <c:catAx>
        <c:axId val="18819864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Years</a:t>
                </a:r>
                <a:r>
                  <a:rPr lang="en-US" baseline="0"/>
                  <a:t> and Months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881158912"/>
        <c:crosses val="autoZero"/>
        <c:auto val="1"/>
        <c:lblAlgn val="ctr"/>
        <c:lblOffset val="100"/>
        <c:noMultiLvlLbl val="0"/>
      </c:catAx>
      <c:valAx>
        <c:axId val="1881158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Thousand plastic bags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881986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1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1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1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19050</xdr:colOff>
      <xdr:row>19</xdr:row>
      <xdr:rowOff>150810</xdr:rowOff>
    </xdr:from>
    <xdr:to>
      <xdr:col>30</xdr:col>
      <xdr:colOff>673099</xdr:colOff>
      <xdr:row>33</xdr:row>
      <xdr:rowOff>107949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53975</xdr:colOff>
      <xdr:row>36</xdr:row>
      <xdr:rowOff>92075</xdr:rowOff>
    </xdr:from>
    <xdr:to>
      <xdr:col>31</xdr:col>
      <xdr:colOff>34924</xdr:colOff>
      <xdr:row>52</xdr:row>
      <xdr:rowOff>23814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66675</xdr:colOff>
      <xdr:row>2</xdr:row>
      <xdr:rowOff>654050</xdr:rowOff>
    </xdr:from>
    <xdr:to>
      <xdr:col>31</xdr:col>
      <xdr:colOff>47624</xdr:colOff>
      <xdr:row>16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254000</xdr:colOff>
      <xdr:row>13</xdr:row>
      <xdr:rowOff>25400</xdr:rowOff>
    </xdr:from>
    <xdr:to>
      <xdr:col>16</xdr:col>
      <xdr:colOff>546100</xdr:colOff>
      <xdr:row>26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3"/>
  <sheetViews>
    <sheetView zoomScale="82" workbookViewId="0"/>
  </sheetViews>
  <sheetFormatPr defaultColWidth="8.81640625" defaultRowHeight="14.5" x14ac:dyDescent="0.35"/>
  <cols>
    <col min="7" max="7" width="6.54296875" bestFit="1" customWidth="1"/>
    <col min="8" max="8" width="4" bestFit="1" customWidth="1"/>
    <col min="9" max="9" width="5.81640625" hidden="1" customWidth="1"/>
    <col min="10" max="10" width="8" bestFit="1" customWidth="1"/>
    <col min="11" max="11" width="7.6328125" bestFit="1" customWidth="1"/>
    <col min="12" max="12" width="12.6328125" bestFit="1" customWidth="1"/>
    <col min="13" max="14" width="11.90625" bestFit="1" customWidth="1"/>
    <col min="15" max="15" width="3.26953125" customWidth="1"/>
  </cols>
  <sheetData>
    <row r="1" spans="1:19" x14ac:dyDescent="0.35">
      <c r="A1" s="78" t="s">
        <v>81</v>
      </c>
    </row>
    <row r="2" spans="1:19" x14ac:dyDescent="0.35">
      <c r="C2" s="77" t="s">
        <v>77</v>
      </c>
      <c r="D2" s="77"/>
      <c r="E2" s="77"/>
      <c r="F2" s="77"/>
      <c r="G2" s="77"/>
      <c r="P2" t="s">
        <v>0</v>
      </c>
    </row>
    <row r="3" spans="1:19" s="1" customFormat="1" ht="58" x14ac:dyDescent="0.3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78</v>
      </c>
      <c r="I3" s="1" t="s">
        <v>79</v>
      </c>
      <c r="J3" s="1" t="s">
        <v>8</v>
      </c>
      <c r="K3" s="1" t="s">
        <v>9</v>
      </c>
      <c r="L3" s="1" t="s">
        <v>10</v>
      </c>
      <c r="M3" s="1" t="s">
        <v>9</v>
      </c>
      <c r="N3" s="1" t="s">
        <v>11</v>
      </c>
      <c r="P3" s="1" t="s">
        <v>12</v>
      </c>
      <c r="Q3" s="1" t="s">
        <v>13</v>
      </c>
      <c r="R3" s="1" t="s">
        <v>14</v>
      </c>
      <c r="S3" s="1" t="s">
        <v>15</v>
      </c>
    </row>
    <row r="4" spans="1:19" x14ac:dyDescent="0.35">
      <c r="A4" t="s">
        <v>16</v>
      </c>
      <c r="B4">
        <v>1322</v>
      </c>
      <c r="C4" s="2">
        <v>1392.628784</v>
      </c>
      <c r="D4">
        <v>1106</v>
      </c>
      <c r="E4">
        <v>1207</v>
      </c>
      <c r="F4">
        <v>1482</v>
      </c>
      <c r="G4">
        <v>1350</v>
      </c>
      <c r="H4">
        <f>G4-B4</f>
        <v>28</v>
      </c>
      <c r="I4">
        <f>E4-B4</f>
        <v>-115</v>
      </c>
      <c r="J4">
        <f>ABS(H4)</f>
        <v>28</v>
      </c>
      <c r="K4">
        <f>J4*J4</f>
        <v>784</v>
      </c>
      <c r="L4">
        <f>H4/B4</f>
        <v>2.118003025718608E-2</v>
      </c>
      <c r="M4">
        <f>L4*L4</f>
        <v>4.4859368169531788E-4</v>
      </c>
      <c r="N4">
        <f>ABS(L4)</f>
        <v>2.118003025718608E-2</v>
      </c>
      <c r="P4" s="2">
        <f>C4-D4</f>
        <v>286.628784</v>
      </c>
      <c r="Q4">
        <f>E4-$D4</f>
        <v>101</v>
      </c>
      <c r="R4">
        <f>F4-$D4</f>
        <v>376</v>
      </c>
      <c r="S4">
        <f>G4-$D4</f>
        <v>244</v>
      </c>
    </row>
    <row r="5" spans="1:19" x14ac:dyDescent="0.35">
      <c r="A5" t="s">
        <v>17</v>
      </c>
      <c r="B5">
        <v>1349</v>
      </c>
      <c r="C5" s="2">
        <v>1448.5878909999999</v>
      </c>
      <c r="D5">
        <v>1359</v>
      </c>
      <c r="E5">
        <v>1426</v>
      </c>
      <c r="F5">
        <v>1313</v>
      </c>
      <c r="G5">
        <v>1369</v>
      </c>
      <c r="H5">
        <f>G5-B5</f>
        <v>20</v>
      </c>
      <c r="I5">
        <f>E5-B5</f>
        <v>77</v>
      </c>
      <c r="J5">
        <f>ABS(H5)</f>
        <v>20</v>
      </c>
      <c r="K5">
        <f t="shared" ref="K5:K15" si="0">J5*J5</f>
        <v>400</v>
      </c>
      <c r="L5">
        <f>H5/B5</f>
        <v>1.4825796886582653E-2</v>
      </c>
      <c r="M5">
        <f t="shared" ref="M5:M15" si="1">L5*L5</f>
        <v>2.1980425332220388E-4</v>
      </c>
      <c r="N5">
        <f t="shared" ref="N5:N15" si="2">ABS(L5)</f>
        <v>1.4825796886582653E-2</v>
      </c>
      <c r="P5" s="2">
        <f>C5-D5</f>
        <v>89.5878909999999</v>
      </c>
      <c r="Q5">
        <f>E5-$D5</f>
        <v>67</v>
      </c>
      <c r="R5">
        <f t="shared" ref="R5:R15" si="3">F5-$D5</f>
        <v>-46</v>
      </c>
      <c r="S5">
        <f t="shared" ref="S5:S15" si="4">G5-$D5</f>
        <v>10</v>
      </c>
    </row>
    <row r="6" spans="1:19" x14ac:dyDescent="0.35">
      <c r="A6" t="s">
        <v>18</v>
      </c>
      <c r="B6">
        <v>1436</v>
      </c>
      <c r="C6" s="2">
        <v>1491.267822</v>
      </c>
      <c r="D6">
        <v>1539</v>
      </c>
      <c r="E6">
        <v>1593</v>
      </c>
      <c r="F6">
        <v>1470</v>
      </c>
      <c r="G6">
        <v>1531</v>
      </c>
      <c r="H6">
        <f>G6-B6</f>
        <v>95</v>
      </c>
      <c r="I6">
        <f>E6-B6</f>
        <v>157</v>
      </c>
      <c r="J6">
        <f>ABS(H6)</f>
        <v>95</v>
      </c>
      <c r="K6">
        <f t="shared" si="0"/>
        <v>9025</v>
      </c>
      <c r="L6">
        <f>H6/B6</f>
        <v>6.6155988857938719E-2</v>
      </c>
      <c r="M6">
        <f t="shared" si="1"/>
        <v>4.3766148617717122E-3</v>
      </c>
      <c r="N6">
        <f t="shared" si="2"/>
        <v>6.6155988857938719E-2</v>
      </c>
      <c r="P6" s="2">
        <f>C6-D6</f>
        <v>-47.732177999999976</v>
      </c>
      <c r="Q6">
        <f>E6-$D6</f>
        <v>54</v>
      </c>
      <c r="R6">
        <f t="shared" si="3"/>
        <v>-69</v>
      </c>
      <c r="S6">
        <f t="shared" si="4"/>
        <v>-8</v>
      </c>
    </row>
    <row r="7" spans="1:19" x14ac:dyDescent="0.35">
      <c r="A7" t="s">
        <v>19</v>
      </c>
      <c r="B7">
        <v>1555</v>
      </c>
      <c r="C7" s="2">
        <v>1524.1091309999999</v>
      </c>
      <c r="D7">
        <v>1411</v>
      </c>
      <c r="E7">
        <v>1442</v>
      </c>
      <c r="F7">
        <v>1519</v>
      </c>
      <c r="G7">
        <v>1515</v>
      </c>
      <c r="H7">
        <f>G7-B7</f>
        <v>-40</v>
      </c>
      <c r="I7">
        <f>E7-B7</f>
        <v>-113</v>
      </c>
      <c r="J7">
        <f>ABS(H7)</f>
        <v>40</v>
      </c>
      <c r="K7">
        <f t="shared" si="0"/>
        <v>1600</v>
      </c>
      <c r="L7">
        <f>H7/B7</f>
        <v>-2.5723472668810289E-2</v>
      </c>
      <c r="M7">
        <f t="shared" si="1"/>
        <v>6.6169704614302998E-4</v>
      </c>
      <c r="N7">
        <f t="shared" si="2"/>
        <v>2.5723472668810289E-2</v>
      </c>
      <c r="P7" s="2">
        <f>C7-D7</f>
        <v>113.10913099999993</v>
      </c>
      <c r="Q7">
        <f>E7-$D7</f>
        <v>31</v>
      </c>
      <c r="R7">
        <f t="shared" si="3"/>
        <v>108</v>
      </c>
      <c r="S7">
        <f t="shared" si="4"/>
        <v>104</v>
      </c>
    </row>
    <row r="8" spans="1:19" x14ac:dyDescent="0.35">
      <c r="A8" t="s">
        <v>20</v>
      </c>
      <c r="B8">
        <v>1608</v>
      </c>
      <c r="C8" s="2">
        <v>1601.2254640000001</v>
      </c>
      <c r="D8">
        <v>1513</v>
      </c>
      <c r="E8">
        <v>1450</v>
      </c>
      <c r="F8">
        <v>1598</v>
      </c>
      <c r="G8">
        <v>1599</v>
      </c>
      <c r="H8">
        <f>G8-B8</f>
        <v>-9</v>
      </c>
      <c r="I8">
        <f>E8-B8</f>
        <v>-158</v>
      </c>
      <c r="J8">
        <f>ABS(H8)</f>
        <v>9</v>
      </c>
      <c r="K8">
        <f t="shared" si="0"/>
        <v>81</v>
      </c>
      <c r="L8">
        <f>H8/B8</f>
        <v>-5.597014925373134E-3</v>
      </c>
      <c r="M8">
        <f t="shared" si="1"/>
        <v>3.1326576074849632E-5</v>
      </c>
      <c r="N8">
        <f t="shared" si="2"/>
        <v>5.597014925373134E-3</v>
      </c>
      <c r="P8" s="2">
        <f>C8-D8</f>
        <v>88.225464000000102</v>
      </c>
      <c r="Q8">
        <f>E8-$D8</f>
        <v>-63</v>
      </c>
      <c r="R8">
        <f t="shared" si="3"/>
        <v>85</v>
      </c>
      <c r="S8">
        <f t="shared" si="4"/>
        <v>86</v>
      </c>
    </row>
    <row r="9" spans="1:19" x14ac:dyDescent="0.35">
      <c r="A9" t="s">
        <v>21</v>
      </c>
      <c r="B9">
        <v>1208</v>
      </c>
      <c r="C9" s="2">
        <v>1345.4730219999999</v>
      </c>
      <c r="D9">
        <v>1152</v>
      </c>
      <c r="E9">
        <v>1193</v>
      </c>
      <c r="F9">
        <v>1214</v>
      </c>
      <c r="G9">
        <v>1219</v>
      </c>
      <c r="H9">
        <f>G9-B9</f>
        <v>11</v>
      </c>
      <c r="I9">
        <f>E9-B9</f>
        <v>-15</v>
      </c>
      <c r="J9">
        <f>ABS(H9)</f>
        <v>11</v>
      </c>
      <c r="K9">
        <f t="shared" si="0"/>
        <v>121</v>
      </c>
      <c r="L9">
        <f>H9/B9</f>
        <v>9.1059602649006619E-3</v>
      </c>
      <c r="M9">
        <f t="shared" si="1"/>
        <v>8.2918512345949732E-5</v>
      </c>
      <c r="N9">
        <f t="shared" si="2"/>
        <v>9.1059602649006619E-3</v>
      </c>
      <c r="P9" s="2">
        <f>C9-D9</f>
        <v>193.4730219999999</v>
      </c>
      <c r="Q9">
        <f>E9-$D9</f>
        <v>41</v>
      </c>
      <c r="R9">
        <f t="shared" si="3"/>
        <v>62</v>
      </c>
      <c r="S9">
        <f t="shared" si="4"/>
        <v>67</v>
      </c>
    </row>
    <row r="10" spans="1:19" x14ac:dyDescent="0.35">
      <c r="A10" t="s">
        <v>22</v>
      </c>
      <c r="B10">
        <v>1341</v>
      </c>
      <c r="C10" s="2">
        <v>1399.028442</v>
      </c>
      <c r="D10">
        <v>1372</v>
      </c>
      <c r="E10">
        <v>1382</v>
      </c>
      <c r="F10">
        <v>1411</v>
      </c>
      <c r="G10">
        <v>1420</v>
      </c>
      <c r="H10">
        <f>G10-B10</f>
        <v>79</v>
      </c>
      <c r="I10">
        <f>E10-B10</f>
        <v>41</v>
      </c>
      <c r="J10">
        <f>ABS(H10)</f>
        <v>79</v>
      </c>
      <c r="K10">
        <f t="shared" si="0"/>
        <v>6241</v>
      </c>
      <c r="L10">
        <f>H10/B10</f>
        <v>5.8911260253542132E-2</v>
      </c>
      <c r="M10">
        <f t="shared" si="1"/>
        <v>3.4705365846605728E-3</v>
      </c>
      <c r="N10">
        <f t="shared" si="2"/>
        <v>5.8911260253542132E-2</v>
      </c>
      <c r="P10" s="2">
        <f>C10-D10</f>
        <v>27.028442000000041</v>
      </c>
      <c r="Q10">
        <f>E10-$D10</f>
        <v>10</v>
      </c>
      <c r="R10">
        <f t="shared" si="3"/>
        <v>39</v>
      </c>
      <c r="S10">
        <f t="shared" si="4"/>
        <v>48</v>
      </c>
    </row>
    <row r="11" spans="1:19" x14ac:dyDescent="0.35">
      <c r="A11" t="s">
        <v>23</v>
      </c>
      <c r="B11">
        <v>1473</v>
      </c>
      <c r="C11" s="2">
        <v>1404.1240230000001</v>
      </c>
      <c r="D11">
        <v>1411</v>
      </c>
      <c r="E11">
        <v>1486</v>
      </c>
      <c r="F11">
        <v>1427</v>
      </c>
      <c r="G11">
        <v>1441</v>
      </c>
      <c r="H11">
        <f>G11-B11</f>
        <v>-32</v>
      </c>
      <c r="I11">
        <f>E11-B11</f>
        <v>13</v>
      </c>
      <c r="J11">
        <f>ABS(H11)</f>
        <v>32</v>
      </c>
      <c r="K11">
        <f t="shared" si="0"/>
        <v>1024</v>
      </c>
      <c r="L11">
        <f>H11/B11</f>
        <v>-2.1724372029871011E-2</v>
      </c>
      <c r="M11">
        <f t="shared" si="1"/>
        <v>4.7194834009224189E-4</v>
      </c>
      <c r="N11">
        <f t="shared" si="2"/>
        <v>2.1724372029871011E-2</v>
      </c>
      <c r="P11" s="2">
        <f>C11-D11</f>
        <v>-6.8759769999999207</v>
      </c>
      <c r="Q11">
        <f>E11-$D11</f>
        <v>75</v>
      </c>
      <c r="R11">
        <f t="shared" si="3"/>
        <v>16</v>
      </c>
      <c r="S11">
        <f t="shared" si="4"/>
        <v>30</v>
      </c>
    </row>
    <row r="12" spans="1:19" x14ac:dyDescent="0.35">
      <c r="A12" t="s">
        <v>24</v>
      </c>
      <c r="B12">
        <v>1604</v>
      </c>
      <c r="C12" s="2">
        <v>1480.709961</v>
      </c>
      <c r="D12">
        <v>1512</v>
      </c>
      <c r="E12">
        <v>1558</v>
      </c>
      <c r="F12">
        <v>1055</v>
      </c>
      <c r="G12">
        <v>1598</v>
      </c>
      <c r="H12">
        <f>G12-B12</f>
        <v>-6</v>
      </c>
      <c r="I12">
        <f>E12-B12</f>
        <v>-46</v>
      </c>
      <c r="J12">
        <f>ABS(H12)</f>
        <v>6</v>
      </c>
      <c r="K12">
        <f t="shared" si="0"/>
        <v>36</v>
      </c>
      <c r="L12">
        <f>H12/B12</f>
        <v>-3.740648379052369E-3</v>
      </c>
      <c r="M12">
        <f t="shared" si="1"/>
        <v>1.3992450295707115E-5</v>
      </c>
      <c r="N12">
        <f t="shared" si="2"/>
        <v>3.740648379052369E-3</v>
      </c>
      <c r="P12" s="2">
        <f>C12-D12</f>
        <v>-31.290038999999979</v>
      </c>
      <c r="Q12">
        <f>E12-$D12</f>
        <v>46</v>
      </c>
      <c r="R12">
        <f t="shared" si="3"/>
        <v>-457</v>
      </c>
      <c r="S12">
        <f t="shared" si="4"/>
        <v>86</v>
      </c>
    </row>
    <row r="13" spans="1:19" x14ac:dyDescent="0.35">
      <c r="A13" t="s">
        <v>25</v>
      </c>
      <c r="B13">
        <v>1528</v>
      </c>
      <c r="C13" s="2">
        <v>1523.502686</v>
      </c>
      <c r="D13">
        <v>1669</v>
      </c>
      <c r="E13">
        <v>1600</v>
      </c>
      <c r="F13">
        <v>1439</v>
      </c>
      <c r="G13">
        <v>1482</v>
      </c>
      <c r="H13">
        <f>G13-B13</f>
        <v>-46</v>
      </c>
      <c r="I13">
        <f>E13-B13</f>
        <v>72</v>
      </c>
      <c r="J13">
        <f>ABS(H13)</f>
        <v>46</v>
      </c>
      <c r="K13">
        <f t="shared" si="0"/>
        <v>2116</v>
      </c>
      <c r="L13">
        <f>H13/B13</f>
        <v>-3.0104712041884817E-2</v>
      </c>
      <c r="M13">
        <f t="shared" si="1"/>
        <v>9.0629368712480472E-4</v>
      </c>
      <c r="N13">
        <f t="shared" si="2"/>
        <v>3.0104712041884817E-2</v>
      </c>
      <c r="P13" s="2">
        <f>C13-D13</f>
        <v>-145.49731399999996</v>
      </c>
      <c r="Q13">
        <f>E13-$D13</f>
        <v>-69</v>
      </c>
      <c r="R13">
        <f t="shared" si="3"/>
        <v>-230</v>
      </c>
      <c r="S13">
        <f t="shared" si="4"/>
        <v>-187</v>
      </c>
    </row>
    <row r="14" spans="1:19" x14ac:dyDescent="0.35">
      <c r="A14" t="s">
        <v>26</v>
      </c>
      <c r="B14">
        <v>1131</v>
      </c>
      <c r="C14" s="2">
        <v>1325.0217290000001</v>
      </c>
      <c r="D14">
        <v>1325</v>
      </c>
      <c r="E14">
        <v>1316</v>
      </c>
      <c r="F14">
        <v>1072</v>
      </c>
      <c r="G14">
        <v>1120</v>
      </c>
      <c r="H14">
        <f>G14-B14</f>
        <v>-11</v>
      </c>
      <c r="I14">
        <f>E14-B14</f>
        <v>185</v>
      </c>
      <c r="J14">
        <f>ABS(H14)</f>
        <v>11</v>
      </c>
      <c r="K14">
        <f t="shared" si="0"/>
        <v>121</v>
      </c>
      <c r="L14">
        <f>H14/B14</f>
        <v>-9.7259062776304164E-3</v>
      </c>
      <c r="M14">
        <f t="shared" si="1"/>
        <v>9.4593252921250736E-5</v>
      </c>
      <c r="N14">
        <f t="shared" si="2"/>
        <v>9.7259062776304164E-3</v>
      </c>
      <c r="P14" s="2">
        <f>C14-D14</f>
        <v>2.1729000000050291E-2</v>
      </c>
      <c r="Q14">
        <f>E14-$D14</f>
        <v>-9</v>
      </c>
      <c r="R14">
        <f t="shared" si="3"/>
        <v>-253</v>
      </c>
      <c r="S14">
        <f t="shared" si="4"/>
        <v>-205</v>
      </c>
    </row>
    <row r="15" spans="1:19" x14ac:dyDescent="0.35">
      <c r="A15" t="s">
        <v>27</v>
      </c>
      <c r="B15">
        <v>1296</v>
      </c>
      <c r="C15" s="2">
        <v>1358.552612</v>
      </c>
      <c r="D15">
        <v>1498</v>
      </c>
      <c r="E15">
        <v>1408</v>
      </c>
      <c r="F15">
        <v>1222</v>
      </c>
      <c r="G15">
        <v>1274</v>
      </c>
      <c r="H15">
        <f>G15-B15</f>
        <v>-22</v>
      </c>
      <c r="I15">
        <f>E15-B15</f>
        <v>112</v>
      </c>
      <c r="J15">
        <f>ABS(H15)</f>
        <v>22</v>
      </c>
      <c r="K15">
        <f t="shared" si="0"/>
        <v>484</v>
      </c>
      <c r="L15">
        <f>H15/B15</f>
        <v>-1.6975308641975308E-2</v>
      </c>
      <c r="M15">
        <f t="shared" si="1"/>
        <v>2.8816110349032156E-4</v>
      </c>
      <c r="N15">
        <f t="shared" si="2"/>
        <v>1.6975308641975308E-2</v>
      </c>
      <c r="P15" s="2">
        <f>C15-D15</f>
        <v>-139.44738800000005</v>
      </c>
      <c r="Q15">
        <f>E15-$D15</f>
        <v>-90</v>
      </c>
      <c r="R15">
        <f t="shared" si="3"/>
        <v>-276</v>
      </c>
      <c r="S15">
        <f t="shared" si="4"/>
        <v>-224</v>
      </c>
    </row>
    <row r="16" spans="1:19" s="11" customFormat="1" x14ac:dyDescent="0.35">
      <c r="I16"/>
      <c r="P16" s="74">
        <f>SUM(P4:P15)</f>
        <v>427.23156700000004</v>
      </c>
      <c r="Q16" s="74">
        <f t="shared" ref="Q16:S16" si="5">SUM(Q4:Q15)</f>
        <v>194</v>
      </c>
      <c r="R16" s="74">
        <f t="shared" si="5"/>
        <v>-645</v>
      </c>
      <c r="S16" s="74">
        <f t="shared" si="5"/>
        <v>51</v>
      </c>
    </row>
    <row r="18" spans="1:2" x14ac:dyDescent="0.35">
      <c r="A18" t="s">
        <v>80</v>
      </c>
    </row>
    <row r="19" spans="1:2" ht="15" thickBot="1" x14ac:dyDescent="0.4">
      <c r="A19" s="5" t="s">
        <v>28</v>
      </c>
      <c r="B19" s="49">
        <f>(SUM(H4:H15)/12)</f>
        <v>5.583333333333333</v>
      </c>
    </row>
    <row r="20" spans="1:2" ht="15" thickBot="1" x14ac:dyDescent="0.4">
      <c r="A20" s="5" t="s">
        <v>29</v>
      </c>
      <c r="B20" s="49">
        <f>SUM(J4:J15)/12</f>
        <v>33.25</v>
      </c>
    </row>
    <row r="21" spans="1:2" ht="15" thickBot="1" x14ac:dyDescent="0.4">
      <c r="A21" s="5" t="s">
        <v>30</v>
      </c>
      <c r="B21" s="49">
        <f>SQRT(SUM(K4:K15)/12)</f>
        <v>42.849542976948229</v>
      </c>
    </row>
    <row r="22" spans="1:2" ht="15" thickBot="1" x14ac:dyDescent="0.4">
      <c r="A22" s="5" t="s">
        <v>31</v>
      </c>
      <c r="B22" s="48">
        <f>SUM(L4:L15)/12</f>
        <v>4.7156334629627423E-3</v>
      </c>
    </row>
    <row r="23" spans="1:2" ht="15" thickBot="1" x14ac:dyDescent="0.4">
      <c r="A23" s="5" t="s">
        <v>32</v>
      </c>
      <c r="B23" s="48">
        <f>SQRT(B30)</f>
        <v>3.0367856292931896E-2</v>
      </c>
    </row>
    <row r="24" spans="1:2" ht="15" thickBot="1" x14ac:dyDescent="0.4">
      <c r="A24" s="5" t="s">
        <v>33</v>
      </c>
      <c r="B24" s="48">
        <f>SUM(N4:N15)/12</f>
        <v>2.3647539290395633E-2</v>
      </c>
    </row>
    <row r="25" spans="1:2" ht="15" thickBot="1" x14ac:dyDescent="0.4">
      <c r="A25" s="5" t="s">
        <v>34</v>
      </c>
      <c r="B25">
        <v>0.82</v>
      </c>
    </row>
    <row r="29" spans="1:2" x14ac:dyDescent="0.35">
      <c r="A29" t="s">
        <v>35</v>
      </c>
      <c r="B29">
        <f>SUM(K4:K15)/12</f>
        <v>1836.0833333333333</v>
      </c>
    </row>
    <row r="30" spans="1:2" x14ac:dyDescent="0.35">
      <c r="A30" t="s">
        <v>36</v>
      </c>
      <c r="B30">
        <f>SUM(M4:M15)/12</f>
        <v>9.2220669582816338E-4</v>
      </c>
    </row>
    <row r="33" spans="1:2" x14ac:dyDescent="0.35">
      <c r="A33" s="1"/>
      <c r="B33" s="1"/>
    </row>
  </sheetData>
  <mergeCells count="1">
    <mergeCell ref="C2:G2"/>
  </mergeCell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N44"/>
  <sheetViews>
    <sheetView zoomScale="55" workbookViewId="0">
      <selection sqref="A1:XFD1"/>
    </sheetView>
  </sheetViews>
  <sheetFormatPr defaultColWidth="8.81640625" defaultRowHeight="14.5" x14ac:dyDescent="0.35"/>
  <cols>
    <col min="12" max="12" width="10.81640625" bestFit="1" customWidth="1"/>
    <col min="17" max="17" width="3.1796875" customWidth="1"/>
    <col min="18" max="18" width="13.7265625" bestFit="1" customWidth="1"/>
    <col min="19" max="19" width="14.1796875" bestFit="1" customWidth="1"/>
  </cols>
  <sheetData>
    <row r="1" spans="1:40" ht="15" thickBot="1" x14ac:dyDescent="0.4">
      <c r="A1" s="78" t="s">
        <v>96</v>
      </c>
    </row>
    <row r="2" spans="1:40" ht="42.5" thickBot="1" x14ac:dyDescent="0.4">
      <c r="A2" s="3" t="s">
        <v>43</v>
      </c>
      <c r="B2" s="4" t="s">
        <v>44</v>
      </c>
      <c r="C2" s="3" t="s">
        <v>45</v>
      </c>
      <c r="D2" s="7" t="s">
        <v>46</v>
      </c>
      <c r="E2" s="7" t="s">
        <v>47</v>
      </c>
      <c r="F2" s="7" t="s">
        <v>13</v>
      </c>
      <c r="H2" s="10" t="s">
        <v>48</v>
      </c>
      <c r="J2" t="s">
        <v>49</v>
      </c>
      <c r="K2" s="3" t="s">
        <v>43</v>
      </c>
      <c r="L2" s="4" t="s">
        <v>44</v>
      </c>
      <c r="M2" s="3" t="s">
        <v>45</v>
      </c>
      <c r="N2" s="7" t="s">
        <v>46</v>
      </c>
      <c r="O2" s="7" t="s">
        <v>47</v>
      </c>
      <c r="P2" s="7" t="s">
        <v>13</v>
      </c>
      <c r="Q2" s="8"/>
      <c r="R2" s="8" t="s">
        <v>50</v>
      </c>
      <c r="S2" s="8" t="s">
        <v>51</v>
      </c>
      <c r="U2" s="8" t="s">
        <v>50</v>
      </c>
      <c r="V2" s="4" t="s">
        <v>44</v>
      </c>
      <c r="W2" s="3" t="s">
        <v>45</v>
      </c>
      <c r="X2" s="7" t="s">
        <v>46</v>
      </c>
      <c r="Y2" s="7" t="s">
        <v>47</v>
      </c>
      <c r="Z2" s="7" t="s">
        <v>13</v>
      </c>
      <c r="AB2" s="8" t="s">
        <v>51</v>
      </c>
      <c r="AC2" s="4" t="s">
        <v>44</v>
      </c>
      <c r="AD2" s="3" t="s">
        <v>45</v>
      </c>
      <c r="AE2" s="7" t="s">
        <v>46</v>
      </c>
      <c r="AF2" s="7" t="s">
        <v>47</v>
      </c>
      <c r="AG2" s="7" t="s">
        <v>13</v>
      </c>
      <c r="AJ2" s="4" t="s">
        <v>44</v>
      </c>
      <c r="AK2" s="3" t="s">
        <v>45</v>
      </c>
      <c r="AL2" s="7" t="s">
        <v>46</v>
      </c>
      <c r="AM2" s="7" t="s">
        <v>47</v>
      </c>
      <c r="AN2" s="7" t="s">
        <v>13</v>
      </c>
    </row>
    <row r="3" spans="1:40" ht="15" thickBot="1" x14ac:dyDescent="0.4">
      <c r="A3" s="5" t="s">
        <v>28</v>
      </c>
      <c r="B3" s="13">
        <v>36.94</v>
      </c>
      <c r="C3" s="14">
        <v>1.33</v>
      </c>
      <c r="D3" s="21">
        <f>(-52.42)</f>
        <v>-52.42</v>
      </c>
      <c r="E3" s="15">
        <v>5.58</v>
      </c>
      <c r="F3" s="15">
        <v>17.5</v>
      </c>
      <c r="H3">
        <f t="shared" ref="H3:H9" si="0">SQRT(B3^2+C3^2+F3^2+D3^2+E3^2)</f>
        <v>66.72012664856085</v>
      </c>
      <c r="K3" s="5" t="s">
        <v>28</v>
      </c>
      <c r="L3" s="6">
        <f t="shared" ref="L3:P9" si="1">B3/$H3*$B14</f>
        <v>0</v>
      </c>
      <c r="M3" s="6">
        <f t="shared" si="1"/>
        <v>0</v>
      </c>
      <c r="N3" s="6">
        <f t="shared" si="1"/>
        <v>0</v>
      </c>
      <c r="O3" s="6">
        <f t="shared" si="1"/>
        <v>0</v>
      </c>
      <c r="P3" s="6">
        <f t="shared" si="1"/>
        <v>0</v>
      </c>
      <c r="Q3" s="9"/>
      <c r="R3" s="35">
        <f>M3</f>
        <v>0</v>
      </c>
      <c r="S3" s="35">
        <f>-N3</f>
        <v>0</v>
      </c>
      <c r="T3" t="s">
        <v>52</v>
      </c>
      <c r="V3">
        <f>L3-$R3</f>
        <v>0</v>
      </c>
      <c r="W3">
        <f t="shared" ref="W3:Z9" si="2">M3-$R3</f>
        <v>0</v>
      </c>
      <c r="X3">
        <f t="shared" si="2"/>
        <v>0</v>
      </c>
      <c r="Y3">
        <f t="shared" si="2"/>
        <v>0</v>
      </c>
      <c r="Z3">
        <f t="shared" si="2"/>
        <v>0</v>
      </c>
      <c r="AC3">
        <f>L3-$S3</f>
        <v>0</v>
      </c>
      <c r="AD3">
        <f t="shared" ref="AD3:AG9" si="3">M3-$S3</f>
        <v>0</v>
      </c>
      <c r="AE3" s="12">
        <f>N3+$S3</f>
        <v>0</v>
      </c>
      <c r="AF3">
        <f t="shared" si="3"/>
        <v>0</v>
      </c>
      <c r="AG3">
        <f t="shared" si="3"/>
        <v>0</v>
      </c>
    </row>
    <row r="4" spans="1:40" ht="15" thickBot="1" x14ac:dyDescent="0.4">
      <c r="A4" s="5" t="s">
        <v>29</v>
      </c>
      <c r="B4" s="13">
        <v>75.989999999999995</v>
      </c>
      <c r="C4" s="14">
        <v>112.17</v>
      </c>
      <c r="D4" s="14">
        <v>97.42</v>
      </c>
      <c r="E4" s="15">
        <v>33.25</v>
      </c>
      <c r="F4" s="15">
        <v>92</v>
      </c>
      <c r="H4">
        <f t="shared" si="0"/>
        <v>193.43424696780039</v>
      </c>
      <c r="K4" s="5" t="s">
        <v>29</v>
      </c>
      <c r="L4" s="6">
        <f t="shared" si="1"/>
        <v>0</v>
      </c>
      <c r="M4" s="6">
        <f t="shared" si="1"/>
        <v>0</v>
      </c>
      <c r="N4" s="6">
        <f t="shared" si="1"/>
        <v>0</v>
      </c>
      <c r="O4" s="6">
        <f t="shared" si="1"/>
        <v>0</v>
      </c>
      <c r="P4" s="6">
        <f t="shared" si="1"/>
        <v>0</v>
      </c>
      <c r="Q4" s="9"/>
      <c r="R4" s="36">
        <f t="shared" ref="R4:S9" si="4">MIN(L4:P4)</f>
        <v>0</v>
      </c>
      <c r="S4" s="36">
        <f t="shared" ref="R4:S9" si="5">MAX(L4:P4)</f>
        <v>0</v>
      </c>
      <c r="V4">
        <f t="shared" ref="V4:V9" si="6">L4-$R4</f>
        <v>0</v>
      </c>
      <c r="W4">
        <f t="shared" si="2"/>
        <v>0</v>
      </c>
      <c r="X4">
        <f t="shared" si="2"/>
        <v>0</v>
      </c>
      <c r="Y4">
        <f t="shared" si="2"/>
        <v>0</v>
      </c>
      <c r="Z4">
        <f t="shared" si="2"/>
        <v>0</v>
      </c>
      <c r="AC4">
        <f t="shared" ref="AC4:AC9" si="7">L4-$S4</f>
        <v>0</v>
      </c>
      <c r="AD4">
        <f t="shared" si="3"/>
        <v>0</v>
      </c>
      <c r="AE4">
        <f t="shared" si="3"/>
        <v>0</v>
      </c>
      <c r="AF4">
        <f t="shared" si="3"/>
        <v>0</v>
      </c>
      <c r="AG4">
        <f t="shared" si="3"/>
        <v>0</v>
      </c>
    </row>
    <row r="5" spans="1:40" ht="15" thickBot="1" x14ac:dyDescent="0.4">
      <c r="A5" s="5" t="s">
        <v>30</v>
      </c>
      <c r="B5" s="13">
        <v>92.53</v>
      </c>
      <c r="C5" s="14">
        <v>129.69999999999999</v>
      </c>
      <c r="D5" s="14">
        <v>171.94</v>
      </c>
      <c r="E5" s="15">
        <v>42.85</v>
      </c>
      <c r="F5" s="15">
        <v>107.11</v>
      </c>
      <c r="H5">
        <f t="shared" si="0"/>
        <v>261.25835699552272</v>
      </c>
      <c r="K5" s="5" t="s">
        <v>30</v>
      </c>
      <c r="L5" s="6">
        <f t="shared" si="1"/>
        <v>0</v>
      </c>
      <c r="M5" s="6">
        <f t="shared" si="1"/>
        <v>0</v>
      </c>
      <c r="N5" s="6">
        <f t="shared" si="1"/>
        <v>0</v>
      </c>
      <c r="O5" s="6">
        <f t="shared" si="1"/>
        <v>0</v>
      </c>
      <c r="P5" s="6">
        <f t="shared" si="1"/>
        <v>0</v>
      </c>
      <c r="Q5" s="9"/>
      <c r="R5" s="36">
        <f t="shared" si="4"/>
        <v>0</v>
      </c>
      <c r="S5" s="36">
        <f t="shared" si="5"/>
        <v>0</v>
      </c>
      <c r="V5">
        <f t="shared" si="6"/>
        <v>0</v>
      </c>
      <c r="W5">
        <f t="shared" si="2"/>
        <v>0</v>
      </c>
      <c r="X5">
        <f t="shared" si="2"/>
        <v>0</v>
      </c>
      <c r="Y5">
        <f t="shared" si="2"/>
        <v>0</v>
      </c>
      <c r="Z5">
        <f t="shared" si="2"/>
        <v>0</v>
      </c>
      <c r="AC5">
        <f t="shared" si="7"/>
        <v>0</v>
      </c>
      <c r="AD5">
        <f t="shared" si="3"/>
        <v>0</v>
      </c>
      <c r="AE5">
        <f t="shared" si="3"/>
        <v>0</v>
      </c>
      <c r="AF5">
        <f t="shared" si="3"/>
        <v>0</v>
      </c>
      <c r="AG5">
        <f t="shared" si="3"/>
        <v>0</v>
      </c>
    </row>
    <row r="6" spans="1:40" ht="15" thickBot="1" x14ac:dyDescent="0.4">
      <c r="A6" s="5" t="s">
        <v>31</v>
      </c>
      <c r="B6" s="16">
        <v>3.27</v>
      </c>
      <c r="C6" s="16">
        <v>0.51</v>
      </c>
      <c r="D6" s="20">
        <f>(-3.29)</f>
        <v>-3.29</v>
      </c>
      <c r="E6" s="16">
        <v>0.47</v>
      </c>
      <c r="F6" s="16">
        <v>1.7</v>
      </c>
      <c r="H6">
        <f t="shared" si="0"/>
        <v>4.9887874278225164</v>
      </c>
      <c r="K6" s="5" t="s">
        <v>31</v>
      </c>
      <c r="L6" s="6">
        <f t="shared" si="1"/>
        <v>0</v>
      </c>
      <c r="M6" s="6">
        <f t="shared" si="1"/>
        <v>0</v>
      </c>
      <c r="N6" s="6">
        <f t="shared" si="1"/>
        <v>0</v>
      </c>
      <c r="O6" s="6">
        <f t="shared" si="1"/>
        <v>0</v>
      </c>
      <c r="P6" s="6">
        <f t="shared" si="1"/>
        <v>0</v>
      </c>
      <c r="Q6" s="9"/>
      <c r="R6" s="35">
        <f>O6</f>
        <v>0</v>
      </c>
      <c r="S6" s="35">
        <f>-N6</f>
        <v>0</v>
      </c>
      <c r="T6" t="s">
        <v>52</v>
      </c>
      <c r="V6">
        <f t="shared" si="6"/>
        <v>0</v>
      </c>
      <c r="W6">
        <f t="shared" si="2"/>
        <v>0</v>
      </c>
      <c r="X6">
        <f t="shared" si="2"/>
        <v>0</v>
      </c>
      <c r="Y6">
        <f t="shared" si="2"/>
        <v>0</v>
      </c>
      <c r="Z6">
        <f t="shared" si="2"/>
        <v>0</v>
      </c>
      <c r="AC6">
        <f t="shared" si="7"/>
        <v>0</v>
      </c>
      <c r="AD6">
        <f t="shared" si="3"/>
        <v>0</v>
      </c>
      <c r="AE6" s="12">
        <f>N6+$S6</f>
        <v>0</v>
      </c>
      <c r="AF6">
        <f t="shared" si="3"/>
        <v>0</v>
      </c>
      <c r="AG6">
        <f t="shared" si="3"/>
        <v>0</v>
      </c>
    </row>
    <row r="7" spans="1:40" ht="15" thickBot="1" x14ac:dyDescent="0.4">
      <c r="A7" s="5" t="s">
        <v>32</v>
      </c>
      <c r="B7" s="16">
        <v>7.35</v>
      </c>
      <c r="C7" s="16">
        <v>9.74</v>
      </c>
      <c r="D7" s="16">
        <v>11.06</v>
      </c>
      <c r="E7" s="16">
        <v>3.04</v>
      </c>
      <c r="F7" s="16">
        <v>7.97</v>
      </c>
      <c r="H7">
        <f t="shared" si="0"/>
        <v>18.546595374892934</v>
      </c>
      <c r="K7" s="5" t="s">
        <v>32</v>
      </c>
      <c r="L7" s="6">
        <f t="shared" si="1"/>
        <v>0</v>
      </c>
      <c r="M7" s="6">
        <f t="shared" si="1"/>
        <v>0</v>
      </c>
      <c r="N7" s="6">
        <f t="shared" si="1"/>
        <v>0</v>
      </c>
      <c r="O7" s="6">
        <f t="shared" si="1"/>
        <v>0</v>
      </c>
      <c r="P7" s="6">
        <f t="shared" si="1"/>
        <v>0</v>
      </c>
      <c r="Q7" s="9"/>
      <c r="R7" s="36">
        <f t="shared" si="4"/>
        <v>0</v>
      </c>
      <c r="S7" s="36">
        <f t="shared" si="5"/>
        <v>0</v>
      </c>
      <c r="V7">
        <f t="shared" si="6"/>
        <v>0</v>
      </c>
      <c r="W7">
        <f t="shared" si="2"/>
        <v>0</v>
      </c>
      <c r="X7">
        <f t="shared" si="2"/>
        <v>0</v>
      </c>
      <c r="Y7">
        <f t="shared" si="2"/>
        <v>0</v>
      </c>
      <c r="Z7">
        <f t="shared" si="2"/>
        <v>0</v>
      </c>
      <c r="AC7">
        <f t="shared" si="7"/>
        <v>0</v>
      </c>
      <c r="AD7">
        <f t="shared" si="3"/>
        <v>0</v>
      </c>
      <c r="AE7">
        <f t="shared" si="3"/>
        <v>0</v>
      </c>
      <c r="AF7">
        <f t="shared" si="3"/>
        <v>0</v>
      </c>
      <c r="AG7">
        <f t="shared" si="3"/>
        <v>0</v>
      </c>
    </row>
    <row r="8" spans="1:40" ht="15" thickBot="1" x14ac:dyDescent="0.4">
      <c r="A8" s="5" t="s">
        <v>33</v>
      </c>
      <c r="B8" s="16">
        <v>5.78</v>
      </c>
      <c r="C8" s="16">
        <v>8.19</v>
      </c>
      <c r="D8" s="16">
        <v>6.66</v>
      </c>
      <c r="E8" s="16">
        <v>2.36</v>
      </c>
      <c r="F8" s="16">
        <v>6.68</v>
      </c>
      <c r="H8">
        <f t="shared" si="0"/>
        <v>13.965389360844902</v>
      </c>
      <c r="K8" s="5" t="s">
        <v>33</v>
      </c>
      <c r="L8" s="6">
        <f t="shared" si="1"/>
        <v>0</v>
      </c>
      <c r="M8" s="6">
        <f t="shared" si="1"/>
        <v>0</v>
      </c>
      <c r="N8" s="6">
        <f t="shared" si="1"/>
        <v>0</v>
      </c>
      <c r="O8" s="6">
        <f t="shared" si="1"/>
        <v>0</v>
      </c>
      <c r="P8" s="6">
        <f t="shared" si="1"/>
        <v>0</v>
      </c>
      <c r="Q8" s="9"/>
      <c r="R8" s="36">
        <f t="shared" si="4"/>
        <v>0</v>
      </c>
      <c r="S8" s="36">
        <f t="shared" si="5"/>
        <v>0</v>
      </c>
      <c r="V8">
        <f t="shared" si="6"/>
        <v>0</v>
      </c>
      <c r="W8">
        <f t="shared" si="2"/>
        <v>0</v>
      </c>
      <c r="X8">
        <f t="shared" si="2"/>
        <v>0</v>
      </c>
      <c r="Y8">
        <f t="shared" si="2"/>
        <v>0</v>
      </c>
      <c r="Z8">
        <f t="shared" si="2"/>
        <v>0</v>
      </c>
      <c r="AC8">
        <f t="shared" si="7"/>
        <v>0</v>
      </c>
      <c r="AD8">
        <f t="shared" si="3"/>
        <v>0</v>
      </c>
      <c r="AE8">
        <f t="shared" si="3"/>
        <v>0</v>
      </c>
      <c r="AF8">
        <f t="shared" si="3"/>
        <v>0</v>
      </c>
      <c r="AG8">
        <f t="shared" si="3"/>
        <v>0</v>
      </c>
    </row>
    <row r="9" spans="1:40" ht="15" thickBot="1" x14ac:dyDescent="0.4">
      <c r="A9" s="5" t="s">
        <v>34</v>
      </c>
      <c r="B9" s="17">
        <v>0.61</v>
      </c>
      <c r="C9" s="18">
        <v>0.24</v>
      </c>
      <c r="D9" s="18">
        <v>-0.34</v>
      </c>
      <c r="E9" s="19">
        <v>0.92</v>
      </c>
      <c r="F9" s="19">
        <v>0.48</v>
      </c>
      <c r="H9">
        <f t="shared" si="0"/>
        <v>1.2736168968728392</v>
      </c>
      <c r="K9" s="5" t="s">
        <v>34</v>
      </c>
      <c r="L9" s="6">
        <f t="shared" si="1"/>
        <v>0</v>
      </c>
      <c r="M9" s="6">
        <f t="shared" si="1"/>
        <v>0</v>
      </c>
      <c r="N9" s="6">
        <f t="shared" si="1"/>
        <v>0</v>
      </c>
      <c r="O9" s="6">
        <f t="shared" si="1"/>
        <v>0</v>
      </c>
      <c r="P9" s="6">
        <f t="shared" si="1"/>
        <v>0</v>
      </c>
      <c r="Q9" s="9"/>
      <c r="R9" s="35">
        <f t="shared" si="5"/>
        <v>0</v>
      </c>
      <c r="S9" s="35">
        <f t="shared" si="4"/>
        <v>0</v>
      </c>
      <c r="T9" t="s">
        <v>53</v>
      </c>
      <c r="V9">
        <f t="shared" si="6"/>
        <v>0</v>
      </c>
      <c r="W9">
        <f t="shared" si="2"/>
        <v>0</v>
      </c>
      <c r="X9">
        <f t="shared" si="2"/>
        <v>0</v>
      </c>
      <c r="Y9">
        <f t="shared" si="2"/>
        <v>0</v>
      </c>
      <c r="Z9">
        <f t="shared" si="2"/>
        <v>0</v>
      </c>
      <c r="AC9">
        <f t="shared" si="7"/>
        <v>0</v>
      </c>
      <c r="AD9">
        <f t="shared" si="3"/>
        <v>0</v>
      </c>
      <c r="AE9">
        <f t="shared" si="3"/>
        <v>0</v>
      </c>
      <c r="AF9">
        <f t="shared" si="3"/>
        <v>0</v>
      </c>
      <c r="AG9">
        <f t="shared" si="3"/>
        <v>0</v>
      </c>
    </row>
    <row r="10" spans="1:40" x14ac:dyDescent="0.35">
      <c r="U10" s="11" t="s">
        <v>54</v>
      </c>
      <c r="V10" s="11">
        <f>SQRT(V3^2+V4^2+V5^2+V6^2+V7^2+V8^2+V9^2)</f>
        <v>0</v>
      </c>
      <c r="W10" s="11">
        <f>SQRT(W3^2+W4^2+W5^2+W6^2+W7^2+W8^2+W9^2)</f>
        <v>0</v>
      </c>
      <c r="X10" s="11">
        <f>SQRT(X3^2+X4^2+X5^2+X6^2+X7^2+X8^2+X9^2)</f>
        <v>0</v>
      </c>
      <c r="Y10" s="11">
        <f>SQRT(Y3^2+Y4^2+Y5^2+Y6^2+Y7^2+Y8^2+Y9^2)</f>
        <v>0</v>
      </c>
      <c r="Z10" s="11">
        <f>SQRT(Z3^2+Z4^2+Z5^2+Z6^2+Z7^2+Z8^2+Z9^2)</f>
        <v>0</v>
      </c>
      <c r="AA10" s="11"/>
      <c r="AB10" s="11" t="s">
        <v>55</v>
      </c>
      <c r="AC10" s="11">
        <f>SQRT(AC3^2+AC4^2+AC5^2+AC6^2+AC7^2+AC8^2+AC9^2)</f>
        <v>0</v>
      </c>
      <c r="AD10" s="11">
        <f>SQRT(AD3^2+AD4^2+AD5^2+AD6^2+AD7^2+AD8^2+AD9^2)</f>
        <v>0</v>
      </c>
      <c r="AE10" s="11">
        <f>SQRT(AE3^2+AE4^2+AE5^2+AE6^2+AE7^2+AE8^2+AE9^2)</f>
        <v>0</v>
      </c>
      <c r="AF10" s="11">
        <f>SQRT(AF3^2+AF4^2+AF5^2+AF6^2+AF7^2+AF8^2+AF9^2)</f>
        <v>0</v>
      </c>
      <c r="AG10" s="11">
        <f>SQRT(AG3^2+AG4^2+AG5^2+AG6^2+AG7^2+AG8^2+AG9^2)</f>
        <v>0</v>
      </c>
      <c r="AI10" t="s">
        <v>56</v>
      </c>
      <c r="AJ10" s="11" t="e">
        <f>AC10/(AC10+V10)</f>
        <v>#DIV/0!</v>
      </c>
      <c r="AK10" s="11" t="e">
        <f t="shared" ref="AK10:AN10" si="8">AD10/(AD10+W10)</f>
        <v>#DIV/0!</v>
      </c>
      <c r="AL10" s="11" t="e">
        <f t="shared" si="8"/>
        <v>#DIV/0!</v>
      </c>
      <c r="AM10" s="11" t="e">
        <f t="shared" si="8"/>
        <v>#DIV/0!</v>
      </c>
      <c r="AN10" s="11" t="e">
        <f t="shared" si="8"/>
        <v>#DIV/0!</v>
      </c>
    </row>
    <row r="11" spans="1:40" x14ac:dyDescent="0.35">
      <c r="D11" t="s">
        <v>57</v>
      </c>
      <c r="AI11" s="11" t="s">
        <v>58</v>
      </c>
      <c r="AJ11" s="11">
        <v>2</v>
      </c>
      <c r="AK11" s="11">
        <v>4</v>
      </c>
      <c r="AL11" s="11">
        <v>5</v>
      </c>
      <c r="AM11" s="11">
        <v>1</v>
      </c>
      <c r="AN11" s="11">
        <v>3</v>
      </c>
    </row>
    <row r="12" spans="1:40" ht="15" thickBot="1" x14ac:dyDescent="0.4">
      <c r="AJ12" s="11"/>
      <c r="AK12" s="11"/>
      <c r="AL12" s="11"/>
      <c r="AM12" s="11"/>
      <c r="AN12" s="11"/>
    </row>
    <row r="13" spans="1:40" ht="42.5" thickBot="1" x14ac:dyDescent="0.4">
      <c r="A13" t="s">
        <v>59</v>
      </c>
      <c r="C13" t="s">
        <v>60</v>
      </c>
      <c r="D13" t="s">
        <v>72</v>
      </c>
      <c r="J13" t="s">
        <v>64</v>
      </c>
      <c r="K13" s="3" t="s">
        <v>43</v>
      </c>
      <c r="L13" s="4" t="s">
        <v>44</v>
      </c>
      <c r="M13" s="3" t="s">
        <v>45</v>
      </c>
      <c r="N13" s="7" t="s">
        <v>46</v>
      </c>
      <c r="O13" s="7" t="s">
        <v>47</v>
      </c>
      <c r="P13" s="7" t="s">
        <v>13</v>
      </c>
      <c r="Q13" s="8"/>
      <c r="R13" s="8" t="s">
        <v>50</v>
      </c>
      <c r="S13" s="8" t="s">
        <v>51</v>
      </c>
      <c r="U13" s="8" t="s">
        <v>50</v>
      </c>
      <c r="V13" s="4" t="s">
        <v>44</v>
      </c>
      <c r="W13" s="3" t="s">
        <v>45</v>
      </c>
      <c r="X13" s="7" t="s">
        <v>46</v>
      </c>
      <c r="Y13" s="7" t="s">
        <v>47</v>
      </c>
      <c r="Z13" s="7" t="s">
        <v>13</v>
      </c>
      <c r="AB13" s="8" t="s">
        <v>51</v>
      </c>
      <c r="AC13" s="4" t="s">
        <v>44</v>
      </c>
      <c r="AD13" s="3" t="s">
        <v>45</v>
      </c>
      <c r="AE13" s="7" t="s">
        <v>46</v>
      </c>
      <c r="AF13" s="7" t="s">
        <v>47</v>
      </c>
      <c r="AG13" s="7" t="s">
        <v>13</v>
      </c>
      <c r="AI13" s="10" t="s">
        <v>56</v>
      </c>
      <c r="AJ13" s="4" t="s">
        <v>44</v>
      </c>
      <c r="AK13" s="3" t="s">
        <v>45</v>
      </c>
      <c r="AL13" s="7" t="s">
        <v>46</v>
      </c>
      <c r="AM13" s="7" t="s">
        <v>47</v>
      </c>
      <c r="AN13" s="7" t="s">
        <v>13</v>
      </c>
    </row>
    <row r="14" spans="1:40" ht="15" thickBot="1" x14ac:dyDescent="0.4">
      <c r="A14" s="5" t="s">
        <v>28</v>
      </c>
      <c r="B14" s="47"/>
      <c r="C14" s="47">
        <v>5.9864131668558453E-2</v>
      </c>
      <c r="K14" s="5" t="s">
        <v>28</v>
      </c>
      <c r="L14" s="6">
        <f t="shared" ref="L14:P20" si="9">B3/$H3*$C14</f>
        <v>3.3144137083022884E-2</v>
      </c>
      <c r="M14" s="6">
        <f t="shared" si="9"/>
        <v>1.1933324937850689E-3</v>
      </c>
      <c r="N14" s="6">
        <f t="shared" si="9"/>
        <v>-4.7033450619709254E-2</v>
      </c>
      <c r="O14" s="6">
        <f t="shared" si="9"/>
        <v>5.0066130190381079E-3</v>
      </c>
      <c r="P14" s="6">
        <f t="shared" si="9"/>
        <v>1.5701743339277222E-2</v>
      </c>
      <c r="Q14" s="9"/>
      <c r="R14" s="12">
        <f>M14</f>
        <v>1.1933324937850689E-3</v>
      </c>
      <c r="S14" s="12">
        <f>N14*-1</f>
        <v>4.7033450619709254E-2</v>
      </c>
      <c r="T14" t="s">
        <v>52</v>
      </c>
      <c r="V14">
        <f>L14-$R14</f>
        <v>3.1950804589237818E-2</v>
      </c>
      <c r="W14">
        <f t="shared" ref="W14:Z20" si="10">M14-$R14</f>
        <v>0</v>
      </c>
      <c r="X14">
        <f t="shared" si="10"/>
        <v>-4.822678311349432E-2</v>
      </c>
      <c r="Y14">
        <f t="shared" si="10"/>
        <v>3.813280525253039E-3</v>
      </c>
      <c r="Z14">
        <f t="shared" si="10"/>
        <v>1.4508410845492153E-2</v>
      </c>
      <c r="AC14">
        <f>L14-$S14</f>
        <v>-1.3889313536686369E-2</v>
      </c>
      <c r="AD14">
        <f t="shared" ref="AD14:AE20" si="11">M14-$S14</f>
        <v>-4.5840118125924187E-2</v>
      </c>
      <c r="AE14" s="12">
        <f>S14+N14</f>
        <v>0</v>
      </c>
      <c r="AF14">
        <f t="shared" ref="AF14:AG20" si="12">O14-$S14</f>
        <v>-4.2026837600671149E-2</v>
      </c>
      <c r="AG14">
        <f t="shared" si="12"/>
        <v>-3.1331707280432032E-2</v>
      </c>
    </row>
    <row r="15" spans="1:40" ht="15" thickBot="1" x14ac:dyDescent="0.4">
      <c r="A15" s="5" t="s">
        <v>29</v>
      </c>
      <c r="B15" s="47"/>
      <c r="C15" s="47">
        <v>0.17138671963677637</v>
      </c>
      <c r="K15" s="5" t="s">
        <v>29</v>
      </c>
      <c r="L15" s="6">
        <f t="shared" si="9"/>
        <v>6.7328702281797048E-2</v>
      </c>
      <c r="M15" s="6">
        <f t="shared" si="9"/>
        <v>9.9384926108029681E-2</v>
      </c>
      <c r="N15" s="6">
        <f t="shared" si="9"/>
        <v>8.6316122862122244E-2</v>
      </c>
      <c r="O15" s="6">
        <f t="shared" si="9"/>
        <v>2.946018358823203E-2</v>
      </c>
      <c r="P15" s="6">
        <f t="shared" si="9"/>
        <v>8.1513891432100652E-2</v>
      </c>
      <c r="Q15" s="9"/>
      <c r="R15">
        <f t="shared" ref="R15:S20" si="13">MIN(L15:P15)</f>
        <v>2.946018358823203E-2</v>
      </c>
      <c r="S15">
        <f t="shared" ref="R15:S20" si="14">MAX(L15:P15)</f>
        <v>9.9384926108029681E-2</v>
      </c>
      <c r="V15">
        <f t="shared" ref="V15:V20" si="15">L15-$R15</f>
        <v>3.7868518693565015E-2</v>
      </c>
      <c r="W15">
        <f t="shared" si="10"/>
        <v>6.9924742519797647E-2</v>
      </c>
      <c r="X15">
        <f t="shared" si="10"/>
        <v>5.685593927389021E-2</v>
      </c>
      <c r="Y15">
        <f t="shared" si="10"/>
        <v>0</v>
      </c>
      <c r="Z15">
        <f t="shared" si="10"/>
        <v>5.2053707843868618E-2</v>
      </c>
      <c r="AC15">
        <f t="shared" ref="AC15:AC20" si="16">L15-$S15</f>
        <v>-3.2056223826232633E-2</v>
      </c>
      <c r="AD15">
        <f t="shared" si="11"/>
        <v>0</v>
      </c>
      <c r="AE15">
        <f t="shared" si="11"/>
        <v>-1.3068803245907437E-2</v>
      </c>
      <c r="AF15">
        <f t="shared" si="12"/>
        <v>-6.9924742519797647E-2</v>
      </c>
      <c r="AG15">
        <f t="shared" si="12"/>
        <v>-1.7871034675929029E-2</v>
      </c>
    </row>
    <row r="16" spans="1:40" ht="15" thickBot="1" x14ac:dyDescent="0.4">
      <c r="A16" s="5" t="s">
        <v>30</v>
      </c>
      <c r="B16" s="47"/>
      <c r="C16" s="47">
        <v>0.13791129398410898</v>
      </c>
      <c r="K16" s="5" t="s">
        <v>30</v>
      </c>
      <c r="L16" s="6">
        <f t="shared" si="9"/>
        <v>4.8844110401292509E-2</v>
      </c>
      <c r="M16" s="6">
        <f t="shared" si="9"/>
        <v>6.8465158532882722E-2</v>
      </c>
      <c r="N16" s="6">
        <f t="shared" si="9"/>
        <v>9.0762523964100672E-2</v>
      </c>
      <c r="O16" s="6">
        <f t="shared" si="9"/>
        <v>2.261936810434869E-2</v>
      </c>
      <c r="P16" s="6">
        <f t="shared" si="9"/>
        <v>5.654050216235211E-2</v>
      </c>
      <c r="Q16" s="9"/>
      <c r="R16">
        <f t="shared" si="13"/>
        <v>2.261936810434869E-2</v>
      </c>
      <c r="S16">
        <f t="shared" si="14"/>
        <v>9.0762523964100672E-2</v>
      </c>
      <c r="V16">
        <f t="shared" si="15"/>
        <v>2.6224742296943819E-2</v>
      </c>
      <c r="W16">
        <f t="shared" si="10"/>
        <v>4.5845790428534032E-2</v>
      </c>
      <c r="X16">
        <f t="shared" si="10"/>
        <v>6.8143155859751975E-2</v>
      </c>
      <c r="Y16">
        <f t="shared" si="10"/>
        <v>0</v>
      </c>
      <c r="Z16">
        <f t="shared" si="10"/>
        <v>3.392113405800342E-2</v>
      </c>
      <c r="AC16">
        <f t="shared" si="16"/>
        <v>-4.1918413562808163E-2</v>
      </c>
      <c r="AD16">
        <f t="shared" si="11"/>
        <v>-2.229736543121795E-2</v>
      </c>
      <c r="AE16">
        <f t="shared" si="11"/>
        <v>0</v>
      </c>
      <c r="AF16">
        <f t="shared" si="12"/>
        <v>-6.8143155859751975E-2</v>
      </c>
      <c r="AG16">
        <f t="shared" si="12"/>
        <v>-3.4222021801748562E-2</v>
      </c>
    </row>
    <row r="17" spans="1:40" ht="15" thickBot="1" x14ac:dyDescent="0.4">
      <c r="A17" s="5" t="s">
        <v>31</v>
      </c>
      <c r="B17" s="47"/>
      <c r="C17" s="47">
        <v>0.15982417707150964</v>
      </c>
      <c r="K17" s="5" t="s">
        <v>31</v>
      </c>
      <c r="L17" s="6">
        <f t="shared" si="9"/>
        <v>0.1047599374768208</v>
      </c>
      <c r="M17" s="6">
        <f t="shared" si="9"/>
        <v>1.6338705845008749E-2</v>
      </c>
      <c r="N17" s="6">
        <f t="shared" si="9"/>
        <v>-0.10540067103937018</v>
      </c>
      <c r="O17" s="6">
        <f t="shared" si="9"/>
        <v>1.5057238719910023E-2</v>
      </c>
      <c r="P17" s="6">
        <f t="shared" si="9"/>
        <v>5.4462352816695835E-2</v>
      </c>
      <c r="Q17" s="9"/>
      <c r="R17" s="12">
        <f>O17</f>
        <v>1.5057238719910023E-2</v>
      </c>
      <c r="S17" s="12">
        <f>-N17</f>
        <v>0.10540067103937018</v>
      </c>
      <c r="T17" t="s">
        <v>52</v>
      </c>
      <c r="V17">
        <f t="shared" si="15"/>
        <v>8.9702698756910781E-2</v>
      </c>
      <c r="W17">
        <f t="shared" si="10"/>
        <v>1.2814671250987262E-3</v>
      </c>
      <c r="X17">
        <f t="shared" si="10"/>
        <v>-0.1204579097592802</v>
      </c>
      <c r="Y17">
        <f t="shared" si="10"/>
        <v>0</v>
      </c>
      <c r="Z17">
        <f t="shared" si="10"/>
        <v>3.9405114096785814E-2</v>
      </c>
      <c r="AC17">
        <f>L17-$S17</f>
        <v>-6.4073356254937264E-4</v>
      </c>
      <c r="AD17">
        <f>M17-$S17</f>
        <v>-8.9061965194361423E-2</v>
      </c>
      <c r="AE17" s="12">
        <f>S17+N17</f>
        <v>0</v>
      </c>
      <c r="AF17">
        <f t="shared" si="12"/>
        <v>-9.0343432319460154E-2</v>
      </c>
      <c r="AG17">
        <f t="shared" si="12"/>
        <v>-5.0938318222674341E-2</v>
      </c>
    </row>
    <row r="18" spans="1:40" ht="15" thickBot="1" x14ac:dyDescent="0.4">
      <c r="A18" s="5" t="s">
        <v>32</v>
      </c>
      <c r="B18" s="47"/>
      <c r="C18" s="47">
        <v>0.17849999999999999</v>
      </c>
      <c r="K18" s="5" t="s">
        <v>32</v>
      </c>
      <c r="L18" s="6">
        <f t="shared" si="9"/>
        <v>7.0739398443773596E-2</v>
      </c>
      <c r="M18" s="6">
        <f t="shared" si="9"/>
        <v>9.3741733447939443E-2</v>
      </c>
      <c r="N18" s="6">
        <f t="shared" si="9"/>
        <v>0.1064459519439641</v>
      </c>
      <c r="O18" s="6">
        <f t="shared" si="9"/>
        <v>2.9258200172662823E-2</v>
      </c>
      <c r="P18" s="6">
        <f t="shared" si="9"/>
        <v>7.6706531373724574E-2</v>
      </c>
      <c r="Q18" s="9"/>
      <c r="R18">
        <f t="shared" si="13"/>
        <v>2.9258200172662823E-2</v>
      </c>
      <c r="S18">
        <f t="shared" si="14"/>
        <v>0.1064459519439641</v>
      </c>
      <c r="V18">
        <f t="shared" si="15"/>
        <v>4.148119827111077E-2</v>
      </c>
      <c r="W18">
        <f t="shared" si="10"/>
        <v>6.4483533275276617E-2</v>
      </c>
      <c r="X18">
        <f t="shared" si="10"/>
        <v>7.7187751771301272E-2</v>
      </c>
      <c r="Y18">
        <f t="shared" si="10"/>
        <v>0</v>
      </c>
      <c r="Z18">
        <f t="shared" si="10"/>
        <v>4.7448331201061747E-2</v>
      </c>
      <c r="AC18">
        <f t="shared" si="16"/>
        <v>-3.5706553500190502E-2</v>
      </c>
      <c r="AD18">
        <f t="shared" si="11"/>
        <v>-1.2704218496024655E-2</v>
      </c>
      <c r="AE18">
        <f t="shared" si="11"/>
        <v>0</v>
      </c>
      <c r="AF18">
        <f t="shared" si="12"/>
        <v>-7.7187751771301272E-2</v>
      </c>
      <c r="AG18">
        <f t="shared" si="12"/>
        <v>-2.9739420570239525E-2</v>
      </c>
    </row>
    <row r="19" spans="1:40" ht="15" thickBot="1" x14ac:dyDescent="0.4">
      <c r="A19" s="5" t="s">
        <v>33</v>
      </c>
      <c r="B19" s="47"/>
      <c r="C19" s="47">
        <v>0.17203944381384789</v>
      </c>
      <c r="K19" s="5" t="s">
        <v>33</v>
      </c>
      <c r="L19" s="6">
        <f t="shared" si="9"/>
        <v>7.120374230539038E-2</v>
      </c>
      <c r="M19" s="6">
        <f t="shared" si="9"/>
        <v>0.10089249991023307</v>
      </c>
      <c r="N19" s="6">
        <f t="shared" si="9"/>
        <v>8.2044450476453271E-2</v>
      </c>
      <c r="O19" s="6">
        <f t="shared" si="9"/>
        <v>2.9072808276941395E-2</v>
      </c>
      <c r="P19" s="6">
        <f t="shared" si="9"/>
        <v>8.2290830207613783E-2</v>
      </c>
      <c r="Q19" s="9"/>
      <c r="R19">
        <f t="shared" si="13"/>
        <v>2.9072808276941395E-2</v>
      </c>
      <c r="S19">
        <f t="shared" si="14"/>
        <v>0.10089249991023307</v>
      </c>
      <c r="V19">
        <f t="shared" si="15"/>
        <v>4.2130934028448988E-2</v>
      </c>
      <c r="W19">
        <f t="shared" si="10"/>
        <v>7.1819691633291674E-2</v>
      </c>
      <c r="X19">
        <f t="shared" si="10"/>
        <v>5.2971642199511879E-2</v>
      </c>
      <c r="Y19">
        <f t="shared" si="10"/>
        <v>0</v>
      </c>
      <c r="Z19">
        <f t="shared" si="10"/>
        <v>5.3218021930672391E-2</v>
      </c>
      <c r="AC19">
        <f t="shared" si="16"/>
        <v>-2.9688757604842686E-2</v>
      </c>
      <c r="AD19">
        <f>M19-$S19</f>
        <v>0</v>
      </c>
      <c r="AE19">
        <f t="shared" si="11"/>
        <v>-1.8848049433779795E-2</v>
      </c>
      <c r="AF19">
        <f t="shared" si="12"/>
        <v>-7.1819691633291674E-2</v>
      </c>
      <c r="AG19">
        <f t="shared" si="12"/>
        <v>-1.8601669702619283E-2</v>
      </c>
    </row>
    <row r="20" spans="1:40" ht="15" thickBot="1" x14ac:dyDescent="0.4">
      <c r="A20" s="5" t="s">
        <v>34</v>
      </c>
      <c r="B20" s="47"/>
      <c r="C20" s="47">
        <v>0.12047423382519865</v>
      </c>
      <c r="K20" s="5" t="s">
        <v>34</v>
      </c>
      <c r="L20" s="6">
        <f t="shared" si="9"/>
        <v>5.7701246594491835E-2</v>
      </c>
      <c r="M20" s="6">
        <f t="shared" si="9"/>
        <v>2.2702129807668919E-2</v>
      </c>
      <c r="N20" s="6">
        <f t="shared" si="9"/>
        <v>-3.2161350560864305E-2</v>
      </c>
      <c r="O20" s="6">
        <f t="shared" si="9"/>
        <v>8.7024830929397529E-2</v>
      </c>
      <c r="P20" s="6">
        <f t="shared" si="9"/>
        <v>4.5404259615337839E-2</v>
      </c>
      <c r="Q20" s="9"/>
      <c r="R20" s="12">
        <f t="shared" si="14"/>
        <v>8.7024830929397529E-2</v>
      </c>
      <c r="S20" s="12">
        <f t="shared" si="13"/>
        <v>-3.2161350560864305E-2</v>
      </c>
      <c r="T20" t="s">
        <v>53</v>
      </c>
      <c r="V20">
        <f t="shared" si="15"/>
        <v>-2.9323584334905693E-2</v>
      </c>
      <c r="W20">
        <f t="shared" si="10"/>
        <v>-6.4322701121728609E-2</v>
      </c>
      <c r="X20">
        <f t="shared" si="10"/>
        <v>-0.11918618149026183</v>
      </c>
      <c r="Y20">
        <f t="shared" si="10"/>
        <v>0</v>
      </c>
      <c r="Z20">
        <f t="shared" si="10"/>
        <v>-4.162057131405969E-2</v>
      </c>
      <c r="AC20">
        <f t="shared" si="16"/>
        <v>8.9862597155356133E-2</v>
      </c>
      <c r="AD20">
        <f t="shared" si="11"/>
        <v>5.4863480368533224E-2</v>
      </c>
      <c r="AE20">
        <f t="shared" si="11"/>
        <v>0</v>
      </c>
      <c r="AF20">
        <f t="shared" si="12"/>
        <v>0.11918618149026183</v>
      </c>
      <c r="AG20">
        <f t="shared" si="12"/>
        <v>7.7565610176202143E-2</v>
      </c>
    </row>
    <row r="21" spans="1:40" x14ac:dyDescent="0.35">
      <c r="U21" s="11" t="s">
        <v>54</v>
      </c>
      <c r="V21" s="11">
        <f>SQRT(V14^2+V15^2+V16^2+V17^2+V18^2+V19^2+V20^2)</f>
        <v>0.12467865857925242</v>
      </c>
      <c r="W21" s="11">
        <f>SQRT(W14^2+W15^2+W16^2+W17^2+W18^2+W19^2+W20^2)</f>
        <v>0.1429914414362965</v>
      </c>
      <c r="X21" s="11">
        <f>SQRT(X14^2+X15^2+X16^2+X17^2+X18^2+X19^2+X20^2)</f>
        <v>0.21836049989259601</v>
      </c>
      <c r="Y21" s="11">
        <f>SQRT(Y14^2+Y15^2+Y16^2+Y17^2+Y18^2+Y19^2+Y20^2)</f>
        <v>3.813280525253039E-3</v>
      </c>
      <c r="Z21" s="11">
        <f>SQRT(Z14^2+Z15^2+Z16^2+Z17^2+Z18^2+Z19^2+Z20^2)</f>
        <v>0.11153144304099216</v>
      </c>
      <c r="AA21" s="11"/>
      <c r="AB21" s="11" t="s">
        <v>55</v>
      </c>
      <c r="AC21" s="11">
        <f>SQRT(AC14^2+AC15^2+AC16^2+AC17^2+AC18^2+AC19^2+AC20^2)</f>
        <v>0.1149336552543492</v>
      </c>
      <c r="AD21" s="11">
        <f>SQRT(AD14^2+AD15^2+AD16^2+AD17^2+AD18^2+AD19^2+AD20^2)</f>
        <v>0.11705520588592704</v>
      </c>
      <c r="AE21" s="11">
        <f>SQRT(AE14^2+AE15^2+AE16^2+AE17^2+AE18^2+AE19^2+AE20^2)</f>
        <v>2.2935618276786168E-2</v>
      </c>
      <c r="AF21" s="11">
        <f>SQRT(AF14^2+AF15^2+AF16^2+AF17^2+AF18^2+AF19^2+AF20^2)</f>
        <v>0.21161879202235154</v>
      </c>
      <c r="AG21" s="11">
        <f>SQRT(AG14^2+AG15^2+AG16^2+AG17^2+AG18^2+AG19^2+AG20^2)</f>
        <v>0.11096750846366792</v>
      </c>
      <c r="AI21" t="s">
        <v>56</v>
      </c>
      <c r="AJ21" s="11">
        <f>AC21/(AC21+V21)</f>
        <v>0.47966506151334398</v>
      </c>
      <c r="AK21" s="11">
        <f t="shared" ref="AK21:AN21" si="17">AD21/(AD21+W21)</f>
        <v>0.45013157097497219</v>
      </c>
      <c r="AL21" s="11">
        <f t="shared" si="17"/>
        <v>9.5051749902939159E-2</v>
      </c>
      <c r="AM21" s="11">
        <f t="shared" si="17"/>
        <v>0.982299383373335</v>
      </c>
      <c r="AN21" s="11">
        <f t="shared" si="17"/>
        <v>0.49873272531508434</v>
      </c>
    </row>
    <row r="22" spans="1:40" ht="42.5" thickBot="1" x14ac:dyDescent="0.4">
      <c r="A22" s="45" t="s">
        <v>73</v>
      </c>
      <c r="B22" s="5" t="s">
        <v>28</v>
      </c>
      <c r="C22" s="54">
        <f>C31-D31</f>
        <v>5.9864131668558453E-2</v>
      </c>
      <c r="AI22" s="11" t="s">
        <v>58</v>
      </c>
      <c r="AJ22" s="11">
        <v>3</v>
      </c>
      <c r="AK22" s="11">
        <v>4</v>
      </c>
      <c r="AL22" s="11">
        <v>5</v>
      </c>
      <c r="AM22" s="11">
        <v>1</v>
      </c>
      <c r="AN22" s="11">
        <v>2</v>
      </c>
    </row>
    <row r="23" spans="1:40" ht="15" thickBot="1" x14ac:dyDescent="0.4">
      <c r="A23" s="47">
        <v>1.5</v>
      </c>
      <c r="B23" s="5" t="s">
        <v>29</v>
      </c>
      <c r="C23" s="54">
        <f t="shared" ref="C23:C28" si="18">C32-D32</f>
        <v>0.17138671963677637</v>
      </c>
      <c r="D23" s="54"/>
    </row>
    <row r="24" spans="1:40" ht="15" thickBot="1" x14ac:dyDescent="0.4">
      <c r="B24" s="5" t="s">
        <v>30</v>
      </c>
      <c r="C24" s="54">
        <f t="shared" si="18"/>
        <v>0.13791129398410898</v>
      </c>
    </row>
    <row r="25" spans="1:40" ht="15" thickBot="1" x14ac:dyDescent="0.4">
      <c r="B25" s="5" t="s">
        <v>31</v>
      </c>
      <c r="C25" s="54">
        <f t="shared" si="18"/>
        <v>0.15982417707150964</v>
      </c>
    </row>
    <row r="26" spans="1:40" ht="15" thickBot="1" x14ac:dyDescent="0.4">
      <c r="B26" s="5" t="s">
        <v>32</v>
      </c>
      <c r="C26" s="54">
        <f>C35*1.5</f>
        <v>0.17849999999999999</v>
      </c>
    </row>
    <row r="27" spans="1:40" ht="15" thickBot="1" x14ac:dyDescent="0.4">
      <c r="B27" s="5" t="s">
        <v>33</v>
      </c>
      <c r="C27" s="54">
        <f t="shared" si="18"/>
        <v>0.17203944381384789</v>
      </c>
    </row>
    <row r="28" spans="1:40" ht="15" thickBot="1" x14ac:dyDescent="0.4">
      <c r="B28" s="5" t="s">
        <v>34</v>
      </c>
      <c r="C28" s="54">
        <f t="shared" si="18"/>
        <v>0.12047423382519865</v>
      </c>
      <c r="U28" s="8"/>
      <c r="V28" s="4"/>
      <c r="W28" s="3"/>
      <c r="X28" s="7"/>
      <c r="Y28" s="7"/>
      <c r="Z28" s="7"/>
      <c r="AB28" s="8"/>
      <c r="AC28" s="4"/>
      <c r="AD28" s="3"/>
      <c r="AE28" s="7"/>
      <c r="AF28" s="7"/>
      <c r="AG28" s="7"/>
    </row>
    <row r="29" spans="1:40" x14ac:dyDescent="0.35">
      <c r="B29" s="53" t="s">
        <v>74</v>
      </c>
      <c r="C29" s="54">
        <f>SUM(C22:C28)</f>
        <v>0.99999999999999989</v>
      </c>
    </row>
    <row r="31" spans="1:40" ht="15" thickBot="1" x14ac:dyDescent="0.4">
      <c r="A31" t="s">
        <v>75</v>
      </c>
      <c r="C31">
        <v>6.4199999999999993E-2</v>
      </c>
      <c r="D31" s="57">
        <f>$E$31*C31/SUM($C$31:$C$34,$C$36:$C$37)</f>
        <v>4.3358683314415431E-3</v>
      </c>
      <c r="E31" s="56">
        <f>C26-C35</f>
        <v>5.9499999999999997E-2</v>
      </c>
    </row>
    <row r="32" spans="1:40" ht="15" thickBot="1" x14ac:dyDescent="0.4">
      <c r="C32">
        <v>0.18379999999999999</v>
      </c>
      <c r="D32" s="57">
        <f t="shared" ref="D32:D37" si="19">$E$31*C32/SUM($C$31:$C$34,$C$36:$C$37)</f>
        <v>1.2413280363223608E-2</v>
      </c>
      <c r="T32" s="4"/>
      <c r="U32" s="3"/>
      <c r="V32" s="7"/>
      <c r="W32" s="7"/>
      <c r="X32" s="7"/>
    </row>
    <row r="33" spans="3:33" ht="15" thickBot="1" x14ac:dyDescent="0.4">
      <c r="C33">
        <v>0.1479</v>
      </c>
      <c r="D33" s="57">
        <f t="shared" si="19"/>
        <v>9.9887060158910333E-3</v>
      </c>
      <c r="F33" s="22"/>
      <c r="G33" s="23"/>
      <c r="H33" s="23"/>
      <c r="I33" s="23"/>
      <c r="J33" s="23"/>
      <c r="K33" s="23"/>
      <c r="M33" s="22"/>
      <c r="N33" s="24"/>
      <c r="O33" s="24"/>
      <c r="P33" s="24"/>
      <c r="Q33" s="27"/>
      <c r="S33" s="24"/>
      <c r="T33" s="11"/>
    </row>
    <row r="34" spans="3:33" ht="15" thickBot="1" x14ac:dyDescent="0.4">
      <c r="C34">
        <v>0.1714</v>
      </c>
      <c r="D34" s="57">
        <f t="shared" si="19"/>
        <v>1.157582292849035E-2</v>
      </c>
      <c r="F34" s="24"/>
      <c r="G34" s="25"/>
      <c r="H34" s="26"/>
      <c r="I34" s="25"/>
      <c r="J34" s="26"/>
      <c r="K34" s="25"/>
      <c r="L34" s="29"/>
      <c r="M34" s="23"/>
      <c r="N34" s="34"/>
      <c r="O34" s="34"/>
      <c r="P34" s="34"/>
      <c r="Q34" s="28"/>
      <c r="S34" s="24"/>
      <c r="T34" s="11"/>
      <c r="U34" s="11"/>
      <c r="V34" s="11"/>
      <c r="W34" s="11"/>
      <c r="X34" s="11"/>
    </row>
    <row r="35" spans="3:33" ht="15" thickBot="1" x14ac:dyDescent="0.4">
      <c r="C35">
        <v>0.11899999999999999</v>
      </c>
      <c r="D35" s="57"/>
      <c r="F35" s="24"/>
      <c r="G35" s="26"/>
      <c r="H35" s="26"/>
      <c r="I35" s="26"/>
      <c r="J35" s="26"/>
      <c r="K35" s="26"/>
      <c r="L35" s="30"/>
      <c r="M35" s="23"/>
      <c r="N35" s="33"/>
      <c r="O35" s="34"/>
      <c r="P35" s="33"/>
      <c r="Q35" s="28"/>
      <c r="S35" s="24"/>
      <c r="T35" s="11"/>
    </row>
    <row r="36" spans="3:33" ht="15" thickBot="1" x14ac:dyDescent="0.4">
      <c r="C36">
        <v>0.1845</v>
      </c>
      <c r="D36" s="57">
        <f t="shared" si="19"/>
        <v>1.24605561861521E-2</v>
      </c>
      <c r="F36" s="24"/>
      <c r="G36" s="25"/>
      <c r="H36" s="26"/>
      <c r="I36" s="25"/>
      <c r="J36" s="26"/>
      <c r="K36" s="25"/>
      <c r="L36" s="30"/>
      <c r="M36" s="23"/>
      <c r="N36" s="33"/>
      <c r="O36" s="34"/>
      <c r="P36" s="33"/>
      <c r="Q36" s="28"/>
      <c r="S36" s="27"/>
      <c r="T36" s="11"/>
      <c r="AB36" s="11"/>
      <c r="AC36" s="11"/>
      <c r="AD36" s="11"/>
      <c r="AE36" s="11"/>
      <c r="AF36" s="11"/>
      <c r="AG36" s="11"/>
    </row>
    <row r="37" spans="3:33" ht="15" thickBot="1" x14ac:dyDescent="0.4">
      <c r="C37">
        <v>0.12920000000000001</v>
      </c>
      <c r="D37" s="57">
        <f t="shared" si="19"/>
        <v>8.725766174801362E-3</v>
      </c>
      <c r="F37" s="27"/>
      <c r="G37" s="28"/>
      <c r="H37" s="28"/>
      <c r="I37" s="28"/>
      <c r="J37" s="28"/>
      <c r="K37" s="28"/>
      <c r="L37" s="30"/>
      <c r="M37" s="23"/>
      <c r="N37" s="34"/>
      <c r="O37" s="34"/>
      <c r="P37" s="34"/>
      <c r="Q37" s="28"/>
      <c r="T37" s="11"/>
    </row>
    <row r="38" spans="3:33" ht="15" thickBot="1" x14ac:dyDescent="0.4">
      <c r="L38" s="30"/>
      <c r="M38" s="23"/>
      <c r="N38" s="33"/>
      <c r="O38" s="34"/>
      <c r="P38" s="33"/>
      <c r="Q38" s="28"/>
    </row>
    <row r="39" spans="3:33" ht="15" thickBot="1" x14ac:dyDescent="0.4">
      <c r="L39" s="30"/>
      <c r="M39" s="32"/>
      <c r="N39" s="32"/>
      <c r="O39" s="32"/>
      <c r="P39" s="31"/>
      <c r="T39" s="24"/>
      <c r="U39" s="24"/>
      <c r="V39" s="24"/>
      <c r="W39" s="27"/>
    </row>
    <row r="40" spans="3:33" ht="15" thickBot="1" x14ac:dyDescent="0.4">
      <c r="I40">
        <f>0.1*25</f>
        <v>2.5</v>
      </c>
      <c r="J40">
        <f>100-I40</f>
        <v>97.5</v>
      </c>
      <c r="S40" s="38"/>
      <c r="T40" s="39"/>
      <c r="U40" s="40"/>
      <c r="V40" s="39"/>
      <c r="W40" s="41"/>
    </row>
    <row r="41" spans="3:33" ht="15" thickBot="1" x14ac:dyDescent="0.4">
      <c r="J41">
        <f>25*30/50</f>
        <v>15</v>
      </c>
      <c r="S41" s="42"/>
      <c r="T41" s="40"/>
      <c r="U41" s="40"/>
      <c r="V41" s="40"/>
      <c r="W41" s="43"/>
    </row>
    <row r="42" spans="3:33" ht="15" thickBot="1" x14ac:dyDescent="0.4">
      <c r="S42" s="44"/>
      <c r="T42" s="39"/>
      <c r="U42" s="40"/>
      <c r="V42" s="39"/>
      <c r="W42" s="41"/>
    </row>
    <row r="43" spans="3:33" ht="15" thickBot="1" x14ac:dyDescent="0.4">
      <c r="S43" s="42"/>
      <c r="T43" s="39"/>
      <c r="U43" s="40"/>
      <c r="V43" s="39"/>
      <c r="W43" s="41"/>
    </row>
    <row r="44" spans="3:33" ht="15" thickBot="1" x14ac:dyDescent="0.4">
      <c r="S44" s="44"/>
      <c r="T44" s="39"/>
      <c r="U44" s="40"/>
      <c r="V44" s="39"/>
      <c r="W44" s="41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N44"/>
  <sheetViews>
    <sheetView zoomScale="45" workbookViewId="0">
      <selection sqref="A1:XFD1"/>
    </sheetView>
  </sheetViews>
  <sheetFormatPr defaultColWidth="8.81640625" defaultRowHeight="14.5" x14ac:dyDescent="0.35"/>
  <cols>
    <col min="12" max="12" width="10.81640625" bestFit="1" customWidth="1"/>
    <col min="17" max="17" width="3.1796875" customWidth="1"/>
    <col min="18" max="18" width="13.7265625" bestFit="1" customWidth="1"/>
    <col min="19" max="19" width="14.1796875" bestFit="1" customWidth="1"/>
  </cols>
  <sheetData>
    <row r="1" spans="1:40" ht="15" thickBot="1" x14ac:dyDescent="0.4">
      <c r="A1" s="78" t="s">
        <v>97</v>
      </c>
    </row>
    <row r="2" spans="1:40" ht="42.5" thickBot="1" x14ac:dyDescent="0.4">
      <c r="A2" s="3" t="s">
        <v>43</v>
      </c>
      <c r="B2" s="4" t="s">
        <v>44</v>
      </c>
      <c r="C2" s="3" t="s">
        <v>45</v>
      </c>
      <c r="D2" s="7" t="s">
        <v>46</v>
      </c>
      <c r="E2" s="7" t="s">
        <v>47</v>
      </c>
      <c r="F2" s="7" t="s">
        <v>13</v>
      </c>
      <c r="H2" s="10" t="s">
        <v>48</v>
      </c>
      <c r="J2" t="s">
        <v>49</v>
      </c>
      <c r="K2" s="3" t="s">
        <v>43</v>
      </c>
      <c r="L2" s="4" t="s">
        <v>44</v>
      </c>
      <c r="M2" s="3" t="s">
        <v>45</v>
      </c>
      <c r="N2" s="7" t="s">
        <v>46</v>
      </c>
      <c r="O2" s="7" t="s">
        <v>47</v>
      </c>
      <c r="P2" s="7" t="s">
        <v>13</v>
      </c>
      <c r="Q2" s="8"/>
      <c r="R2" s="8" t="s">
        <v>50</v>
      </c>
      <c r="S2" s="8" t="s">
        <v>51</v>
      </c>
      <c r="U2" s="8" t="s">
        <v>50</v>
      </c>
      <c r="V2" s="4" t="s">
        <v>44</v>
      </c>
      <c r="W2" s="3" t="s">
        <v>45</v>
      </c>
      <c r="X2" s="7" t="s">
        <v>46</v>
      </c>
      <c r="Y2" s="7" t="s">
        <v>47</v>
      </c>
      <c r="Z2" s="7" t="s">
        <v>13</v>
      </c>
      <c r="AB2" s="8" t="s">
        <v>51</v>
      </c>
      <c r="AC2" s="4" t="s">
        <v>44</v>
      </c>
      <c r="AD2" s="3" t="s">
        <v>45</v>
      </c>
      <c r="AE2" s="7" t="s">
        <v>46</v>
      </c>
      <c r="AF2" s="7" t="s">
        <v>47</v>
      </c>
      <c r="AG2" s="7" t="s">
        <v>13</v>
      </c>
      <c r="AJ2" s="4" t="s">
        <v>44</v>
      </c>
      <c r="AK2" s="3" t="s">
        <v>45</v>
      </c>
      <c r="AL2" s="7" t="s">
        <v>46</v>
      </c>
      <c r="AM2" s="7" t="s">
        <v>47</v>
      </c>
      <c r="AN2" s="7" t="s">
        <v>13</v>
      </c>
    </row>
    <row r="3" spans="1:40" ht="15" thickBot="1" x14ac:dyDescent="0.4">
      <c r="A3" s="5" t="s">
        <v>28</v>
      </c>
      <c r="B3" s="13">
        <v>36.94</v>
      </c>
      <c r="C3" s="14">
        <v>1.33</v>
      </c>
      <c r="D3" s="21">
        <f>(-52.42)</f>
        <v>-52.42</v>
      </c>
      <c r="E3" s="15">
        <v>5.58</v>
      </c>
      <c r="F3" s="15">
        <v>17.5</v>
      </c>
      <c r="H3">
        <f t="shared" ref="H3:H9" si="0">SQRT(B3^2+C3^2+F3^2+D3^2+E3^2)</f>
        <v>66.72012664856085</v>
      </c>
      <c r="K3" s="5" t="s">
        <v>28</v>
      </c>
      <c r="L3" s="6">
        <f t="shared" ref="L3:P9" si="1">B3/$H3*$B14</f>
        <v>0</v>
      </c>
      <c r="M3" s="6">
        <f t="shared" si="1"/>
        <v>0</v>
      </c>
      <c r="N3" s="6">
        <f t="shared" si="1"/>
        <v>0</v>
      </c>
      <c r="O3" s="6">
        <f t="shared" si="1"/>
        <v>0</v>
      </c>
      <c r="P3" s="6">
        <f t="shared" si="1"/>
        <v>0</v>
      </c>
      <c r="Q3" s="9"/>
      <c r="R3" s="35">
        <f>M3</f>
        <v>0</v>
      </c>
      <c r="S3" s="35">
        <f>-N3</f>
        <v>0</v>
      </c>
      <c r="T3" t="s">
        <v>52</v>
      </c>
      <c r="V3">
        <f>L3-$R3</f>
        <v>0</v>
      </c>
      <c r="W3">
        <f t="shared" ref="W3:Z9" si="2">M3-$R3</f>
        <v>0</v>
      </c>
      <c r="X3">
        <f t="shared" si="2"/>
        <v>0</v>
      </c>
      <c r="Y3">
        <f t="shared" si="2"/>
        <v>0</v>
      </c>
      <c r="Z3">
        <f t="shared" si="2"/>
        <v>0</v>
      </c>
      <c r="AC3">
        <f>L3-$S3</f>
        <v>0</v>
      </c>
      <c r="AD3">
        <f t="shared" ref="AD3:AG9" si="3">M3-$S3</f>
        <v>0</v>
      </c>
      <c r="AE3" s="12">
        <f>N3+$S3</f>
        <v>0</v>
      </c>
      <c r="AF3">
        <f t="shared" si="3"/>
        <v>0</v>
      </c>
      <c r="AG3">
        <f t="shared" si="3"/>
        <v>0</v>
      </c>
    </row>
    <row r="4" spans="1:40" ht="15" thickBot="1" x14ac:dyDescent="0.4">
      <c r="A4" s="5" t="s">
        <v>29</v>
      </c>
      <c r="B4" s="13">
        <v>75.989999999999995</v>
      </c>
      <c r="C4" s="14">
        <v>112.17</v>
      </c>
      <c r="D4" s="14">
        <v>97.42</v>
      </c>
      <c r="E4" s="15">
        <v>33.25</v>
      </c>
      <c r="F4" s="15">
        <v>92</v>
      </c>
      <c r="H4">
        <f t="shared" si="0"/>
        <v>193.43424696780039</v>
      </c>
      <c r="K4" s="5" t="s">
        <v>29</v>
      </c>
      <c r="L4" s="6">
        <f t="shared" si="1"/>
        <v>0</v>
      </c>
      <c r="M4" s="6">
        <f t="shared" si="1"/>
        <v>0</v>
      </c>
      <c r="N4" s="6">
        <f t="shared" si="1"/>
        <v>0</v>
      </c>
      <c r="O4" s="6">
        <f t="shared" si="1"/>
        <v>0</v>
      </c>
      <c r="P4" s="6">
        <f t="shared" si="1"/>
        <v>0</v>
      </c>
      <c r="Q4" s="9"/>
      <c r="R4" s="36">
        <f t="shared" ref="R4:S9" si="4">MIN(L4:P4)</f>
        <v>0</v>
      </c>
      <c r="S4" s="36">
        <f t="shared" ref="R4:S9" si="5">MAX(L4:P4)</f>
        <v>0</v>
      </c>
      <c r="V4">
        <f t="shared" ref="V4:V9" si="6">L4-$R4</f>
        <v>0</v>
      </c>
      <c r="W4">
        <f t="shared" si="2"/>
        <v>0</v>
      </c>
      <c r="X4">
        <f t="shared" si="2"/>
        <v>0</v>
      </c>
      <c r="Y4">
        <f t="shared" si="2"/>
        <v>0</v>
      </c>
      <c r="Z4">
        <f t="shared" si="2"/>
        <v>0</v>
      </c>
      <c r="AC4">
        <f t="shared" ref="AC4:AC9" si="7">L4-$S4</f>
        <v>0</v>
      </c>
      <c r="AD4">
        <f t="shared" si="3"/>
        <v>0</v>
      </c>
      <c r="AE4">
        <f t="shared" si="3"/>
        <v>0</v>
      </c>
      <c r="AF4">
        <f t="shared" si="3"/>
        <v>0</v>
      </c>
      <c r="AG4">
        <f t="shared" si="3"/>
        <v>0</v>
      </c>
    </row>
    <row r="5" spans="1:40" ht="15" thickBot="1" x14ac:dyDescent="0.4">
      <c r="A5" s="5" t="s">
        <v>30</v>
      </c>
      <c r="B5" s="13">
        <v>92.53</v>
      </c>
      <c r="C5" s="14">
        <v>129.69999999999999</v>
      </c>
      <c r="D5" s="14">
        <v>171.94</v>
      </c>
      <c r="E5" s="15">
        <v>42.85</v>
      </c>
      <c r="F5" s="15">
        <v>107.11</v>
      </c>
      <c r="H5">
        <f t="shared" si="0"/>
        <v>261.25835699552272</v>
      </c>
      <c r="K5" s="5" t="s">
        <v>30</v>
      </c>
      <c r="L5" s="6">
        <f t="shared" si="1"/>
        <v>0</v>
      </c>
      <c r="M5" s="6">
        <f t="shared" si="1"/>
        <v>0</v>
      </c>
      <c r="N5" s="6">
        <f t="shared" si="1"/>
        <v>0</v>
      </c>
      <c r="O5" s="6">
        <f t="shared" si="1"/>
        <v>0</v>
      </c>
      <c r="P5" s="6">
        <f t="shared" si="1"/>
        <v>0</v>
      </c>
      <c r="Q5" s="9"/>
      <c r="R5" s="36">
        <f t="shared" si="4"/>
        <v>0</v>
      </c>
      <c r="S5" s="36">
        <f t="shared" si="5"/>
        <v>0</v>
      </c>
      <c r="V5">
        <f t="shared" si="6"/>
        <v>0</v>
      </c>
      <c r="W5">
        <f t="shared" si="2"/>
        <v>0</v>
      </c>
      <c r="X5">
        <f t="shared" si="2"/>
        <v>0</v>
      </c>
      <c r="Y5">
        <f t="shared" si="2"/>
        <v>0</v>
      </c>
      <c r="Z5">
        <f t="shared" si="2"/>
        <v>0</v>
      </c>
      <c r="AC5">
        <f t="shared" si="7"/>
        <v>0</v>
      </c>
      <c r="AD5">
        <f t="shared" si="3"/>
        <v>0</v>
      </c>
      <c r="AE5">
        <f t="shared" si="3"/>
        <v>0</v>
      </c>
      <c r="AF5">
        <f t="shared" si="3"/>
        <v>0</v>
      </c>
      <c r="AG5">
        <f t="shared" si="3"/>
        <v>0</v>
      </c>
    </row>
    <row r="6" spans="1:40" ht="15" thickBot="1" x14ac:dyDescent="0.4">
      <c r="A6" s="5" t="s">
        <v>31</v>
      </c>
      <c r="B6" s="16">
        <v>3.27</v>
      </c>
      <c r="C6" s="16">
        <v>0.51</v>
      </c>
      <c r="D6" s="20">
        <f>(-3.29)</f>
        <v>-3.29</v>
      </c>
      <c r="E6" s="16">
        <v>0.47</v>
      </c>
      <c r="F6" s="16">
        <v>1.7</v>
      </c>
      <c r="H6">
        <f t="shared" si="0"/>
        <v>4.9887874278225164</v>
      </c>
      <c r="K6" s="5" t="s">
        <v>31</v>
      </c>
      <c r="L6" s="6">
        <f t="shared" si="1"/>
        <v>0</v>
      </c>
      <c r="M6" s="6">
        <f t="shared" si="1"/>
        <v>0</v>
      </c>
      <c r="N6" s="6">
        <f t="shared" si="1"/>
        <v>0</v>
      </c>
      <c r="O6" s="6">
        <f t="shared" si="1"/>
        <v>0</v>
      </c>
      <c r="P6" s="6">
        <f t="shared" si="1"/>
        <v>0</v>
      </c>
      <c r="Q6" s="9"/>
      <c r="R6" s="35">
        <f>O6</f>
        <v>0</v>
      </c>
      <c r="S6" s="35">
        <f>-N6</f>
        <v>0</v>
      </c>
      <c r="T6" t="s">
        <v>52</v>
      </c>
      <c r="V6">
        <f t="shared" si="6"/>
        <v>0</v>
      </c>
      <c r="W6">
        <f t="shared" si="2"/>
        <v>0</v>
      </c>
      <c r="X6">
        <f t="shared" si="2"/>
        <v>0</v>
      </c>
      <c r="Y6">
        <f t="shared" si="2"/>
        <v>0</v>
      </c>
      <c r="Z6">
        <f t="shared" si="2"/>
        <v>0</v>
      </c>
      <c r="AC6">
        <f t="shared" si="7"/>
        <v>0</v>
      </c>
      <c r="AD6">
        <f t="shared" si="3"/>
        <v>0</v>
      </c>
      <c r="AE6" s="12">
        <f>N6+$S6</f>
        <v>0</v>
      </c>
      <c r="AF6">
        <f t="shared" si="3"/>
        <v>0</v>
      </c>
      <c r="AG6">
        <f t="shared" si="3"/>
        <v>0</v>
      </c>
    </row>
    <row r="7" spans="1:40" ht="15" thickBot="1" x14ac:dyDescent="0.4">
      <c r="A7" s="5" t="s">
        <v>32</v>
      </c>
      <c r="B7" s="16">
        <v>7.35</v>
      </c>
      <c r="C7" s="16">
        <v>9.74</v>
      </c>
      <c r="D7" s="16">
        <v>11.06</v>
      </c>
      <c r="E7" s="16">
        <v>3.04</v>
      </c>
      <c r="F7" s="16">
        <v>7.97</v>
      </c>
      <c r="H7">
        <f t="shared" si="0"/>
        <v>18.546595374892934</v>
      </c>
      <c r="K7" s="5" t="s">
        <v>32</v>
      </c>
      <c r="L7" s="6">
        <f t="shared" si="1"/>
        <v>0</v>
      </c>
      <c r="M7" s="6">
        <f t="shared" si="1"/>
        <v>0</v>
      </c>
      <c r="N7" s="6">
        <f t="shared" si="1"/>
        <v>0</v>
      </c>
      <c r="O7" s="6">
        <f t="shared" si="1"/>
        <v>0</v>
      </c>
      <c r="P7" s="6">
        <f t="shared" si="1"/>
        <v>0</v>
      </c>
      <c r="Q7" s="9"/>
      <c r="R7" s="36">
        <f t="shared" si="4"/>
        <v>0</v>
      </c>
      <c r="S7" s="36">
        <f t="shared" si="5"/>
        <v>0</v>
      </c>
      <c r="V7">
        <f t="shared" si="6"/>
        <v>0</v>
      </c>
      <c r="W7">
        <f t="shared" si="2"/>
        <v>0</v>
      </c>
      <c r="X7">
        <f t="shared" si="2"/>
        <v>0</v>
      </c>
      <c r="Y7">
        <f t="shared" si="2"/>
        <v>0</v>
      </c>
      <c r="Z7">
        <f t="shared" si="2"/>
        <v>0</v>
      </c>
      <c r="AC7">
        <f t="shared" si="7"/>
        <v>0</v>
      </c>
      <c r="AD7">
        <f t="shared" si="3"/>
        <v>0</v>
      </c>
      <c r="AE7">
        <f t="shared" si="3"/>
        <v>0</v>
      </c>
      <c r="AF7">
        <f t="shared" si="3"/>
        <v>0</v>
      </c>
      <c r="AG7">
        <f t="shared" si="3"/>
        <v>0</v>
      </c>
    </row>
    <row r="8" spans="1:40" ht="15" thickBot="1" x14ac:dyDescent="0.4">
      <c r="A8" s="5" t="s">
        <v>33</v>
      </c>
      <c r="B8" s="16">
        <v>5.78</v>
      </c>
      <c r="C8" s="16">
        <v>8.19</v>
      </c>
      <c r="D8" s="16">
        <v>6.66</v>
      </c>
      <c r="E8" s="16">
        <v>2.36</v>
      </c>
      <c r="F8" s="16">
        <v>6.68</v>
      </c>
      <c r="H8">
        <f t="shared" si="0"/>
        <v>13.965389360844902</v>
      </c>
      <c r="K8" s="5" t="s">
        <v>33</v>
      </c>
      <c r="L8" s="6">
        <f t="shared" si="1"/>
        <v>0</v>
      </c>
      <c r="M8" s="6">
        <f t="shared" si="1"/>
        <v>0</v>
      </c>
      <c r="N8" s="6">
        <f t="shared" si="1"/>
        <v>0</v>
      </c>
      <c r="O8" s="6">
        <f t="shared" si="1"/>
        <v>0</v>
      </c>
      <c r="P8" s="6">
        <f t="shared" si="1"/>
        <v>0</v>
      </c>
      <c r="Q8" s="9"/>
      <c r="R8" s="36">
        <f t="shared" si="4"/>
        <v>0</v>
      </c>
      <c r="S8" s="36">
        <f t="shared" si="5"/>
        <v>0</v>
      </c>
      <c r="V8">
        <f t="shared" si="6"/>
        <v>0</v>
      </c>
      <c r="W8">
        <f t="shared" si="2"/>
        <v>0</v>
      </c>
      <c r="X8">
        <f t="shared" si="2"/>
        <v>0</v>
      </c>
      <c r="Y8">
        <f t="shared" si="2"/>
        <v>0</v>
      </c>
      <c r="Z8">
        <f t="shared" si="2"/>
        <v>0</v>
      </c>
      <c r="AC8">
        <f t="shared" si="7"/>
        <v>0</v>
      </c>
      <c r="AD8">
        <f t="shared" si="3"/>
        <v>0</v>
      </c>
      <c r="AE8">
        <f t="shared" si="3"/>
        <v>0</v>
      </c>
      <c r="AF8">
        <f t="shared" si="3"/>
        <v>0</v>
      </c>
      <c r="AG8">
        <f t="shared" si="3"/>
        <v>0</v>
      </c>
    </row>
    <row r="9" spans="1:40" ht="15" thickBot="1" x14ac:dyDescent="0.4">
      <c r="A9" s="5" t="s">
        <v>34</v>
      </c>
      <c r="B9" s="17">
        <v>0.61</v>
      </c>
      <c r="C9" s="18">
        <v>0.24</v>
      </c>
      <c r="D9" s="18">
        <v>-0.34</v>
      </c>
      <c r="E9" s="19">
        <v>0.92</v>
      </c>
      <c r="F9" s="19">
        <v>0.48</v>
      </c>
      <c r="H9">
        <f t="shared" si="0"/>
        <v>1.2736168968728392</v>
      </c>
      <c r="K9" s="5" t="s">
        <v>34</v>
      </c>
      <c r="L9" s="6">
        <f t="shared" si="1"/>
        <v>0</v>
      </c>
      <c r="M9" s="6">
        <f t="shared" si="1"/>
        <v>0</v>
      </c>
      <c r="N9" s="6">
        <f t="shared" si="1"/>
        <v>0</v>
      </c>
      <c r="O9" s="6">
        <f t="shared" si="1"/>
        <v>0</v>
      </c>
      <c r="P9" s="6">
        <f t="shared" si="1"/>
        <v>0</v>
      </c>
      <c r="Q9" s="9"/>
      <c r="R9" s="35">
        <f t="shared" si="5"/>
        <v>0</v>
      </c>
      <c r="S9" s="35">
        <f t="shared" si="4"/>
        <v>0</v>
      </c>
      <c r="T9" t="s">
        <v>53</v>
      </c>
      <c r="V9">
        <f t="shared" si="6"/>
        <v>0</v>
      </c>
      <c r="W9">
        <f t="shared" si="2"/>
        <v>0</v>
      </c>
      <c r="X9">
        <f t="shared" si="2"/>
        <v>0</v>
      </c>
      <c r="Y9">
        <f t="shared" si="2"/>
        <v>0</v>
      </c>
      <c r="Z9">
        <f t="shared" si="2"/>
        <v>0</v>
      </c>
      <c r="AC9">
        <f t="shared" si="7"/>
        <v>0</v>
      </c>
      <c r="AD9">
        <f t="shared" si="3"/>
        <v>0</v>
      </c>
      <c r="AE9">
        <f t="shared" si="3"/>
        <v>0</v>
      </c>
      <c r="AF9">
        <f t="shared" si="3"/>
        <v>0</v>
      </c>
      <c r="AG9">
        <f t="shared" si="3"/>
        <v>0</v>
      </c>
    </row>
    <row r="10" spans="1:40" x14ac:dyDescent="0.35">
      <c r="U10" s="11" t="s">
        <v>54</v>
      </c>
      <c r="V10" s="11">
        <f>SQRT(V3^2+V4^2+V5^2+V6^2+V7^2+V8^2+V9^2)</f>
        <v>0</v>
      </c>
      <c r="W10" s="11">
        <f>SQRT(W3^2+W4^2+W5^2+W6^2+W7^2+W8^2+W9^2)</f>
        <v>0</v>
      </c>
      <c r="X10" s="11">
        <f>SQRT(X3^2+X4^2+X5^2+X6^2+X7^2+X8^2+X9^2)</f>
        <v>0</v>
      </c>
      <c r="Y10" s="11">
        <f>SQRT(Y3^2+Y4^2+Y5^2+Y6^2+Y7^2+Y8^2+Y9^2)</f>
        <v>0</v>
      </c>
      <c r="Z10" s="11">
        <f>SQRT(Z3^2+Z4^2+Z5^2+Z6^2+Z7^2+Z8^2+Z9^2)</f>
        <v>0</v>
      </c>
      <c r="AA10" s="11"/>
      <c r="AB10" s="11" t="s">
        <v>55</v>
      </c>
      <c r="AC10" s="11">
        <f>SQRT(AC3^2+AC4^2+AC5^2+AC6^2+AC7^2+AC8^2+AC9^2)</f>
        <v>0</v>
      </c>
      <c r="AD10" s="11">
        <f>SQRT(AD3^2+AD4^2+AD5^2+AD6^2+AD7^2+AD8^2+AD9^2)</f>
        <v>0</v>
      </c>
      <c r="AE10" s="11">
        <f>SQRT(AE3^2+AE4^2+AE5^2+AE6^2+AE7^2+AE8^2+AE9^2)</f>
        <v>0</v>
      </c>
      <c r="AF10" s="11">
        <f>SQRT(AF3^2+AF4^2+AF5^2+AF6^2+AF7^2+AF8^2+AF9^2)</f>
        <v>0</v>
      </c>
      <c r="AG10" s="11">
        <f>SQRT(AG3^2+AG4^2+AG5^2+AG6^2+AG7^2+AG8^2+AG9^2)</f>
        <v>0</v>
      </c>
      <c r="AI10" t="s">
        <v>56</v>
      </c>
      <c r="AJ10" s="11" t="e">
        <f>AC10/(AC10+V10)</f>
        <v>#DIV/0!</v>
      </c>
      <c r="AK10" s="11" t="e">
        <f t="shared" ref="AK10:AN10" si="8">AD10/(AD10+W10)</f>
        <v>#DIV/0!</v>
      </c>
      <c r="AL10" s="11" t="e">
        <f t="shared" si="8"/>
        <v>#DIV/0!</v>
      </c>
      <c r="AM10" s="11" t="e">
        <f t="shared" si="8"/>
        <v>#DIV/0!</v>
      </c>
      <c r="AN10" s="11" t="e">
        <f t="shared" si="8"/>
        <v>#DIV/0!</v>
      </c>
    </row>
    <row r="11" spans="1:40" x14ac:dyDescent="0.35">
      <c r="D11" t="s">
        <v>57</v>
      </c>
      <c r="AI11" s="11" t="s">
        <v>58</v>
      </c>
      <c r="AJ11" s="11">
        <v>2</v>
      </c>
      <c r="AK11" s="11">
        <v>4</v>
      </c>
      <c r="AL11" s="11">
        <v>5</v>
      </c>
      <c r="AM11" s="11">
        <v>1</v>
      </c>
      <c r="AN11" s="11">
        <v>3</v>
      </c>
    </row>
    <row r="12" spans="1:40" ht="15" thickBot="1" x14ac:dyDescent="0.4">
      <c r="AJ12" s="11"/>
      <c r="AK12" s="11"/>
      <c r="AL12" s="11"/>
      <c r="AM12" s="11"/>
      <c r="AN12" s="11"/>
    </row>
    <row r="13" spans="1:40" ht="42.5" thickBot="1" x14ac:dyDescent="0.4">
      <c r="A13" t="s">
        <v>59</v>
      </c>
      <c r="C13" t="s">
        <v>60</v>
      </c>
      <c r="D13" t="s">
        <v>72</v>
      </c>
      <c r="J13" t="s">
        <v>64</v>
      </c>
      <c r="K13" s="3" t="s">
        <v>43</v>
      </c>
      <c r="L13" s="4" t="s">
        <v>44</v>
      </c>
      <c r="M13" s="3" t="s">
        <v>45</v>
      </c>
      <c r="N13" s="7" t="s">
        <v>46</v>
      </c>
      <c r="O13" s="7" t="s">
        <v>47</v>
      </c>
      <c r="P13" s="7" t="s">
        <v>13</v>
      </c>
      <c r="Q13" s="8"/>
      <c r="R13" s="8" t="s">
        <v>50</v>
      </c>
      <c r="S13" s="8" t="s">
        <v>51</v>
      </c>
      <c r="U13" s="8" t="s">
        <v>50</v>
      </c>
      <c r="V13" s="4" t="s">
        <v>44</v>
      </c>
      <c r="W13" s="3" t="s">
        <v>45</v>
      </c>
      <c r="X13" s="7" t="s">
        <v>46</v>
      </c>
      <c r="Y13" s="7" t="s">
        <v>47</v>
      </c>
      <c r="Z13" s="7" t="s">
        <v>13</v>
      </c>
      <c r="AB13" s="8" t="s">
        <v>51</v>
      </c>
      <c r="AC13" s="4" t="s">
        <v>44</v>
      </c>
      <c r="AD13" s="3" t="s">
        <v>45</v>
      </c>
      <c r="AE13" s="7" t="s">
        <v>46</v>
      </c>
      <c r="AF13" s="7" t="s">
        <v>47</v>
      </c>
      <c r="AG13" s="7" t="s">
        <v>13</v>
      </c>
      <c r="AI13" s="10" t="s">
        <v>56</v>
      </c>
      <c r="AJ13" s="4" t="s">
        <v>44</v>
      </c>
      <c r="AK13" s="3" t="s">
        <v>45</v>
      </c>
      <c r="AL13" s="7" t="s">
        <v>46</v>
      </c>
      <c r="AM13" s="7" t="s">
        <v>47</v>
      </c>
      <c r="AN13" s="7" t="s">
        <v>13</v>
      </c>
    </row>
    <row r="14" spans="1:40" ht="15" thickBot="1" x14ac:dyDescent="0.4">
      <c r="A14" s="5" t="s">
        <v>28</v>
      </c>
      <c r="B14" s="47"/>
      <c r="C14" s="47">
        <v>5.6937645616186382E-2</v>
      </c>
      <c r="K14" s="5" t="s">
        <v>28</v>
      </c>
      <c r="L14" s="6">
        <f t="shared" ref="L14:P20" si="9">B3/$H3*$C14</f>
        <v>3.1523870452774272E-2</v>
      </c>
      <c r="M14" s="6">
        <f t="shared" si="9"/>
        <v>1.1349958771572763E-3</v>
      </c>
      <c r="N14" s="6">
        <f t="shared" si="9"/>
        <v>-4.4734198406454456E-2</v>
      </c>
      <c r="O14" s="6">
        <f t="shared" si="9"/>
        <v>4.7618624019079708E-3</v>
      </c>
      <c r="P14" s="6">
        <f t="shared" si="9"/>
        <v>1.4934156278385216E-2</v>
      </c>
      <c r="Q14" s="9"/>
      <c r="R14" s="12">
        <f>M14</f>
        <v>1.1349958771572763E-3</v>
      </c>
      <c r="S14" s="12">
        <f>N14*-1</f>
        <v>4.4734198406454456E-2</v>
      </c>
      <c r="T14" t="s">
        <v>52</v>
      </c>
      <c r="V14">
        <f>L14-$R14</f>
        <v>3.0388874575616995E-2</v>
      </c>
      <c r="W14">
        <f t="shared" ref="W14:Z20" si="10">M14-$R14</f>
        <v>0</v>
      </c>
      <c r="X14">
        <f t="shared" si="10"/>
        <v>-4.5869194283611733E-2</v>
      </c>
      <c r="Y14">
        <f t="shared" si="10"/>
        <v>3.6268665247506946E-3</v>
      </c>
      <c r="Z14">
        <f t="shared" si="10"/>
        <v>1.3799160401227941E-2</v>
      </c>
      <c r="AC14">
        <f>L14-$S14</f>
        <v>-1.3210327953680184E-2</v>
      </c>
      <c r="AD14">
        <f t="shared" ref="AD14:AE20" si="11">M14-$S14</f>
        <v>-4.3599202529297179E-2</v>
      </c>
      <c r="AE14" s="12">
        <f>S14+N14</f>
        <v>0</v>
      </c>
      <c r="AF14">
        <f t="shared" ref="AF14:AG20" si="12">O14-$S14</f>
        <v>-3.9972336004546485E-2</v>
      </c>
      <c r="AG14">
        <f t="shared" si="12"/>
        <v>-2.9800042128069242E-2</v>
      </c>
    </row>
    <row r="15" spans="1:40" ht="15" thickBot="1" x14ac:dyDescent="0.4">
      <c r="A15" s="5" t="s">
        <v>29</v>
      </c>
      <c r="B15" s="47"/>
      <c r="C15" s="47">
        <v>0.16300839975475168</v>
      </c>
      <c r="K15" s="5" t="s">
        <v>29</v>
      </c>
      <c r="L15" s="6">
        <f t="shared" si="9"/>
        <v>6.4037307206647617E-2</v>
      </c>
      <c r="M15" s="6">
        <f t="shared" si="9"/>
        <v>9.4526447550594334E-2</v>
      </c>
      <c r="N15" s="6">
        <f t="shared" si="9"/>
        <v>8.2096518858686823E-2</v>
      </c>
      <c r="O15" s="6">
        <f t="shared" si="9"/>
        <v>2.8020008746164411E-2</v>
      </c>
      <c r="P15" s="6">
        <f t="shared" si="9"/>
        <v>7.7529046756304523E-2</v>
      </c>
      <c r="Q15" s="9"/>
      <c r="R15">
        <f t="shared" ref="R15:S20" si="13">MIN(L15:P15)</f>
        <v>2.8020008746164411E-2</v>
      </c>
      <c r="S15">
        <f t="shared" ref="R15:S20" si="14">MAX(L15:P15)</f>
        <v>9.4526447550594334E-2</v>
      </c>
      <c r="V15">
        <f t="shared" ref="V15:V20" si="15">L15-$R15</f>
        <v>3.601729846048321E-2</v>
      </c>
      <c r="W15">
        <f t="shared" si="10"/>
        <v>6.6506438804429927E-2</v>
      </c>
      <c r="X15">
        <f t="shared" si="10"/>
        <v>5.4076510112522416E-2</v>
      </c>
      <c r="Y15">
        <f t="shared" si="10"/>
        <v>0</v>
      </c>
      <c r="Z15">
        <f t="shared" si="10"/>
        <v>4.9509038010140116E-2</v>
      </c>
      <c r="AC15">
        <f t="shared" ref="AC15:AC20" si="16">L15-$S15</f>
        <v>-3.0489140343946716E-2</v>
      </c>
      <c r="AD15">
        <f t="shared" si="11"/>
        <v>0</v>
      </c>
      <c r="AE15">
        <f t="shared" si="11"/>
        <v>-1.242992869190751E-2</v>
      </c>
      <c r="AF15">
        <f t="shared" si="12"/>
        <v>-6.6506438804429927E-2</v>
      </c>
      <c r="AG15">
        <f t="shared" si="12"/>
        <v>-1.699740079428981E-2</v>
      </c>
    </row>
    <row r="16" spans="1:40" ht="15" thickBot="1" x14ac:dyDescent="0.4">
      <c r="A16" s="5" t="s">
        <v>30</v>
      </c>
      <c r="B16" s="47"/>
      <c r="C16" s="47">
        <v>0.131169435928878</v>
      </c>
      <c r="K16" s="5" t="s">
        <v>30</v>
      </c>
      <c r="L16" s="6">
        <f t="shared" si="9"/>
        <v>4.6456343238456023E-2</v>
      </c>
      <c r="M16" s="6">
        <f t="shared" si="9"/>
        <v>6.5118207262809313E-2</v>
      </c>
      <c r="N16" s="6">
        <f t="shared" si="9"/>
        <v>8.6325555564899265E-2</v>
      </c>
      <c r="O16" s="6">
        <f t="shared" si="9"/>
        <v>2.151360972406615E-2</v>
      </c>
      <c r="P16" s="6">
        <f t="shared" si="9"/>
        <v>5.3776493291592183E-2</v>
      </c>
      <c r="Q16" s="9"/>
      <c r="R16">
        <f t="shared" si="13"/>
        <v>2.151360972406615E-2</v>
      </c>
      <c r="S16">
        <f t="shared" si="14"/>
        <v>8.6325555564899265E-2</v>
      </c>
      <c r="V16">
        <f t="shared" si="15"/>
        <v>2.4942733514389873E-2</v>
      </c>
      <c r="W16">
        <f t="shared" si="10"/>
        <v>4.3604597538743163E-2</v>
      </c>
      <c r="X16">
        <f t="shared" si="10"/>
        <v>6.4811945840833107E-2</v>
      </c>
      <c r="Y16">
        <f t="shared" si="10"/>
        <v>0</v>
      </c>
      <c r="Z16">
        <f t="shared" si="10"/>
        <v>3.2262883567526032E-2</v>
      </c>
      <c r="AC16">
        <f t="shared" si="16"/>
        <v>-3.9869212326443242E-2</v>
      </c>
      <c r="AD16">
        <f t="shared" si="11"/>
        <v>-2.1207348302089951E-2</v>
      </c>
      <c r="AE16">
        <f t="shared" si="11"/>
        <v>0</v>
      </c>
      <c r="AF16">
        <f t="shared" si="12"/>
        <v>-6.4811945840833107E-2</v>
      </c>
      <c r="AG16">
        <f t="shared" si="12"/>
        <v>-3.2549062273307082E-2</v>
      </c>
    </row>
    <row r="17" spans="1:40" ht="15" thickBot="1" x14ac:dyDescent="0.4">
      <c r="A17" s="5" t="s">
        <v>31</v>
      </c>
      <c r="B17" s="47"/>
      <c r="C17" s="47">
        <v>0.15201109748620478</v>
      </c>
      <c r="K17" s="5" t="s">
        <v>31</v>
      </c>
      <c r="L17" s="6">
        <f t="shared" si="9"/>
        <v>9.9638698976767442E-2</v>
      </c>
      <c r="M17" s="6">
        <f t="shared" si="9"/>
        <v>1.5539980574358224E-2</v>
      </c>
      <c r="N17" s="6">
        <f t="shared" si="9"/>
        <v>-0.10024810997968345</v>
      </c>
      <c r="O17" s="6">
        <f t="shared" si="9"/>
        <v>1.4321158568526206E-2</v>
      </c>
      <c r="P17" s="6">
        <f t="shared" si="9"/>
        <v>5.1799935247860751E-2</v>
      </c>
      <c r="Q17" s="9"/>
      <c r="R17" s="12">
        <f>O17</f>
        <v>1.4321158568526206E-2</v>
      </c>
      <c r="S17" s="12">
        <f>-N17</f>
        <v>0.10024810997968345</v>
      </c>
      <c r="T17" t="s">
        <v>52</v>
      </c>
      <c r="V17">
        <f t="shared" si="15"/>
        <v>8.5317540408241244E-2</v>
      </c>
      <c r="W17">
        <f t="shared" si="10"/>
        <v>1.2188220058320185E-3</v>
      </c>
      <c r="X17">
        <f t="shared" si="10"/>
        <v>-0.11456926854820965</v>
      </c>
      <c r="Y17">
        <f t="shared" si="10"/>
        <v>0</v>
      </c>
      <c r="Z17">
        <f t="shared" si="10"/>
        <v>3.7478776679334545E-2</v>
      </c>
      <c r="AC17">
        <f>L17-$S17</f>
        <v>-6.0941100291600492E-4</v>
      </c>
      <c r="AD17">
        <f>M17-$S17</f>
        <v>-8.4708129405325225E-2</v>
      </c>
      <c r="AE17" s="12">
        <f>S17+N17</f>
        <v>0</v>
      </c>
      <c r="AF17">
        <f t="shared" si="12"/>
        <v>-8.5926951411157249E-2</v>
      </c>
      <c r="AG17">
        <f t="shared" si="12"/>
        <v>-4.8448174731822696E-2</v>
      </c>
    </row>
    <row r="18" spans="1:40" ht="15" thickBot="1" x14ac:dyDescent="0.4">
      <c r="A18" s="5" t="s">
        <v>32</v>
      </c>
      <c r="B18" s="47"/>
      <c r="C18" s="47">
        <v>0.10553862660944205</v>
      </c>
      <c r="K18" s="5" t="s">
        <v>32</v>
      </c>
      <c r="L18" s="6">
        <f t="shared" si="9"/>
        <v>4.1824868117277134E-2</v>
      </c>
      <c r="M18" s="6">
        <f t="shared" si="9"/>
        <v>5.5425063328201268E-2</v>
      </c>
      <c r="N18" s="6">
        <f t="shared" si="9"/>
        <v>6.2936468214569413E-2</v>
      </c>
      <c r="O18" s="6">
        <f t="shared" si="9"/>
        <v>1.7298993071635713E-2</v>
      </c>
      <c r="P18" s="6">
        <f t="shared" si="9"/>
        <v>4.5352952230571258E-2</v>
      </c>
      <c r="Q18" s="9"/>
      <c r="R18">
        <f t="shared" si="13"/>
        <v>1.7298993071635713E-2</v>
      </c>
      <c r="S18">
        <f t="shared" si="14"/>
        <v>6.2936468214569413E-2</v>
      </c>
      <c r="V18">
        <f t="shared" si="15"/>
        <v>2.452587504564142E-2</v>
      </c>
      <c r="W18">
        <f t="shared" si="10"/>
        <v>3.8126070256565558E-2</v>
      </c>
      <c r="X18">
        <f t="shared" si="10"/>
        <v>4.5637475142933703E-2</v>
      </c>
      <c r="Y18">
        <f t="shared" si="10"/>
        <v>0</v>
      </c>
      <c r="Z18">
        <f t="shared" si="10"/>
        <v>2.8053959158935545E-2</v>
      </c>
      <c r="AC18">
        <f t="shared" si="16"/>
        <v>-2.111160009729228E-2</v>
      </c>
      <c r="AD18">
        <f t="shared" si="11"/>
        <v>-7.5114048863681449E-3</v>
      </c>
      <c r="AE18">
        <f t="shared" si="11"/>
        <v>0</v>
      </c>
      <c r="AF18">
        <f t="shared" si="12"/>
        <v>-4.5637475142933703E-2</v>
      </c>
      <c r="AG18">
        <f t="shared" si="12"/>
        <v>-1.7583515983998155E-2</v>
      </c>
    </row>
    <row r="19" spans="1:40" ht="15" thickBot="1" x14ac:dyDescent="0.4">
      <c r="A19" s="5" t="s">
        <v>33</v>
      </c>
      <c r="B19" s="47"/>
      <c r="C19" s="47">
        <v>0.27675</v>
      </c>
      <c r="K19" s="5" t="s">
        <v>33</v>
      </c>
      <c r="L19" s="6">
        <f t="shared" si="9"/>
        <v>0.11454138217476979</v>
      </c>
      <c r="M19" s="6">
        <f t="shared" si="9"/>
        <v>0.16229998616113572</v>
      </c>
      <c r="N19" s="6">
        <f t="shared" si="9"/>
        <v>0.13198020852663786</v>
      </c>
      <c r="O19" s="6">
        <f t="shared" si="9"/>
        <v>4.6767761580009809E-2</v>
      </c>
      <c r="P19" s="6">
        <f t="shared" si="9"/>
        <v>0.13237654548918029</v>
      </c>
      <c r="Q19" s="9"/>
      <c r="R19">
        <f t="shared" si="13"/>
        <v>4.6767761580009809E-2</v>
      </c>
      <c r="S19">
        <f t="shared" si="14"/>
        <v>0.16229998616113572</v>
      </c>
      <c r="V19">
        <f t="shared" si="15"/>
        <v>6.7773620594759984E-2</v>
      </c>
      <c r="W19">
        <f t="shared" si="10"/>
        <v>0.11553222458112591</v>
      </c>
      <c r="X19">
        <f t="shared" si="10"/>
        <v>8.5212446946628051E-2</v>
      </c>
      <c r="Y19">
        <f t="shared" si="10"/>
        <v>0</v>
      </c>
      <c r="Z19">
        <f t="shared" si="10"/>
        <v>8.5608783909170483E-2</v>
      </c>
      <c r="AC19">
        <f t="shared" si="16"/>
        <v>-4.775860398636593E-2</v>
      </c>
      <c r="AD19">
        <f>M19-$S19</f>
        <v>0</v>
      </c>
      <c r="AE19">
        <f t="shared" si="11"/>
        <v>-3.0319777634497863E-2</v>
      </c>
      <c r="AF19">
        <f t="shared" si="12"/>
        <v>-0.11553222458112591</v>
      </c>
      <c r="AG19">
        <f t="shared" si="12"/>
        <v>-2.9923440671955431E-2</v>
      </c>
    </row>
    <row r="20" spans="1:40" ht="15" thickBot="1" x14ac:dyDescent="0.4">
      <c r="A20" s="5" t="s">
        <v>34</v>
      </c>
      <c r="B20" s="47"/>
      <c r="C20" s="47">
        <v>0.1145847946045371</v>
      </c>
      <c r="K20" s="5" t="s">
        <v>34</v>
      </c>
      <c r="L20" s="6">
        <f t="shared" si="9"/>
        <v>5.4880494189726729E-2</v>
      </c>
      <c r="M20" s="6">
        <f t="shared" si="9"/>
        <v>2.15923255828433E-2</v>
      </c>
      <c r="N20" s="6">
        <f t="shared" si="9"/>
        <v>-3.0589127909028013E-2</v>
      </c>
      <c r="O20" s="6">
        <f t="shared" si="9"/>
        <v>8.2770581400899323E-2</v>
      </c>
      <c r="P20" s="6">
        <f t="shared" si="9"/>
        <v>4.3184651165686601E-2</v>
      </c>
      <c r="Q20" s="9"/>
      <c r="R20" s="12">
        <f t="shared" si="14"/>
        <v>8.2770581400899323E-2</v>
      </c>
      <c r="S20" s="12">
        <f t="shared" si="13"/>
        <v>-3.0589127909028013E-2</v>
      </c>
      <c r="T20" t="s">
        <v>53</v>
      </c>
      <c r="V20">
        <f t="shared" si="15"/>
        <v>-2.7890087211172594E-2</v>
      </c>
      <c r="W20">
        <f t="shared" si="10"/>
        <v>-6.1178255818056027E-2</v>
      </c>
      <c r="X20">
        <f t="shared" si="10"/>
        <v>-0.11335970930992734</v>
      </c>
      <c r="Y20">
        <f t="shared" si="10"/>
        <v>0</v>
      </c>
      <c r="Z20">
        <f t="shared" si="10"/>
        <v>-3.9585930235212723E-2</v>
      </c>
      <c r="AC20">
        <f t="shared" si="16"/>
        <v>8.5469622098754749E-2</v>
      </c>
      <c r="AD20">
        <f t="shared" si="11"/>
        <v>5.218145349187131E-2</v>
      </c>
      <c r="AE20">
        <f t="shared" si="11"/>
        <v>0</v>
      </c>
      <c r="AF20">
        <f t="shared" si="12"/>
        <v>0.11335970930992734</v>
      </c>
      <c r="AG20">
        <f t="shared" si="12"/>
        <v>7.3773779074714607E-2</v>
      </c>
    </row>
    <row r="21" spans="1:40" x14ac:dyDescent="0.35">
      <c r="U21" s="11" t="s">
        <v>54</v>
      </c>
      <c r="V21" s="11">
        <f>SQRT(V14^2+V15^2+V16^2+V17^2+V18^2+V19^2+V20^2)</f>
        <v>0.12686446036132246</v>
      </c>
      <c r="W21" s="11">
        <f>SQRT(W14^2+W15^2+W16^2+W17^2+W18^2+W19^2+W20^2)</f>
        <v>0.15770232715739119</v>
      </c>
      <c r="X21" s="11">
        <f>SQRT(X14^2+X15^2+X16^2+X17^2+X18^2+X19^2+X20^2)</f>
        <v>0.21106710188091687</v>
      </c>
      <c r="Y21" s="11">
        <f>SQRT(Y14^2+Y15^2+Y16^2+Y17^2+Y18^2+Y19^2+Y20^2)</f>
        <v>3.6268665247506946E-3</v>
      </c>
      <c r="Z21" s="11">
        <f>SQRT(Z14^2+Z15^2+Z16^2+Z17^2+Z18^2+Z19^2+Z20^2)</f>
        <v>0.12153208798265949</v>
      </c>
      <c r="AA21" s="11"/>
      <c r="AB21" s="11" t="s">
        <v>55</v>
      </c>
      <c r="AC21" s="11">
        <f>SQRT(AC14^2+AC15^2+AC16^2+AC17^2+AC18^2+AC19^2+AC20^2)</f>
        <v>0.11280809426613242</v>
      </c>
      <c r="AD21" s="11">
        <f>SQRT(AD14^2+AD15^2+AD16^2+AD17^2+AD18^2+AD19^2+AD20^2)</f>
        <v>0.11092986325799485</v>
      </c>
      <c r="AE21" s="11">
        <f>SQRT(AE14^2+AE15^2+AE16^2+AE17^2+AE18^2+AE19^2+AE20^2)</f>
        <v>3.2768766273561512E-2</v>
      </c>
      <c r="AF21" s="11">
        <f>SQRT(AF14^2+AF15^2+AF16^2+AF17^2+AF18^2+AF19^2+AF20^2)</f>
        <v>0.21420975958045199</v>
      </c>
      <c r="AG21" s="11">
        <f>SQRT(AG14^2+AG15^2+AG16^2+AG17^2+AG18^2+AG19^2+AG20^2)</f>
        <v>0.10597539360288134</v>
      </c>
      <c r="AI21" t="s">
        <v>56</v>
      </c>
      <c r="AJ21" s="11">
        <f>AC21/(AC21+V21)</f>
        <v>0.47067589545862032</v>
      </c>
      <c r="AK21" s="11">
        <f t="shared" ref="AK21:AN21" si="17">AD21/(AD21+W21)</f>
        <v>0.41294330022944742</v>
      </c>
      <c r="AL21" s="11">
        <f t="shared" si="17"/>
        <v>0.13438862182819378</v>
      </c>
      <c r="AM21" s="11">
        <f t="shared" si="17"/>
        <v>0.98335052011410096</v>
      </c>
      <c r="AN21" s="11">
        <f t="shared" si="17"/>
        <v>0.46581058725770086</v>
      </c>
    </row>
    <row r="22" spans="1:40" ht="42.5" thickBot="1" x14ac:dyDescent="0.4">
      <c r="A22" s="45" t="s">
        <v>73</v>
      </c>
      <c r="B22" s="5" t="s">
        <v>28</v>
      </c>
      <c r="C22" s="54">
        <f>C31-D31</f>
        <v>5.6937645616186382E-2</v>
      </c>
      <c r="AI22" s="11" t="s">
        <v>58</v>
      </c>
      <c r="AJ22" s="11">
        <v>2</v>
      </c>
      <c r="AK22" s="11">
        <v>4</v>
      </c>
      <c r="AL22" s="11">
        <v>5</v>
      </c>
      <c r="AM22" s="11">
        <v>1</v>
      </c>
      <c r="AN22" s="11">
        <v>3</v>
      </c>
    </row>
    <row r="23" spans="1:40" ht="15" thickBot="1" x14ac:dyDescent="0.4">
      <c r="A23" s="47">
        <v>1.5</v>
      </c>
      <c r="B23" s="5" t="s">
        <v>29</v>
      </c>
      <c r="C23" s="54">
        <f t="shared" ref="C23:C28" si="18">C32-D32</f>
        <v>0.16300839975475168</v>
      </c>
      <c r="D23" s="54"/>
    </row>
    <row r="24" spans="1:40" ht="15" thickBot="1" x14ac:dyDescent="0.4">
      <c r="B24" s="5" t="s">
        <v>30</v>
      </c>
      <c r="C24" s="54">
        <f t="shared" si="18"/>
        <v>0.131169435928878</v>
      </c>
    </row>
    <row r="25" spans="1:40" ht="15" thickBot="1" x14ac:dyDescent="0.4">
      <c r="B25" s="5" t="s">
        <v>31</v>
      </c>
      <c r="C25" s="54">
        <f t="shared" si="18"/>
        <v>0.15201109748620478</v>
      </c>
    </row>
    <row r="26" spans="1:40" ht="15" thickBot="1" x14ac:dyDescent="0.4">
      <c r="B26" s="5" t="s">
        <v>32</v>
      </c>
      <c r="C26" s="54">
        <f t="shared" si="18"/>
        <v>0.10553862660944205</v>
      </c>
    </row>
    <row r="27" spans="1:40" ht="15" thickBot="1" x14ac:dyDescent="0.4">
      <c r="B27" s="5" t="s">
        <v>33</v>
      </c>
      <c r="C27" s="54">
        <f>1.5*C36</f>
        <v>0.27675</v>
      </c>
    </row>
    <row r="28" spans="1:40" ht="15" thickBot="1" x14ac:dyDescent="0.4">
      <c r="B28" s="5" t="s">
        <v>34</v>
      </c>
      <c r="C28" s="54">
        <f t="shared" si="18"/>
        <v>0.1145847946045371</v>
      </c>
      <c r="U28" s="8"/>
      <c r="V28" s="4"/>
      <c r="W28" s="3"/>
      <c r="X28" s="7"/>
      <c r="Y28" s="7"/>
      <c r="Z28" s="7"/>
      <c r="AB28" s="8"/>
      <c r="AC28" s="4"/>
      <c r="AD28" s="3"/>
      <c r="AE28" s="7"/>
      <c r="AF28" s="7"/>
      <c r="AG28" s="7"/>
    </row>
    <row r="29" spans="1:40" x14ac:dyDescent="0.35">
      <c r="B29" s="53" t="s">
        <v>74</v>
      </c>
      <c r="C29" s="54">
        <f>SUM(C22:C28)</f>
        <v>1</v>
      </c>
    </row>
    <row r="31" spans="1:40" ht="15" thickBot="1" x14ac:dyDescent="0.4">
      <c r="A31" t="s">
        <v>75</v>
      </c>
      <c r="C31">
        <v>6.4199999999999993E-2</v>
      </c>
      <c r="D31" s="57">
        <f>$E$31*C31/SUM($C$31:$C$35,$C$37)</f>
        <v>7.2623543838136106E-3</v>
      </c>
      <c r="E31" s="56">
        <f>C27-C36</f>
        <v>9.2249999999999999E-2</v>
      </c>
    </row>
    <row r="32" spans="1:40" ht="15" thickBot="1" x14ac:dyDescent="0.4">
      <c r="C32">
        <v>0.18379999999999999</v>
      </c>
      <c r="D32" s="57">
        <f t="shared" ref="D32:D34" si="19">$E$31*C32/SUM($C$31:$C$35,$C$37)</f>
        <v>2.0791600245248315E-2</v>
      </c>
      <c r="T32" s="4"/>
      <c r="U32" s="3"/>
      <c r="V32" s="7"/>
      <c r="W32" s="7"/>
      <c r="X32" s="7"/>
    </row>
    <row r="33" spans="3:33" ht="15" thickBot="1" x14ac:dyDescent="0.4">
      <c r="C33">
        <v>0.1479</v>
      </c>
      <c r="D33" s="57">
        <f t="shared" si="19"/>
        <v>1.6730564071122011E-2</v>
      </c>
      <c r="F33" s="22"/>
      <c r="G33" s="23"/>
      <c r="H33" s="23"/>
      <c r="I33" s="23"/>
      <c r="J33" s="23"/>
      <c r="K33" s="23"/>
      <c r="M33" s="22"/>
      <c r="N33" s="24"/>
      <c r="O33" s="24"/>
      <c r="P33" s="24"/>
      <c r="Q33" s="27"/>
      <c r="S33" s="24"/>
      <c r="T33" s="11"/>
    </row>
    <row r="34" spans="3:33" ht="15" thickBot="1" x14ac:dyDescent="0.4">
      <c r="C34">
        <v>0.1714</v>
      </c>
      <c r="D34" s="57">
        <f t="shared" si="19"/>
        <v>1.9388902513795218E-2</v>
      </c>
      <c r="F34" s="24"/>
      <c r="G34" s="25"/>
      <c r="H34" s="26"/>
      <c r="I34" s="25"/>
      <c r="J34" s="26"/>
      <c r="K34" s="25"/>
      <c r="L34" s="29"/>
      <c r="M34" s="23"/>
      <c r="N34" s="34"/>
      <c r="O34" s="34"/>
      <c r="P34" s="34"/>
      <c r="Q34" s="28"/>
      <c r="S34" s="24"/>
      <c r="T34" s="11"/>
      <c r="U34" s="11"/>
      <c r="V34" s="11"/>
      <c r="W34" s="11"/>
      <c r="X34" s="11"/>
    </row>
    <row r="35" spans="3:33" ht="15" thickBot="1" x14ac:dyDescent="0.4">
      <c r="C35">
        <v>0.11899999999999999</v>
      </c>
      <c r="D35" s="57">
        <f>$E$31*C35/SUM($C$31:$C$35,$C$37)</f>
        <v>1.3461373390557939E-2</v>
      </c>
      <c r="F35" s="24"/>
      <c r="G35" s="26"/>
      <c r="H35" s="26"/>
      <c r="I35" s="26"/>
      <c r="J35" s="26"/>
      <c r="K35" s="26"/>
      <c r="L35" s="30"/>
      <c r="M35" s="23"/>
      <c r="N35" s="33"/>
      <c r="O35" s="34"/>
      <c r="P35" s="33"/>
      <c r="Q35" s="28"/>
      <c r="S35" s="24"/>
      <c r="T35" s="11"/>
    </row>
    <row r="36" spans="3:33" ht="15" thickBot="1" x14ac:dyDescent="0.4">
      <c r="C36">
        <v>0.1845</v>
      </c>
      <c r="D36" s="57"/>
      <c r="F36" s="24"/>
      <c r="G36" s="25"/>
      <c r="H36" s="26"/>
      <c r="I36" s="25"/>
      <c r="J36" s="26"/>
      <c r="K36" s="25"/>
      <c r="L36" s="30"/>
      <c r="M36" s="23"/>
      <c r="N36" s="33"/>
      <c r="O36" s="34"/>
      <c r="P36" s="33"/>
      <c r="Q36" s="28"/>
      <c r="S36" s="27"/>
      <c r="T36" s="11"/>
      <c r="AB36" s="11"/>
      <c r="AC36" s="11"/>
      <c r="AD36" s="11"/>
      <c r="AE36" s="11"/>
      <c r="AF36" s="11"/>
      <c r="AG36" s="11"/>
    </row>
    <row r="37" spans="3:33" ht="15" thickBot="1" x14ac:dyDescent="0.4">
      <c r="C37">
        <v>0.12920000000000001</v>
      </c>
      <c r="D37" s="57">
        <f t="shared" ref="D37" si="20">$E$31*C37/SUM($C$31:$C$35,$C$37)</f>
        <v>1.4615205395462906E-2</v>
      </c>
      <c r="F37" s="27"/>
      <c r="G37" s="28"/>
      <c r="H37" s="28"/>
      <c r="I37" s="28"/>
      <c r="J37" s="28"/>
      <c r="K37" s="28"/>
      <c r="L37" s="30"/>
      <c r="M37" s="23"/>
      <c r="N37" s="34"/>
      <c r="O37" s="34"/>
      <c r="P37" s="34"/>
      <c r="Q37" s="28"/>
      <c r="T37" s="11"/>
    </row>
    <row r="38" spans="3:33" ht="15" thickBot="1" x14ac:dyDescent="0.4">
      <c r="L38" s="30"/>
      <c r="M38" s="23"/>
      <c r="N38" s="33"/>
      <c r="O38" s="34"/>
      <c r="P38" s="33"/>
      <c r="Q38" s="28"/>
    </row>
    <row r="39" spans="3:33" ht="15" thickBot="1" x14ac:dyDescent="0.4">
      <c r="L39" s="30"/>
      <c r="M39" s="32"/>
      <c r="N39" s="32"/>
      <c r="O39" s="32"/>
      <c r="P39" s="31"/>
      <c r="T39" s="24"/>
      <c r="U39" s="24"/>
      <c r="V39" s="24"/>
      <c r="W39" s="27"/>
    </row>
    <row r="40" spans="3:33" ht="15" thickBot="1" x14ac:dyDescent="0.4">
      <c r="I40">
        <f>0.1*25</f>
        <v>2.5</v>
      </c>
      <c r="J40">
        <f>100-I40</f>
        <v>97.5</v>
      </c>
      <c r="S40" s="38"/>
      <c r="T40" s="39"/>
      <c r="U40" s="40"/>
      <c r="V40" s="39"/>
      <c r="W40" s="41"/>
    </row>
    <row r="41" spans="3:33" ht="15" thickBot="1" x14ac:dyDescent="0.4">
      <c r="J41">
        <f>25*30/50</f>
        <v>15</v>
      </c>
      <c r="S41" s="42"/>
      <c r="T41" s="40"/>
      <c r="U41" s="40"/>
      <c r="V41" s="40"/>
      <c r="W41" s="43"/>
    </row>
    <row r="42" spans="3:33" ht="15" thickBot="1" x14ac:dyDescent="0.4">
      <c r="S42" s="44"/>
      <c r="T42" s="39"/>
      <c r="U42" s="40"/>
      <c r="V42" s="39"/>
      <c r="W42" s="41"/>
    </row>
    <row r="43" spans="3:33" ht="15" thickBot="1" x14ac:dyDescent="0.4">
      <c r="S43" s="42"/>
      <c r="T43" s="39"/>
      <c r="U43" s="40"/>
      <c r="V43" s="39"/>
      <c r="W43" s="41"/>
    </row>
    <row r="44" spans="3:33" ht="15" thickBot="1" x14ac:dyDescent="0.4">
      <c r="S44" s="44"/>
      <c r="T44" s="39"/>
      <c r="U44" s="40"/>
      <c r="V44" s="39"/>
      <c r="W44" s="41"/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N44"/>
  <sheetViews>
    <sheetView zoomScale="55" workbookViewId="0">
      <selection activeCell="A2" sqref="A2"/>
    </sheetView>
  </sheetViews>
  <sheetFormatPr defaultColWidth="8.81640625" defaultRowHeight="14.5" x14ac:dyDescent="0.35"/>
  <cols>
    <col min="2" max="6" width="8.90625" bestFit="1" customWidth="1"/>
    <col min="8" max="8" width="8.90625" bestFit="1" customWidth="1"/>
    <col min="12" max="13" width="11.453125" bestFit="1" customWidth="1"/>
    <col min="14" max="14" width="12.1796875" bestFit="1" customWidth="1"/>
    <col min="15" max="16" width="11.453125" bestFit="1" customWidth="1"/>
    <col min="17" max="17" width="3.1796875" customWidth="1"/>
    <col min="18" max="18" width="13.81640625" bestFit="1" customWidth="1"/>
    <col min="19" max="19" width="14.26953125" bestFit="1" customWidth="1"/>
    <col min="22" max="23" width="8.90625" bestFit="1" customWidth="1"/>
  </cols>
  <sheetData>
    <row r="1" spans="1:40" ht="15" thickBot="1" x14ac:dyDescent="0.4">
      <c r="A1" s="78" t="s">
        <v>98</v>
      </c>
    </row>
    <row r="2" spans="1:40" ht="42.5" thickBot="1" x14ac:dyDescent="0.4">
      <c r="A2" s="3" t="s">
        <v>43</v>
      </c>
      <c r="B2" s="4" t="s">
        <v>44</v>
      </c>
      <c r="C2" s="3" t="s">
        <v>45</v>
      </c>
      <c r="D2" s="7" t="s">
        <v>46</v>
      </c>
      <c r="E2" s="7" t="s">
        <v>47</v>
      </c>
      <c r="F2" s="7" t="s">
        <v>13</v>
      </c>
      <c r="H2" s="10" t="s">
        <v>48</v>
      </c>
      <c r="J2" t="s">
        <v>49</v>
      </c>
      <c r="K2" s="3" t="s">
        <v>43</v>
      </c>
      <c r="L2" s="4" t="s">
        <v>44</v>
      </c>
      <c r="M2" s="3" t="s">
        <v>45</v>
      </c>
      <c r="N2" s="7" t="s">
        <v>46</v>
      </c>
      <c r="O2" s="7" t="s">
        <v>47</v>
      </c>
      <c r="P2" s="7" t="s">
        <v>13</v>
      </c>
      <c r="Q2" s="8"/>
      <c r="R2" s="8" t="s">
        <v>50</v>
      </c>
      <c r="S2" s="8" t="s">
        <v>51</v>
      </c>
      <c r="U2" s="8" t="s">
        <v>50</v>
      </c>
      <c r="V2" s="4" t="s">
        <v>44</v>
      </c>
      <c r="W2" s="3" t="s">
        <v>45</v>
      </c>
      <c r="X2" s="7" t="s">
        <v>46</v>
      </c>
      <c r="Y2" s="7" t="s">
        <v>47</v>
      </c>
      <c r="Z2" s="7" t="s">
        <v>13</v>
      </c>
      <c r="AB2" s="8" t="s">
        <v>51</v>
      </c>
      <c r="AC2" s="4" t="s">
        <v>44</v>
      </c>
      <c r="AD2" s="3" t="s">
        <v>45</v>
      </c>
      <c r="AE2" s="7" t="s">
        <v>46</v>
      </c>
      <c r="AF2" s="7" t="s">
        <v>47</v>
      </c>
      <c r="AG2" s="7" t="s">
        <v>13</v>
      </c>
      <c r="AJ2" s="4" t="s">
        <v>44</v>
      </c>
      <c r="AK2" s="3" t="s">
        <v>45</v>
      </c>
      <c r="AL2" s="7" t="s">
        <v>46</v>
      </c>
      <c r="AM2" s="7" t="s">
        <v>47</v>
      </c>
      <c r="AN2" s="7" t="s">
        <v>13</v>
      </c>
    </row>
    <row r="3" spans="1:40" ht="15" thickBot="1" x14ac:dyDescent="0.4">
      <c r="A3" s="5" t="s">
        <v>28</v>
      </c>
      <c r="B3" s="13">
        <v>36.94</v>
      </c>
      <c r="C3" s="14">
        <v>1.33</v>
      </c>
      <c r="D3" s="21">
        <f>(-52.42)</f>
        <v>-52.42</v>
      </c>
      <c r="E3" s="15">
        <v>5.58</v>
      </c>
      <c r="F3" s="15">
        <v>17.5</v>
      </c>
      <c r="H3">
        <f t="shared" ref="H3:H9" si="0">SQRT(B3^2+C3^2+F3^2+D3^2+E3^2)</f>
        <v>66.72012664856085</v>
      </c>
      <c r="K3" s="5" t="s">
        <v>28</v>
      </c>
      <c r="L3" s="6">
        <f t="shared" ref="L3:P9" si="1">B3/$H3*$B14</f>
        <v>0</v>
      </c>
      <c r="M3" s="6">
        <f t="shared" si="1"/>
        <v>0</v>
      </c>
      <c r="N3" s="6">
        <f t="shared" si="1"/>
        <v>0</v>
      </c>
      <c r="O3" s="6">
        <f t="shared" si="1"/>
        <v>0</v>
      </c>
      <c r="P3" s="6">
        <f t="shared" si="1"/>
        <v>0</v>
      </c>
      <c r="Q3" s="9"/>
      <c r="R3" s="35">
        <f>M3</f>
        <v>0</v>
      </c>
      <c r="S3" s="35">
        <f>-N3</f>
        <v>0</v>
      </c>
      <c r="T3" t="s">
        <v>52</v>
      </c>
      <c r="V3">
        <f>L3-$R3</f>
        <v>0</v>
      </c>
      <c r="W3">
        <f t="shared" ref="W3:Z9" si="2">M3-$R3</f>
        <v>0</v>
      </c>
      <c r="X3">
        <f t="shared" si="2"/>
        <v>0</v>
      </c>
      <c r="Y3">
        <f t="shared" si="2"/>
        <v>0</v>
      </c>
      <c r="Z3">
        <f t="shared" si="2"/>
        <v>0</v>
      </c>
      <c r="AC3">
        <f>L3-$S3</f>
        <v>0</v>
      </c>
      <c r="AD3">
        <f t="shared" ref="AD3:AG9" si="3">M3-$S3</f>
        <v>0</v>
      </c>
      <c r="AE3" s="12">
        <f>N3+$S3</f>
        <v>0</v>
      </c>
      <c r="AF3">
        <f t="shared" si="3"/>
        <v>0</v>
      </c>
      <c r="AG3">
        <f t="shared" si="3"/>
        <v>0</v>
      </c>
    </row>
    <row r="4" spans="1:40" ht="15" thickBot="1" x14ac:dyDescent="0.4">
      <c r="A4" s="5" t="s">
        <v>29</v>
      </c>
      <c r="B4" s="13">
        <v>75.989999999999995</v>
      </c>
      <c r="C4" s="14">
        <v>112.17</v>
      </c>
      <c r="D4" s="14">
        <v>97.42</v>
      </c>
      <c r="E4" s="15">
        <v>33.25</v>
      </c>
      <c r="F4" s="15">
        <v>92</v>
      </c>
      <c r="H4">
        <f t="shared" si="0"/>
        <v>193.43424696780039</v>
      </c>
      <c r="K4" s="5" t="s">
        <v>29</v>
      </c>
      <c r="L4" s="6">
        <f t="shared" si="1"/>
        <v>0</v>
      </c>
      <c r="M4" s="6">
        <f t="shared" si="1"/>
        <v>0</v>
      </c>
      <c r="N4" s="6">
        <f t="shared" si="1"/>
        <v>0</v>
      </c>
      <c r="O4" s="6">
        <f t="shared" si="1"/>
        <v>0</v>
      </c>
      <c r="P4" s="6">
        <f t="shared" si="1"/>
        <v>0</v>
      </c>
      <c r="Q4" s="9"/>
      <c r="R4" s="36">
        <f t="shared" ref="R4:S9" si="4">MIN(L4:P4)</f>
        <v>0</v>
      </c>
      <c r="S4" s="36">
        <f t="shared" ref="R4:S9" si="5">MAX(L4:P4)</f>
        <v>0</v>
      </c>
      <c r="V4">
        <f t="shared" ref="V4:V9" si="6">L4-$R4</f>
        <v>0</v>
      </c>
      <c r="W4">
        <f t="shared" si="2"/>
        <v>0</v>
      </c>
      <c r="X4">
        <f t="shared" si="2"/>
        <v>0</v>
      </c>
      <c r="Y4">
        <f t="shared" si="2"/>
        <v>0</v>
      </c>
      <c r="Z4">
        <f t="shared" si="2"/>
        <v>0</v>
      </c>
      <c r="AC4">
        <f t="shared" ref="AC4:AC9" si="7">L4-$S4</f>
        <v>0</v>
      </c>
      <c r="AD4">
        <f t="shared" si="3"/>
        <v>0</v>
      </c>
      <c r="AE4">
        <f t="shared" si="3"/>
        <v>0</v>
      </c>
      <c r="AF4">
        <f t="shared" si="3"/>
        <v>0</v>
      </c>
      <c r="AG4">
        <f t="shared" si="3"/>
        <v>0</v>
      </c>
    </row>
    <row r="5" spans="1:40" ht="15" thickBot="1" x14ac:dyDescent="0.4">
      <c r="A5" s="5" t="s">
        <v>30</v>
      </c>
      <c r="B5" s="13">
        <v>92.53</v>
      </c>
      <c r="C5" s="14">
        <v>129.69999999999999</v>
      </c>
      <c r="D5" s="14">
        <v>171.94</v>
      </c>
      <c r="E5" s="15">
        <v>42.85</v>
      </c>
      <c r="F5" s="15">
        <v>107.11</v>
      </c>
      <c r="H5">
        <f t="shared" si="0"/>
        <v>261.25835699552272</v>
      </c>
      <c r="K5" s="5" t="s">
        <v>30</v>
      </c>
      <c r="L5" s="6">
        <f t="shared" si="1"/>
        <v>0</v>
      </c>
      <c r="M5" s="6">
        <f t="shared" si="1"/>
        <v>0</v>
      </c>
      <c r="N5" s="6">
        <f t="shared" si="1"/>
        <v>0</v>
      </c>
      <c r="O5" s="6">
        <f t="shared" si="1"/>
        <v>0</v>
      </c>
      <c r="P5" s="6">
        <f t="shared" si="1"/>
        <v>0</v>
      </c>
      <c r="Q5" s="9"/>
      <c r="R5" s="36">
        <f t="shared" si="4"/>
        <v>0</v>
      </c>
      <c r="S5" s="36">
        <f t="shared" si="5"/>
        <v>0</v>
      </c>
      <c r="V5">
        <f t="shared" si="6"/>
        <v>0</v>
      </c>
      <c r="W5">
        <f t="shared" si="2"/>
        <v>0</v>
      </c>
      <c r="X5">
        <f t="shared" si="2"/>
        <v>0</v>
      </c>
      <c r="Y5">
        <f t="shared" si="2"/>
        <v>0</v>
      </c>
      <c r="Z5">
        <f t="shared" si="2"/>
        <v>0</v>
      </c>
      <c r="AC5">
        <f t="shared" si="7"/>
        <v>0</v>
      </c>
      <c r="AD5">
        <f t="shared" si="3"/>
        <v>0</v>
      </c>
      <c r="AE5">
        <f t="shared" si="3"/>
        <v>0</v>
      </c>
      <c r="AF5">
        <f t="shared" si="3"/>
        <v>0</v>
      </c>
      <c r="AG5">
        <f t="shared" si="3"/>
        <v>0</v>
      </c>
    </row>
    <row r="6" spans="1:40" ht="15" thickBot="1" x14ac:dyDescent="0.4">
      <c r="A6" s="5" t="s">
        <v>31</v>
      </c>
      <c r="B6" s="16">
        <v>3.27</v>
      </c>
      <c r="C6" s="16">
        <v>0.51</v>
      </c>
      <c r="D6" s="20">
        <f>(-3.29)</f>
        <v>-3.29</v>
      </c>
      <c r="E6" s="16">
        <v>0.47</v>
      </c>
      <c r="F6" s="16">
        <v>1.7</v>
      </c>
      <c r="H6">
        <f t="shared" si="0"/>
        <v>4.9887874278225164</v>
      </c>
      <c r="K6" s="5" t="s">
        <v>31</v>
      </c>
      <c r="L6" s="6">
        <f t="shared" si="1"/>
        <v>0</v>
      </c>
      <c r="M6" s="6">
        <f t="shared" si="1"/>
        <v>0</v>
      </c>
      <c r="N6" s="6">
        <f t="shared" si="1"/>
        <v>0</v>
      </c>
      <c r="O6" s="6">
        <f t="shared" si="1"/>
        <v>0</v>
      </c>
      <c r="P6" s="6">
        <f t="shared" si="1"/>
        <v>0</v>
      </c>
      <c r="Q6" s="9"/>
      <c r="R6" s="35">
        <f>O6</f>
        <v>0</v>
      </c>
      <c r="S6" s="35">
        <f>-N6</f>
        <v>0</v>
      </c>
      <c r="T6" t="s">
        <v>52</v>
      </c>
      <c r="V6">
        <f t="shared" si="6"/>
        <v>0</v>
      </c>
      <c r="W6">
        <f t="shared" si="2"/>
        <v>0</v>
      </c>
      <c r="X6">
        <f t="shared" si="2"/>
        <v>0</v>
      </c>
      <c r="Y6">
        <f t="shared" si="2"/>
        <v>0</v>
      </c>
      <c r="Z6">
        <f t="shared" si="2"/>
        <v>0</v>
      </c>
      <c r="AC6">
        <f t="shared" si="7"/>
        <v>0</v>
      </c>
      <c r="AD6">
        <f t="shared" si="3"/>
        <v>0</v>
      </c>
      <c r="AE6" s="12">
        <f>N6+$S6</f>
        <v>0</v>
      </c>
      <c r="AF6">
        <f t="shared" si="3"/>
        <v>0</v>
      </c>
      <c r="AG6">
        <f t="shared" si="3"/>
        <v>0</v>
      </c>
    </row>
    <row r="7" spans="1:40" ht="15" thickBot="1" x14ac:dyDescent="0.4">
      <c r="A7" s="5" t="s">
        <v>32</v>
      </c>
      <c r="B7" s="16">
        <v>7.35</v>
      </c>
      <c r="C7" s="16">
        <v>9.74</v>
      </c>
      <c r="D7" s="16">
        <v>11.06</v>
      </c>
      <c r="E7" s="16">
        <v>3.04</v>
      </c>
      <c r="F7" s="16">
        <v>7.97</v>
      </c>
      <c r="H7">
        <f t="shared" si="0"/>
        <v>18.546595374892934</v>
      </c>
      <c r="K7" s="5" t="s">
        <v>32</v>
      </c>
      <c r="L7" s="6">
        <f t="shared" si="1"/>
        <v>0</v>
      </c>
      <c r="M7" s="6">
        <f t="shared" si="1"/>
        <v>0</v>
      </c>
      <c r="N7" s="6">
        <f t="shared" si="1"/>
        <v>0</v>
      </c>
      <c r="O7" s="6">
        <f t="shared" si="1"/>
        <v>0</v>
      </c>
      <c r="P7" s="6">
        <f t="shared" si="1"/>
        <v>0</v>
      </c>
      <c r="Q7" s="9"/>
      <c r="R7" s="36">
        <f t="shared" si="4"/>
        <v>0</v>
      </c>
      <c r="S7" s="36">
        <f t="shared" si="5"/>
        <v>0</v>
      </c>
      <c r="V7">
        <f t="shared" si="6"/>
        <v>0</v>
      </c>
      <c r="W7">
        <f t="shared" si="2"/>
        <v>0</v>
      </c>
      <c r="X7">
        <f t="shared" si="2"/>
        <v>0</v>
      </c>
      <c r="Y7">
        <f t="shared" si="2"/>
        <v>0</v>
      </c>
      <c r="Z7">
        <f t="shared" si="2"/>
        <v>0</v>
      </c>
      <c r="AC7">
        <f t="shared" si="7"/>
        <v>0</v>
      </c>
      <c r="AD7">
        <f t="shared" si="3"/>
        <v>0</v>
      </c>
      <c r="AE7">
        <f t="shared" si="3"/>
        <v>0</v>
      </c>
      <c r="AF7">
        <f t="shared" si="3"/>
        <v>0</v>
      </c>
      <c r="AG7">
        <f t="shared" si="3"/>
        <v>0</v>
      </c>
    </row>
    <row r="8" spans="1:40" ht="15" thickBot="1" x14ac:dyDescent="0.4">
      <c r="A8" s="5" t="s">
        <v>33</v>
      </c>
      <c r="B8" s="16">
        <v>5.78</v>
      </c>
      <c r="C8" s="16">
        <v>8.19</v>
      </c>
      <c r="D8" s="16">
        <v>6.66</v>
      </c>
      <c r="E8" s="16">
        <v>2.36</v>
      </c>
      <c r="F8" s="16">
        <v>6.68</v>
      </c>
      <c r="H8">
        <f t="shared" si="0"/>
        <v>13.965389360844902</v>
      </c>
      <c r="K8" s="5" t="s">
        <v>33</v>
      </c>
      <c r="L8" s="6">
        <f t="shared" si="1"/>
        <v>0</v>
      </c>
      <c r="M8" s="6">
        <f t="shared" si="1"/>
        <v>0</v>
      </c>
      <c r="N8" s="6">
        <f t="shared" si="1"/>
        <v>0</v>
      </c>
      <c r="O8" s="6">
        <f t="shared" si="1"/>
        <v>0</v>
      </c>
      <c r="P8" s="6">
        <f t="shared" si="1"/>
        <v>0</v>
      </c>
      <c r="Q8" s="9"/>
      <c r="R8" s="36">
        <f t="shared" si="4"/>
        <v>0</v>
      </c>
      <c r="S8" s="36">
        <f t="shared" si="5"/>
        <v>0</v>
      </c>
      <c r="V8">
        <f t="shared" si="6"/>
        <v>0</v>
      </c>
      <c r="W8">
        <f t="shared" si="2"/>
        <v>0</v>
      </c>
      <c r="X8">
        <f t="shared" si="2"/>
        <v>0</v>
      </c>
      <c r="Y8">
        <f t="shared" si="2"/>
        <v>0</v>
      </c>
      <c r="Z8">
        <f t="shared" si="2"/>
        <v>0</v>
      </c>
      <c r="AC8">
        <f t="shared" si="7"/>
        <v>0</v>
      </c>
      <c r="AD8">
        <f t="shared" si="3"/>
        <v>0</v>
      </c>
      <c r="AE8">
        <f t="shared" si="3"/>
        <v>0</v>
      </c>
      <c r="AF8">
        <f t="shared" si="3"/>
        <v>0</v>
      </c>
      <c r="AG8">
        <f t="shared" si="3"/>
        <v>0</v>
      </c>
    </row>
    <row r="9" spans="1:40" ht="15" thickBot="1" x14ac:dyDescent="0.4">
      <c r="A9" s="5" t="s">
        <v>34</v>
      </c>
      <c r="B9" s="17">
        <v>0.61</v>
      </c>
      <c r="C9" s="18">
        <v>0.24</v>
      </c>
      <c r="D9" s="18">
        <v>-0.34</v>
      </c>
      <c r="E9" s="19">
        <v>0.92</v>
      </c>
      <c r="F9" s="19">
        <v>0.48</v>
      </c>
      <c r="H9">
        <f t="shared" si="0"/>
        <v>1.2736168968728392</v>
      </c>
      <c r="K9" s="5" t="s">
        <v>34</v>
      </c>
      <c r="L9" s="6">
        <f t="shared" si="1"/>
        <v>0</v>
      </c>
      <c r="M9" s="6">
        <f t="shared" si="1"/>
        <v>0</v>
      </c>
      <c r="N9" s="6">
        <f t="shared" si="1"/>
        <v>0</v>
      </c>
      <c r="O9" s="6">
        <f t="shared" si="1"/>
        <v>0</v>
      </c>
      <c r="P9" s="6">
        <f t="shared" si="1"/>
        <v>0</v>
      </c>
      <c r="Q9" s="9"/>
      <c r="R9" s="35">
        <f t="shared" si="5"/>
        <v>0</v>
      </c>
      <c r="S9" s="35">
        <f t="shared" si="4"/>
        <v>0</v>
      </c>
      <c r="T9" t="s">
        <v>53</v>
      </c>
      <c r="V9">
        <f t="shared" si="6"/>
        <v>0</v>
      </c>
      <c r="W9">
        <f t="shared" si="2"/>
        <v>0</v>
      </c>
      <c r="X9">
        <f t="shared" si="2"/>
        <v>0</v>
      </c>
      <c r="Y9">
        <f t="shared" si="2"/>
        <v>0</v>
      </c>
      <c r="Z9">
        <f t="shared" si="2"/>
        <v>0</v>
      </c>
      <c r="AC9">
        <f t="shared" si="7"/>
        <v>0</v>
      </c>
      <c r="AD9">
        <f t="shared" si="3"/>
        <v>0</v>
      </c>
      <c r="AE9">
        <f t="shared" si="3"/>
        <v>0</v>
      </c>
      <c r="AF9">
        <f t="shared" si="3"/>
        <v>0</v>
      </c>
      <c r="AG9">
        <f t="shared" si="3"/>
        <v>0</v>
      </c>
    </row>
    <row r="10" spans="1:40" x14ac:dyDescent="0.35">
      <c r="U10" s="11" t="s">
        <v>54</v>
      </c>
      <c r="V10" s="11">
        <f>SQRT(V3^2+V4^2+V5^2+V6^2+V7^2+V8^2+V9^2)</f>
        <v>0</v>
      </c>
      <c r="W10" s="11">
        <f>SQRT(W3^2+W4^2+W5^2+W6^2+W7^2+W8^2+W9^2)</f>
        <v>0</v>
      </c>
      <c r="X10" s="11">
        <f>SQRT(X3^2+X4^2+X5^2+X6^2+X7^2+X8^2+X9^2)</f>
        <v>0</v>
      </c>
      <c r="Y10" s="11">
        <f>SQRT(Y3^2+Y4^2+Y5^2+Y6^2+Y7^2+Y8^2+Y9^2)</f>
        <v>0</v>
      </c>
      <c r="Z10" s="11">
        <f>SQRT(Z3^2+Z4^2+Z5^2+Z6^2+Z7^2+Z8^2+Z9^2)</f>
        <v>0</v>
      </c>
      <c r="AA10" s="11"/>
      <c r="AB10" s="11" t="s">
        <v>55</v>
      </c>
      <c r="AC10" s="11">
        <f>SQRT(AC3^2+AC4^2+AC5^2+AC6^2+AC7^2+AC8^2+AC9^2)</f>
        <v>0</v>
      </c>
      <c r="AD10" s="11">
        <f>SQRT(AD3^2+AD4^2+AD5^2+AD6^2+AD7^2+AD8^2+AD9^2)</f>
        <v>0</v>
      </c>
      <c r="AE10" s="11">
        <f>SQRT(AE3^2+AE4^2+AE5^2+AE6^2+AE7^2+AE8^2+AE9^2)</f>
        <v>0</v>
      </c>
      <c r="AF10" s="11">
        <f>SQRT(AF3^2+AF4^2+AF5^2+AF6^2+AF7^2+AF8^2+AF9^2)</f>
        <v>0</v>
      </c>
      <c r="AG10" s="11">
        <f>SQRT(AG3^2+AG4^2+AG5^2+AG6^2+AG7^2+AG8^2+AG9^2)</f>
        <v>0</v>
      </c>
      <c r="AI10" t="s">
        <v>56</v>
      </c>
      <c r="AJ10" s="11" t="e">
        <f>AC10/(AC10+V10)</f>
        <v>#DIV/0!</v>
      </c>
      <c r="AK10" s="11" t="e">
        <f t="shared" ref="AK10:AN10" si="8">AD10/(AD10+W10)</f>
        <v>#DIV/0!</v>
      </c>
      <c r="AL10" s="11" t="e">
        <f t="shared" si="8"/>
        <v>#DIV/0!</v>
      </c>
      <c r="AM10" s="11" t="e">
        <f t="shared" si="8"/>
        <v>#DIV/0!</v>
      </c>
      <c r="AN10" s="11" t="e">
        <f t="shared" si="8"/>
        <v>#DIV/0!</v>
      </c>
    </row>
    <row r="11" spans="1:40" x14ac:dyDescent="0.35">
      <c r="D11" t="s">
        <v>57</v>
      </c>
      <c r="AI11" s="11" t="s">
        <v>58</v>
      </c>
      <c r="AJ11" s="11">
        <v>2</v>
      </c>
      <c r="AK11" s="11">
        <v>4</v>
      </c>
      <c r="AL11" s="11">
        <v>5</v>
      </c>
      <c r="AM11" s="11">
        <v>1</v>
      </c>
      <c r="AN11" s="11">
        <v>3</v>
      </c>
    </row>
    <row r="12" spans="1:40" ht="15" thickBot="1" x14ac:dyDescent="0.4">
      <c r="AJ12" s="11"/>
      <c r="AK12" s="11"/>
      <c r="AL12" s="11"/>
      <c r="AM12" s="11"/>
      <c r="AN12" s="11"/>
    </row>
    <row r="13" spans="1:40" ht="42.5" thickBot="1" x14ac:dyDescent="0.4">
      <c r="A13" t="s">
        <v>59</v>
      </c>
      <c r="C13" t="s">
        <v>60</v>
      </c>
      <c r="D13" t="s">
        <v>72</v>
      </c>
      <c r="J13" t="s">
        <v>64</v>
      </c>
      <c r="K13" s="3" t="s">
        <v>43</v>
      </c>
      <c r="L13" s="4" t="s">
        <v>44</v>
      </c>
      <c r="M13" s="3" t="s">
        <v>45</v>
      </c>
      <c r="N13" s="7" t="s">
        <v>46</v>
      </c>
      <c r="O13" s="7" t="s">
        <v>47</v>
      </c>
      <c r="P13" s="7" t="s">
        <v>13</v>
      </c>
      <c r="Q13" s="8"/>
      <c r="R13" s="8" t="s">
        <v>50</v>
      </c>
      <c r="S13" s="8" t="s">
        <v>51</v>
      </c>
      <c r="U13" s="8" t="s">
        <v>50</v>
      </c>
      <c r="V13" s="4" t="s">
        <v>44</v>
      </c>
      <c r="W13" s="3" t="s">
        <v>45</v>
      </c>
      <c r="X13" s="7" t="s">
        <v>46</v>
      </c>
      <c r="Y13" s="7" t="s">
        <v>47</v>
      </c>
      <c r="Z13" s="7" t="s">
        <v>13</v>
      </c>
      <c r="AB13" s="8" t="s">
        <v>51</v>
      </c>
      <c r="AC13" s="4" t="s">
        <v>44</v>
      </c>
      <c r="AD13" s="3" t="s">
        <v>45</v>
      </c>
      <c r="AE13" s="7" t="s">
        <v>46</v>
      </c>
      <c r="AF13" s="7" t="s">
        <v>47</v>
      </c>
      <c r="AG13" s="7" t="s">
        <v>13</v>
      </c>
      <c r="AI13" s="10" t="s">
        <v>56</v>
      </c>
      <c r="AJ13" s="4" t="s">
        <v>44</v>
      </c>
      <c r="AK13" s="3" t="s">
        <v>45</v>
      </c>
      <c r="AL13" s="7" t="s">
        <v>46</v>
      </c>
      <c r="AM13" s="7" t="s">
        <v>47</v>
      </c>
      <c r="AN13" s="7" t="s">
        <v>13</v>
      </c>
    </row>
    <row r="14" spans="1:40" ht="15" thickBot="1" x14ac:dyDescent="0.4">
      <c r="A14" s="5" t="s">
        <v>28</v>
      </c>
      <c r="B14" s="47"/>
      <c r="C14" s="47">
        <v>5.9437344970142393E-2</v>
      </c>
      <c r="K14" s="5" t="s">
        <v>28</v>
      </c>
      <c r="L14" s="6">
        <f t="shared" ref="L14:P20" si="9">B3/$H3*$C14</f>
        <v>3.2907844056744143E-2</v>
      </c>
      <c r="M14" s="6">
        <f t="shared" si="9"/>
        <v>1.1848249213716761E-3</v>
      </c>
      <c r="N14" s="6">
        <f t="shared" si="9"/>
        <v>-4.6698137126543804E-2</v>
      </c>
      <c r="O14" s="6">
        <f t="shared" si="9"/>
        <v>4.970919594927784E-3</v>
      </c>
      <c r="P14" s="6">
        <f t="shared" si="9"/>
        <v>1.558980159699574E-2</v>
      </c>
      <c r="Q14" s="9"/>
      <c r="R14" s="12">
        <f>M14</f>
        <v>1.1848249213716761E-3</v>
      </c>
      <c r="S14" s="12">
        <f>N14*-1</f>
        <v>4.6698137126543804E-2</v>
      </c>
      <c r="T14" t="s">
        <v>52</v>
      </c>
      <c r="V14">
        <f>L14-$R14</f>
        <v>3.1723019135372468E-2</v>
      </c>
      <c r="W14">
        <f t="shared" ref="W14:Z20" si="10">M14-$R14</f>
        <v>0</v>
      </c>
      <c r="X14">
        <f t="shared" si="10"/>
        <v>-4.7882962047915478E-2</v>
      </c>
      <c r="Y14">
        <f t="shared" si="10"/>
        <v>3.7860946735561079E-3</v>
      </c>
      <c r="Z14">
        <f t="shared" si="10"/>
        <v>1.4404976675624064E-2</v>
      </c>
      <c r="AC14">
        <f>L14-$S14</f>
        <v>-1.3790293069799661E-2</v>
      </c>
      <c r="AD14">
        <f t="shared" ref="AD14:AE20" si="11">M14-$S14</f>
        <v>-4.5513312205172129E-2</v>
      </c>
      <c r="AE14" s="12">
        <f>S14+N14</f>
        <v>0</v>
      </c>
      <c r="AF14">
        <f t="shared" ref="AF14:AG20" si="12">O14-$S14</f>
        <v>-4.1727217531616019E-2</v>
      </c>
      <c r="AG14">
        <f t="shared" si="12"/>
        <v>-3.1108335529548066E-2</v>
      </c>
    </row>
    <row r="15" spans="1:40" ht="15" thickBot="1" x14ac:dyDescent="0.4">
      <c r="A15" s="5" t="s">
        <v>29</v>
      </c>
      <c r="B15" s="47"/>
      <c r="C15" s="47">
        <v>0.17016485989894348</v>
      </c>
      <c r="K15" s="5" t="s">
        <v>29</v>
      </c>
      <c r="L15" s="6">
        <f t="shared" si="9"/>
        <v>6.6848698751225871E-2</v>
      </c>
      <c r="M15" s="6">
        <f t="shared" si="9"/>
        <v>9.8676385562903091E-2</v>
      </c>
      <c r="N15" s="6">
        <f t="shared" si="9"/>
        <v>8.5700753156262993E-2</v>
      </c>
      <c r="O15" s="6">
        <f t="shared" si="9"/>
        <v>2.9250154408188712E-2</v>
      </c>
      <c r="P15" s="6">
        <f t="shared" si="9"/>
        <v>8.0932758061755233E-2</v>
      </c>
      <c r="Q15" s="9"/>
      <c r="R15">
        <f t="shared" ref="R15:S20" si="13">MIN(L15:P15)</f>
        <v>2.9250154408188712E-2</v>
      </c>
      <c r="S15">
        <f t="shared" ref="R15:S20" si="14">MAX(L15:P15)</f>
        <v>9.8676385562903091E-2</v>
      </c>
      <c r="V15">
        <f t="shared" ref="V15:V20" si="15">L15-$R15</f>
        <v>3.7598544343037159E-2</v>
      </c>
      <c r="W15">
        <f t="shared" si="10"/>
        <v>6.9426231154714385E-2</v>
      </c>
      <c r="X15">
        <f t="shared" si="10"/>
        <v>5.6450598748074281E-2</v>
      </c>
      <c r="Y15">
        <f t="shared" si="10"/>
        <v>0</v>
      </c>
      <c r="Z15">
        <f t="shared" si="10"/>
        <v>5.1682603653566521E-2</v>
      </c>
      <c r="AC15">
        <f t="shared" ref="AC15:AC20" si="16">L15-$S15</f>
        <v>-3.1827686811677219E-2</v>
      </c>
      <c r="AD15">
        <f t="shared" si="11"/>
        <v>0</v>
      </c>
      <c r="AE15">
        <f t="shared" si="11"/>
        <v>-1.2975632406640097E-2</v>
      </c>
      <c r="AF15">
        <f t="shared" si="12"/>
        <v>-6.9426231154714385E-2</v>
      </c>
      <c r="AG15">
        <f t="shared" si="12"/>
        <v>-1.7743627501147857E-2</v>
      </c>
    </row>
    <row r="16" spans="1:40" ht="15" thickBot="1" x14ac:dyDescent="0.4">
      <c r="A16" s="5" t="s">
        <v>30</v>
      </c>
      <c r="B16" s="47"/>
      <c r="C16" s="47">
        <v>0.13692808911345888</v>
      </c>
      <c r="K16" s="5" t="s">
        <v>30</v>
      </c>
      <c r="L16" s="6">
        <f t="shared" si="9"/>
        <v>4.8495888251664537E-2</v>
      </c>
      <c r="M16" s="6">
        <f t="shared" si="9"/>
        <v>6.7977052915172267E-2</v>
      </c>
      <c r="N16" s="6">
        <f t="shared" si="9"/>
        <v>9.011545472810116E-2</v>
      </c>
      <c r="O16" s="6">
        <f t="shared" si="9"/>
        <v>2.2458108846685677E-2</v>
      </c>
      <c r="P16" s="6">
        <f t="shared" si="9"/>
        <v>5.613741046834312E-2</v>
      </c>
      <c r="Q16" s="9"/>
      <c r="R16">
        <f t="shared" si="13"/>
        <v>2.2458108846685677E-2</v>
      </c>
      <c r="S16">
        <f t="shared" si="14"/>
        <v>9.011545472810116E-2</v>
      </c>
      <c r="V16">
        <f t="shared" si="15"/>
        <v>2.603777940497886E-2</v>
      </c>
      <c r="W16">
        <f t="shared" si="10"/>
        <v>4.551894406848659E-2</v>
      </c>
      <c r="X16">
        <f t="shared" si="10"/>
        <v>6.7657345881415476E-2</v>
      </c>
      <c r="Y16">
        <f t="shared" si="10"/>
        <v>0</v>
      </c>
      <c r="Z16">
        <f t="shared" si="10"/>
        <v>3.3679301621657443E-2</v>
      </c>
      <c r="AC16">
        <f t="shared" si="16"/>
        <v>-4.1619566476436623E-2</v>
      </c>
      <c r="AD16">
        <f t="shared" si="11"/>
        <v>-2.2138401812928893E-2</v>
      </c>
      <c r="AE16">
        <f t="shared" si="11"/>
        <v>0</v>
      </c>
      <c r="AF16">
        <f t="shared" si="12"/>
        <v>-6.7657345881415476E-2</v>
      </c>
      <c r="AG16">
        <f t="shared" si="12"/>
        <v>-3.397804425975804E-2</v>
      </c>
    </row>
    <row r="17" spans="1:40" ht="15" thickBot="1" x14ac:dyDescent="0.4">
      <c r="A17" s="5" t="s">
        <v>31</v>
      </c>
      <c r="B17" s="47"/>
      <c r="C17" s="47">
        <v>0.1586847496554892</v>
      </c>
      <c r="K17" s="5" t="s">
        <v>31</v>
      </c>
      <c r="L17" s="6">
        <f t="shared" si="9"/>
        <v>0.10401307710157065</v>
      </c>
      <c r="M17" s="6">
        <f t="shared" si="9"/>
        <v>1.6222223034189916E-2</v>
      </c>
      <c r="N17" s="6">
        <f t="shared" si="9"/>
        <v>-0.10464924271075456</v>
      </c>
      <c r="O17" s="6">
        <f t="shared" si="9"/>
        <v>1.4949891815822078E-2</v>
      </c>
      <c r="P17" s="6">
        <f t="shared" si="9"/>
        <v>5.4074076780633057E-2</v>
      </c>
      <c r="Q17" s="9"/>
      <c r="R17" s="12">
        <f>O17</f>
        <v>1.4949891815822078E-2</v>
      </c>
      <c r="S17" s="12">
        <f>-N17</f>
        <v>0.10464924271075456</v>
      </c>
      <c r="T17" t="s">
        <v>52</v>
      </c>
      <c r="V17">
        <f t="shared" si="15"/>
        <v>8.9063185285748567E-2</v>
      </c>
      <c r="W17">
        <f t="shared" si="10"/>
        <v>1.2723312183678375E-3</v>
      </c>
      <c r="X17">
        <f t="shared" si="10"/>
        <v>-0.11959913452657664</v>
      </c>
      <c r="Y17">
        <f t="shared" si="10"/>
        <v>0</v>
      </c>
      <c r="Z17">
        <f t="shared" si="10"/>
        <v>3.912418496481098E-2</v>
      </c>
      <c r="AC17">
        <f>L17-$S17</f>
        <v>-6.3616560918390574E-4</v>
      </c>
      <c r="AD17">
        <f>M17-$S17</f>
        <v>-8.8427019676564633E-2</v>
      </c>
      <c r="AE17" s="12">
        <f>S17+N17</f>
        <v>0</v>
      </c>
      <c r="AF17">
        <f t="shared" si="12"/>
        <v>-8.9699350894932472E-2</v>
      </c>
      <c r="AG17">
        <f t="shared" si="12"/>
        <v>-5.0575165930121499E-2</v>
      </c>
    </row>
    <row r="18" spans="1:40" ht="15" thickBot="1" x14ac:dyDescent="0.4">
      <c r="A18" s="5" t="s">
        <v>32</v>
      </c>
      <c r="B18" s="47"/>
      <c r="C18" s="47">
        <v>0.11017202572347266</v>
      </c>
      <c r="K18" s="5" t="s">
        <v>32</v>
      </c>
      <c r="L18" s="6">
        <f t="shared" si="9"/>
        <v>4.3661080252159146E-2</v>
      </c>
      <c r="M18" s="6">
        <f t="shared" si="9"/>
        <v>5.7858356687895254E-2</v>
      </c>
      <c r="N18" s="6">
        <f t="shared" si="9"/>
        <v>6.5699530284201391E-2</v>
      </c>
      <c r="O18" s="6">
        <f t="shared" si="9"/>
        <v>1.8058460403614123E-2</v>
      </c>
      <c r="P18" s="6">
        <f t="shared" si="9"/>
        <v>4.7344055729212027E-2</v>
      </c>
      <c r="Q18" s="9"/>
      <c r="R18">
        <f t="shared" si="13"/>
        <v>1.8058460403614123E-2</v>
      </c>
      <c r="S18">
        <f t="shared" si="14"/>
        <v>6.5699530284201391E-2</v>
      </c>
      <c r="V18">
        <f t="shared" si="15"/>
        <v>2.5602619848545023E-2</v>
      </c>
      <c r="W18">
        <f t="shared" si="10"/>
        <v>3.9799896284281128E-2</v>
      </c>
      <c r="X18">
        <f t="shared" si="10"/>
        <v>4.7641069880587264E-2</v>
      </c>
      <c r="Y18">
        <f t="shared" si="10"/>
        <v>0</v>
      </c>
      <c r="Z18">
        <f t="shared" si="10"/>
        <v>2.9285595325597904E-2</v>
      </c>
      <c r="AC18">
        <f t="shared" si="16"/>
        <v>-2.2038450032042245E-2</v>
      </c>
      <c r="AD18">
        <f t="shared" si="11"/>
        <v>-7.8411735963061363E-3</v>
      </c>
      <c r="AE18">
        <f t="shared" si="11"/>
        <v>0</v>
      </c>
      <c r="AF18">
        <f t="shared" si="12"/>
        <v>-4.7641069880587264E-2</v>
      </c>
      <c r="AG18">
        <f t="shared" si="12"/>
        <v>-1.8355474554989364E-2</v>
      </c>
    </row>
    <row r="19" spans="1:40" ht="15" thickBot="1" x14ac:dyDescent="0.4">
      <c r="A19" s="5" t="s">
        <v>33</v>
      </c>
      <c r="B19" s="47"/>
      <c r="C19" s="47">
        <v>0.17081293063849334</v>
      </c>
      <c r="K19" s="5" t="s">
        <v>33</v>
      </c>
      <c r="L19" s="6">
        <f t="shared" si="9"/>
        <v>7.0696112623870322E-2</v>
      </c>
      <c r="M19" s="6">
        <f t="shared" si="9"/>
        <v>0.10017321148607229</v>
      </c>
      <c r="N19" s="6">
        <f t="shared" si="9"/>
        <v>8.1459534615047804E-2</v>
      </c>
      <c r="O19" s="6">
        <f t="shared" si="9"/>
        <v>2.8865540794521444E-2</v>
      </c>
      <c r="P19" s="6">
        <f t="shared" si="9"/>
        <v>8.1704157842120012E-2</v>
      </c>
      <c r="Q19" s="9"/>
      <c r="R19">
        <f t="shared" si="13"/>
        <v>2.8865540794521444E-2</v>
      </c>
      <c r="S19">
        <f t="shared" si="14"/>
        <v>0.10017321148607229</v>
      </c>
      <c r="V19">
        <f t="shared" si="15"/>
        <v>4.1830571829348878E-2</v>
      </c>
      <c r="W19">
        <f t="shared" si="10"/>
        <v>7.1307670691550848E-2</v>
      </c>
      <c r="X19">
        <f t="shared" si="10"/>
        <v>5.2593993820526361E-2</v>
      </c>
      <c r="Y19">
        <f t="shared" si="10"/>
        <v>0</v>
      </c>
      <c r="Z19">
        <f t="shared" si="10"/>
        <v>5.2838617047598568E-2</v>
      </c>
      <c r="AC19">
        <f t="shared" si="16"/>
        <v>-2.947709886220197E-2</v>
      </c>
      <c r="AD19">
        <f>M19-$S19</f>
        <v>0</v>
      </c>
      <c r="AE19">
        <f t="shared" si="11"/>
        <v>-1.8713676871024487E-2</v>
      </c>
      <c r="AF19">
        <f t="shared" si="12"/>
        <v>-7.1307670691550848E-2</v>
      </c>
      <c r="AG19">
        <f t="shared" si="12"/>
        <v>-1.846905364395228E-2</v>
      </c>
    </row>
    <row r="20" spans="1:40" ht="15" thickBot="1" x14ac:dyDescent="0.4">
      <c r="A20" s="5" t="s">
        <v>34</v>
      </c>
      <c r="B20" s="47"/>
      <c r="C20" s="47">
        <v>0.19380000000000003</v>
      </c>
      <c r="K20" s="5" t="s">
        <v>34</v>
      </c>
      <c r="L20" s="6">
        <f t="shared" si="9"/>
        <v>9.2820690656872762E-2</v>
      </c>
      <c r="M20" s="6">
        <f t="shared" si="9"/>
        <v>3.6519615996146657E-2</v>
      </c>
      <c r="N20" s="6">
        <f t="shared" si="9"/>
        <v>-5.1736122661207772E-2</v>
      </c>
      <c r="O20" s="6">
        <f t="shared" si="9"/>
        <v>0.1399918613185622</v>
      </c>
      <c r="P20" s="6">
        <f t="shared" si="9"/>
        <v>7.3039231992293313E-2</v>
      </c>
      <c r="Q20" s="9"/>
      <c r="R20" s="12">
        <f t="shared" si="14"/>
        <v>0.1399918613185622</v>
      </c>
      <c r="S20" s="12">
        <f t="shared" si="13"/>
        <v>-5.1736122661207772E-2</v>
      </c>
      <c r="T20" t="s">
        <v>53</v>
      </c>
      <c r="V20">
        <f t="shared" si="15"/>
        <v>-4.7171170661689438E-2</v>
      </c>
      <c r="W20">
        <f t="shared" si="10"/>
        <v>-0.10347224532241554</v>
      </c>
      <c r="X20">
        <f t="shared" si="10"/>
        <v>-0.19172798397976998</v>
      </c>
      <c r="Y20">
        <f t="shared" si="10"/>
        <v>0</v>
      </c>
      <c r="Z20">
        <f t="shared" si="10"/>
        <v>-6.6952629326268887E-2</v>
      </c>
      <c r="AC20">
        <f t="shared" si="16"/>
        <v>0.14455681331808054</v>
      </c>
      <c r="AD20">
        <f t="shared" si="11"/>
        <v>8.8255738657354421E-2</v>
      </c>
      <c r="AE20">
        <f t="shared" si="11"/>
        <v>0</v>
      </c>
      <c r="AF20">
        <f t="shared" si="12"/>
        <v>0.19172798397976998</v>
      </c>
      <c r="AG20">
        <f t="shared" si="12"/>
        <v>0.12477535465350109</v>
      </c>
    </row>
    <row r="21" spans="1:40" x14ac:dyDescent="0.35">
      <c r="U21" s="11" t="s">
        <v>54</v>
      </c>
      <c r="V21" s="11">
        <f>SQRT(V14^2+V15^2+V16^2+V17^2+V18^2+V19^2+V20^2)</f>
        <v>0.1251424293900279</v>
      </c>
      <c r="W21" s="11">
        <f>SQRT(W14^2+W15^2+W16^2+W17^2+W18^2+W19^2+W20^2)</f>
        <v>0.15578483836350512</v>
      </c>
      <c r="X21" s="11">
        <f>SQRT(X14^2+X15^2+X16^2+X17^2+X18^2+X19^2+X20^2)</f>
        <v>0.25720874236897423</v>
      </c>
      <c r="Y21" s="11">
        <f>SQRT(Y14^2+Y15^2+Y16^2+Y17^2+Y18^2+Y19^2+Y20^2)</f>
        <v>3.7860946735561079E-3</v>
      </c>
      <c r="Z21" s="11">
        <f>SQRT(Z14^2+Z15^2+Z16^2+Z17^2+Z18^2+Z19^2+Z20^2)</f>
        <v>0.11694362829627981</v>
      </c>
      <c r="AA21" s="11"/>
      <c r="AB21" s="11" t="s">
        <v>55</v>
      </c>
      <c r="AC21" s="11">
        <f>SQRT(AC14^2+AC15^2+AC16^2+AC17^2+AC18^2+AC19^2+AC20^2)</f>
        <v>0.1587042273064182</v>
      </c>
      <c r="AD21" s="11">
        <f>SQRT(AD14^2+AD15^2+AD16^2+AD17^2+AD18^2+AD19^2+AD20^2)</f>
        <v>0.13502395210079715</v>
      </c>
      <c r="AE21" s="11">
        <f>SQRT(AE14^2+AE15^2+AE16^2+AE17^2+AE18^2+AE19^2+AE20^2)</f>
        <v>2.2772104390797208E-2</v>
      </c>
      <c r="AF21" s="11">
        <f>SQRT(AF14^2+AF15^2+AF16^2+AF17^2+AF18^2+AF19^2+AF20^2)</f>
        <v>0.25159238370375392</v>
      </c>
      <c r="AG21" s="11">
        <f>SQRT(AG14^2+AG15^2+AG16^2+AG17^2+AG18^2+AG19^2+AG20^2)</f>
        <v>0.14574580019487648</v>
      </c>
      <c r="AI21" t="s">
        <v>56</v>
      </c>
      <c r="AJ21" s="11">
        <f>AC21/(AC21+V21)</f>
        <v>0.55911959349283835</v>
      </c>
      <c r="AK21" s="11">
        <f t="shared" ref="AK21:AN21" si="17">AD21/(AD21+W21)</f>
        <v>0.46430491968698506</v>
      </c>
      <c r="AL21" s="11">
        <f t="shared" si="17"/>
        <v>8.1334507893449162E-2</v>
      </c>
      <c r="AM21" s="11">
        <f t="shared" si="17"/>
        <v>0.98517457423345467</v>
      </c>
      <c r="AN21" s="11">
        <f t="shared" si="17"/>
        <v>0.55482171868131791</v>
      </c>
    </row>
    <row r="22" spans="1:40" ht="42.5" thickBot="1" x14ac:dyDescent="0.4">
      <c r="A22" s="45" t="s">
        <v>73</v>
      </c>
      <c r="B22" s="5" t="s">
        <v>28</v>
      </c>
      <c r="C22" s="54">
        <f>C31-D31</f>
        <v>5.9437344970142393E-2</v>
      </c>
      <c r="AI22" s="11" t="s">
        <v>58</v>
      </c>
      <c r="AJ22" s="11">
        <v>2</v>
      </c>
      <c r="AK22" s="11">
        <v>4</v>
      </c>
      <c r="AL22" s="11">
        <v>5</v>
      </c>
      <c r="AM22" s="11">
        <v>1</v>
      </c>
      <c r="AN22" s="11">
        <v>3</v>
      </c>
    </row>
    <row r="23" spans="1:40" ht="15" thickBot="1" x14ac:dyDescent="0.4">
      <c r="A23" s="47">
        <v>1.5</v>
      </c>
      <c r="B23" s="5" t="s">
        <v>29</v>
      </c>
      <c r="C23" s="54">
        <f t="shared" ref="C23:C27" si="18">C32-D32</f>
        <v>0.17016485989894348</v>
      </c>
      <c r="D23" s="54"/>
    </row>
    <row r="24" spans="1:40" ht="15" thickBot="1" x14ac:dyDescent="0.4">
      <c r="B24" s="5" t="s">
        <v>30</v>
      </c>
      <c r="C24" s="54">
        <f t="shared" si="18"/>
        <v>0.13692808911345888</v>
      </c>
    </row>
    <row r="25" spans="1:40" ht="15" thickBot="1" x14ac:dyDescent="0.4">
      <c r="B25" s="5" t="s">
        <v>31</v>
      </c>
      <c r="C25" s="54">
        <f t="shared" si="18"/>
        <v>0.1586847496554892</v>
      </c>
    </row>
    <row r="26" spans="1:40" ht="15" thickBot="1" x14ac:dyDescent="0.4">
      <c r="B26" s="5" t="s">
        <v>32</v>
      </c>
      <c r="C26" s="54">
        <f t="shared" si="18"/>
        <v>0.11017202572347266</v>
      </c>
    </row>
    <row r="27" spans="1:40" ht="15" thickBot="1" x14ac:dyDescent="0.4">
      <c r="B27" s="5" t="s">
        <v>33</v>
      </c>
      <c r="C27" s="54">
        <f t="shared" si="18"/>
        <v>0.17081293063849334</v>
      </c>
    </row>
    <row r="28" spans="1:40" ht="15" thickBot="1" x14ac:dyDescent="0.4">
      <c r="B28" s="5" t="s">
        <v>34</v>
      </c>
      <c r="C28" s="54">
        <f>1.5*C37</f>
        <v>0.19380000000000003</v>
      </c>
      <c r="U28" s="8"/>
      <c r="V28" s="4"/>
      <c r="W28" s="3"/>
      <c r="X28" s="7"/>
      <c r="Y28" s="7"/>
      <c r="Z28" s="7"/>
      <c r="AB28" s="8"/>
      <c r="AC28" s="4"/>
      <c r="AD28" s="3"/>
      <c r="AE28" s="7"/>
      <c r="AF28" s="7"/>
      <c r="AG28" s="7"/>
    </row>
    <row r="29" spans="1:40" x14ac:dyDescent="0.35">
      <c r="B29" s="53" t="s">
        <v>74</v>
      </c>
      <c r="C29" s="54">
        <f>SUM(C22:C28)</f>
        <v>1</v>
      </c>
    </row>
    <row r="31" spans="1:40" ht="15" thickBot="1" x14ac:dyDescent="0.4">
      <c r="A31" t="s">
        <v>75</v>
      </c>
      <c r="C31">
        <v>6.4199999999999993E-2</v>
      </c>
      <c r="D31" s="57">
        <f>$E$31*C31/SUM($C$31:$C$35,$C$36)</f>
        <v>4.7626550298576027E-3</v>
      </c>
      <c r="E31" s="56">
        <f>C28-C37</f>
        <v>6.4600000000000019E-2</v>
      </c>
    </row>
    <row r="32" spans="1:40" ht="15" thickBot="1" x14ac:dyDescent="0.4">
      <c r="C32">
        <v>0.18379999999999999</v>
      </c>
      <c r="D32" s="57">
        <f t="shared" ref="D32:D37" si="19">$E$31*C32/SUM($C$31:$C$35,$C$36)</f>
        <v>1.3635140101056502E-2</v>
      </c>
      <c r="T32" s="4"/>
      <c r="U32" s="3"/>
      <c r="V32" s="7"/>
      <c r="W32" s="7"/>
      <c r="X32" s="7"/>
    </row>
    <row r="33" spans="3:33" ht="15" thickBot="1" x14ac:dyDescent="0.4">
      <c r="C33">
        <v>0.1479</v>
      </c>
      <c r="D33" s="57">
        <f t="shared" si="19"/>
        <v>1.0971910886541114E-2</v>
      </c>
      <c r="F33" s="22"/>
      <c r="G33" s="23"/>
      <c r="H33" s="23"/>
      <c r="I33" s="23"/>
      <c r="J33" s="23"/>
      <c r="K33" s="23"/>
      <c r="M33" s="22"/>
      <c r="N33" s="24"/>
      <c r="O33" s="24"/>
      <c r="P33" s="24"/>
      <c r="Q33" s="27"/>
      <c r="S33" s="24"/>
      <c r="T33" s="11"/>
    </row>
    <row r="34" spans="3:33" ht="15" thickBot="1" x14ac:dyDescent="0.4">
      <c r="C34">
        <v>0.1714</v>
      </c>
      <c r="D34" s="57">
        <f t="shared" si="19"/>
        <v>1.2715250344510797E-2</v>
      </c>
      <c r="F34" s="24"/>
      <c r="G34" s="25"/>
      <c r="H34" s="26"/>
      <c r="I34" s="25"/>
      <c r="J34" s="26"/>
      <c r="K34" s="25"/>
      <c r="L34" s="29"/>
      <c r="M34" s="23"/>
      <c r="N34" s="34"/>
      <c r="O34" s="34"/>
      <c r="P34" s="34"/>
      <c r="Q34" s="28"/>
      <c r="S34" s="24"/>
      <c r="T34" s="11"/>
      <c r="U34" s="11"/>
      <c r="V34" s="11"/>
      <c r="W34" s="11"/>
      <c r="X34" s="11"/>
    </row>
    <row r="35" spans="3:33" ht="15" thickBot="1" x14ac:dyDescent="0.4">
      <c r="C35">
        <v>0.11899999999999999</v>
      </c>
      <c r="D35" s="57">
        <f t="shared" si="19"/>
        <v>8.8279742765273329E-3</v>
      </c>
      <c r="F35" s="24"/>
      <c r="G35" s="26"/>
      <c r="H35" s="26"/>
      <c r="I35" s="26"/>
      <c r="J35" s="26"/>
      <c r="K35" s="26"/>
      <c r="L35" s="30"/>
      <c r="M35" s="23"/>
      <c r="N35" s="33"/>
      <c r="O35" s="34"/>
      <c r="P35" s="33"/>
      <c r="Q35" s="28"/>
      <c r="S35" s="24"/>
      <c r="T35" s="11"/>
    </row>
    <row r="36" spans="3:33" ht="15" thickBot="1" x14ac:dyDescent="0.4">
      <c r="C36">
        <v>0.1845</v>
      </c>
      <c r="D36" s="57">
        <f t="shared" si="19"/>
        <v>1.3687069361506663E-2</v>
      </c>
      <c r="F36" s="24"/>
      <c r="G36" s="25"/>
      <c r="H36" s="26"/>
      <c r="I36" s="25"/>
      <c r="J36" s="26"/>
      <c r="K36" s="25"/>
      <c r="L36" s="30"/>
      <c r="M36" s="23"/>
      <c r="N36" s="33"/>
      <c r="O36" s="34"/>
      <c r="P36" s="33"/>
      <c r="Q36" s="28"/>
      <c r="S36" s="27"/>
      <c r="T36" s="11"/>
      <c r="AB36" s="11"/>
      <c r="AC36" s="11"/>
      <c r="AD36" s="11"/>
      <c r="AE36" s="11"/>
      <c r="AF36" s="11"/>
      <c r="AG36" s="11"/>
    </row>
    <row r="37" spans="3:33" ht="15" thickBot="1" x14ac:dyDescent="0.4">
      <c r="C37">
        <v>0.12920000000000001</v>
      </c>
      <c r="D37" s="57">
        <f t="shared" si="19"/>
        <v>9.5846577859439626E-3</v>
      </c>
      <c r="F37" s="27"/>
      <c r="G37" s="28"/>
      <c r="H37" s="28"/>
      <c r="I37" s="28"/>
      <c r="J37" s="28"/>
      <c r="K37" s="28"/>
      <c r="L37" s="30"/>
      <c r="M37" s="23"/>
      <c r="N37" s="34"/>
      <c r="O37" s="34"/>
      <c r="P37" s="34"/>
      <c r="Q37" s="28"/>
      <c r="T37" s="11"/>
    </row>
    <row r="38" spans="3:33" ht="15" thickBot="1" x14ac:dyDescent="0.4">
      <c r="L38" s="30"/>
      <c r="M38" s="23"/>
      <c r="N38" s="33"/>
      <c r="O38" s="34"/>
      <c r="P38" s="33"/>
      <c r="Q38" s="28"/>
    </row>
    <row r="39" spans="3:33" ht="15" thickBot="1" x14ac:dyDescent="0.4">
      <c r="L39" s="30"/>
      <c r="M39" s="32"/>
      <c r="N39" s="32"/>
      <c r="O39" s="32"/>
      <c r="P39" s="31"/>
      <c r="T39" s="24"/>
      <c r="U39" s="24"/>
      <c r="V39" s="24"/>
      <c r="W39" s="27"/>
    </row>
    <row r="40" spans="3:33" ht="15" thickBot="1" x14ac:dyDescent="0.4">
      <c r="I40">
        <f>0.1*25</f>
        <v>2.5</v>
      </c>
      <c r="J40">
        <f>100-I40</f>
        <v>97.5</v>
      </c>
      <c r="S40" s="38"/>
      <c r="T40" s="39"/>
      <c r="U40" s="40"/>
      <c r="V40" s="39"/>
      <c r="W40" s="41"/>
    </row>
    <row r="41" spans="3:33" ht="15" thickBot="1" x14ac:dyDescent="0.4">
      <c r="J41">
        <f>25*30/50</f>
        <v>15</v>
      </c>
      <c r="S41" s="42"/>
      <c r="T41" s="40"/>
      <c r="U41" s="40"/>
      <c r="V41" s="40"/>
      <c r="W41" s="43"/>
    </row>
    <row r="42" spans="3:33" ht="15" thickBot="1" x14ac:dyDescent="0.4">
      <c r="S42" s="44"/>
      <c r="T42" s="39"/>
      <c r="U42" s="40"/>
      <c r="V42" s="39"/>
      <c r="W42" s="41"/>
    </row>
    <row r="43" spans="3:33" ht="15" thickBot="1" x14ac:dyDescent="0.4">
      <c r="S43" s="42"/>
      <c r="T43" s="39"/>
      <c r="U43" s="40"/>
      <c r="V43" s="39"/>
      <c r="W43" s="41"/>
    </row>
    <row r="44" spans="3:33" ht="15" thickBot="1" x14ac:dyDescent="0.4">
      <c r="S44" s="44"/>
      <c r="T44" s="39"/>
      <c r="U44" s="40"/>
      <c r="V44" s="39"/>
      <c r="W44" s="41"/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7"/>
  <sheetViews>
    <sheetView tabSelected="1" zoomScale="82" workbookViewId="0">
      <selection activeCell="L19" sqref="L19"/>
    </sheetView>
  </sheetViews>
  <sheetFormatPr defaultColWidth="11.453125" defaultRowHeight="14.5" x14ac:dyDescent="0.35"/>
  <sheetData>
    <row r="1" spans="1:8" x14ac:dyDescent="0.35">
      <c r="A1" s="78" t="s">
        <v>99</v>
      </c>
    </row>
    <row r="2" spans="1:8" ht="15" thickBot="1" x14ac:dyDescent="0.4">
      <c r="B2" s="5" t="s">
        <v>28</v>
      </c>
      <c r="C2" s="5" t="s">
        <v>29</v>
      </c>
      <c r="D2" s="5" t="s">
        <v>30</v>
      </c>
      <c r="E2" s="5" t="s">
        <v>31</v>
      </c>
      <c r="F2" s="5" t="s">
        <v>32</v>
      </c>
      <c r="G2" s="5" t="s">
        <v>33</v>
      </c>
      <c r="H2" s="5" t="s">
        <v>34</v>
      </c>
    </row>
    <row r="3" spans="1:8" ht="28.5" thickBot="1" x14ac:dyDescent="0.4">
      <c r="A3" s="7" t="s">
        <v>47</v>
      </c>
      <c r="B3" s="58">
        <v>1</v>
      </c>
      <c r="C3" s="58">
        <v>1</v>
      </c>
      <c r="D3" s="58">
        <v>1</v>
      </c>
      <c r="E3" s="58">
        <v>1</v>
      </c>
      <c r="F3" s="58">
        <v>1</v>
      </c>
      <c r="G3" s="58">
        <v>1</v>
      </c>
      <c r="H3" s="58">
        <v>1</v>
      </c>
    </row>
    <row r="4" spans="1:8" ht="15" thickBot="1" x14ac:dyDescent="0.4">
      <c r="A4" s="7" t="s">
        <v>13</v>
      </c>
      <c r="B4" s="58">
        <v>2</v>
      </c>
      <c r="C4" s="58">
        <v>3</v>
      </c>
      <c r="D4" s="58">
        <v>2</v>
      </c>
      <c r="E4" s="58">
        <v>3</v>
      </c>
      <c r="F4" s="58">
        <v>2</v>
      </c>
      <c r="G4" s="58">
        <v>3</v>
      </c>
      <c r="H4" s="58">
        <v>3</v>
      </c>
    </row>
    <row r="5" spans="1:8" ht="15" thickBot="1" x14ac:dyDescent="0.4">
      <c r="A5" s="4" t="s">
        <v>44</v>
      </c>
      <c r="B5" s="58">
        <v>3</v>
      </c>
      <c r="C5" s="58">
        <v>2</v>
      </c>
      <c r="D5" s="58">
        <v>3</v>
      </c>
      <c r="E5" s="58">
        <v>4</v>
      </c>
      <c r="F5" s="58">
        <v>3</v>
      </c>
      <c r="G5" s="58">
        <v>2</v>
      </c>
      <c r="H5" s="58">
        <v>2</v>
      </c>
    </row>
    <row r="6" spans="1:8" ht="15" thickBot="1" x14ac:dyDescent="0.4">
      <c r="A6" s="3" t="s">
        <v>45</v>
      </c>
      <c r="B6" s="58">
        <v>4</v>
      </c>
      <c r="C6" s="58">
        <v>4</v>
      </c>
      <c r="D6" s="58">
        <v>4</v>
      </c>
      <c r="E6" s="58">
        <v>2</v>
      </c>
      <c r="F6" s="58">
        <v>4</v>
      </c>
      <c r="G6" s="58">
        <v>4</v>
      </c>
      <c r="H6" s="58">
        <v>4</v>
      </c>
    </row>
    <row r="7" spans="1:8" ht="19" customHeight="1" thickBot="1" x14ac:dyDescent="0.4">
      <c r="A7" s="7" t="s">
        <v>46</v>
      </c>
      <c r="B7" s="58">
        <v>5</v>
      </c>
      <c r="C7" s="58">
        <v>5</v>
      </c>
      <c r="D7" s="58">
        <v>5</v>
      </c>
      <c r="E7" s="58">
        <v>5</v>
      </c>
      <c r="F7" s="58">
        <v>5</v>
      </c>
      <c r="G7" s="58">
        <v>5</v>
      </c>
      <c r="H7" s="58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8"/>
  <sheetViews>
    <sheetView workbookViewId="0"/>
  </sheetViews>
  <sheetFormatPr defaultColWidth="11.453125" defaultRowHeight="14.5" x14ac:dyDescent="0.35"/>
  <sheetData>
    <row r="1" spans="1:7" ht="15" thickBot="1" x14ac:dyDescent="0.4">
      <c r="A1" s="78" t="s">
        <v>82</v>
      </c>
    </row>
    <row r="2" spans="1:7" ht="15" thickBot="1" x14ac:dyDescent="0.4">
      <c r="A2" t="s">
        <v>37</v>
      </c>
      <c r="B2" s="59" t="s">
        <v>38</v>
      </c>
      <c r="C2" s="60" t="s">
        <v>39</v>
      </c>
      <c r="D2" s="61" t="s">
        <v>38</v>
      </c>
      <c r="E2" s="60"/>
      <c r="F2" s="62"/>
      <c r="G2" s="60"/>
    </row>
    <row r="3" spans="1:7" ht="15" thickBot="1" x14ac:dyDescent="0.4">
      <c r="A3" s="76" t="s">
        <v>40</v>
      </c>
      <c r="B3" s="63">
        <v>1</v>
      </c>
      <c r="C3" s="64">
        <v>742</v>
      </c>
      <c r="F3" s="67"/>
      <c r="G3" s="68"/>
    </row>
    <row r="4" spans="1:7" ht="15" thickBot="1" x14ac:dyDescent="0.4">
      <c r="A4" s="76"/>
      <c r="B4" s="63">
        <v>2</v>
      </c>
      <c r="C4" s="64">
        <v>741</v>
      </c>
      <c r="F4" s="67"/>
      <c r="G4" s="68"/>
    </row>
    <row r="5" spans="1:7" ht="15" thickBot="1" x14ac:dyDescent="0.4">
      <c r="A5" s="76"/>
      <c r="B5" s="63">
        <v>3</v>
      </c>
      <c r="C5" s="64">
        <v>896</v>
      </c>
      <c r="F5" s="67"/>
      <c r="G5" s="68"/>
    </row>
    <row r="6" spans="1:7" ht="15" thickBot="1" x14ac:dyDescent="0.4">
      <c r="A6" s="76"/>
      <c r="B6" s="63">
        <v>4</v>
      </c>
      <c r="C6" s="64">
        <v>951</v>
      </c>
      <c r="F6" s="67"/>
      <c r="G6" s="68"/>
    </row>
    <row r="7" spans="1:7" ht="15" thickBot="1" x14ac:dyDescent="0.4">
      <c r="A7" s="76"/>
      <c r="B7" s="63">
        <v>5</v>
      </c>
      <c r="C7" s="64">
        <v>1030</v>
      </c>
      <c r="F7" s="67"/>
      <c r="G7" s="68"/>
    </row>
    <row r="8" spans="1:7" ht="15" thickBot="1" x14ac:dyDescent="0.4">
      <c r="A8" s="76"/>
      <c r="B8" s="63">
        <v>6</v>
      </c>
      <c r="C8" s="64">
        <v>697</v>
      </c>
      <c r="F8" s="67"/>
      <c r="G8" s="68"/>
    </row>
    <row r="9" spans="1:7" ht="15" thickBot="1" x14ac:dyDescent="0.4">
      <c r="A9" s="76"/>
      <c r="B9" s="63">
        <v>7</v>
      </c>
      <c r="C9" s="64">
        <v>700</v>
      </c>
      <c r="F9" s="67"/>
      <c r="G9" s="68"/>
    </row>
    <row r="10" spans="1:7" ht="15" thickBot="1" x14ac:dyDescent="0.4">
      <c r="A10" s="76"/>
      <c r="B10" s="63">
        <v>8</v>
      </c>
      <c r="C10" s="64">
        <v>793</v>
      </c>
      <c r="F10" s="67"/>
      <c r="G10" s="68"/>
    </row>
    <row r="11" spans="1:7" ht="15" thickBot="1" x14ac:dyDescent="0.4">
      <c r="A11" s="76"/>
      <c r="B11" s="63">
        <v>9</v>
      </c>
      <c r="C11" s="64">
        <v>861</v>
      </c>
      <c r="F11" s="67"/>
      <c r="G11" s="68"/>
    </row>
    <row r="12" spans="1:7" ht="15" thickBot="1" x14ac:dyDescent="0.4">
      <c r="A12" s="76"/>
      <c r="B12" s="63">
        <v>10</v>
      </c>
      <c r="C12" s="64">
        <v>1032</v>
      </c>
      <c r="F12" s="67"/>
      <c r="G12" s="68"/>
    </row>
    <row r="13" spans="1:7" ht="15" thickBot="1" x14ac:dyDescent="0.4">
      <c r="A13" s="76"/>
      <c r="B13" s="63">
        <v>11</v>
      </c>
      <c r="C13" s="64">
        <v>776</v>
      </c>
      <c r="F13" s="67"/>
      <c r="G13" s="68"/>
    </row>
    <row r="14" spans="1:7" ht="15" thickBot="1" x14ac:dyDescent="0.4">
      <c r="A14" s="76"/>
      <c r="B14" s="63">
        <v>12</v>
      </c>
      <c r="C14" s="64">
        <v>774</v>
      </c>
      <c r="F14" s="70"/>
      <c r="G14" s="68"/>
    </row>
    <row r="15" spans="1:7" ht="15" thickBot="1" x14ac:dyDescent="0.4">
      <c r="A15" s="76" t="s">
        <v>41</v>
      </c>
      <c r="B15" s="65">
        <v>13</v>
      </c>
      <c r="C15" s="66">
        <v>885</v>
      </c>
    </row>
    <row r="16" spans="1:7" ht="15" thickBot="1" x14ac:dyDescent="0.4">
      <c r="A16" s="76"/>
      <c r="B16" s="65">
        <v>14</v>
      </c>
      <c r="C16" s="66">
        <v>938</v>
      </c>
    </row>
    <row r="17" spans="1:3" ht="15" thickBot="1" x14ac:dyDescent="0.4">
      <c r="A17" s="76"/>
      <c r="B17" s="65">
        <v>15</v>
      </c>
      <c r="C17" s="66">
        <v>896</v>
      </c>
    </row>
    <row r="18" spans="1:3" ht="15" thickBot="1" x14ac:dyDescent="0.4">
      <c r="A18" s="76"/>
      <c r="B18" s="65">
        <v>16</v>
      </c>
      <c r="C18" s="66">
        <v>1030</v>
      </c>
    </row>
    <row r="19" spans="1:3" ht="15" thickBot="1" x14ac:dyDescent="0.4">
      <c r="A19" s="76"/>
      <c r="B19" s="65">
        <v>17</v>
      </c>
      <c r="C19" s="66">
        <v>1126</v>
      </c>
    </row>
    <row r="20" spans="1:3" ht="15" thickBot="1" x14ac:dyDescent="0.4">
      <c r="A20" s="76"/>
      <c r="B20" s="65">
        <v>18</v>
      </c>
      <c r="C20" s="66">
        <v>898</v>
      </c>
    </row>
    <row r="21" spans="1:3" ht="15" thickBot="1" x14ac:dyDescent="0.4">
      <c r="A21" s="76"/>
      <c r="B21" s="65">
        <v>19</v>
      </c>
      <c r="C21" s="66">
        <v>932</v>
      </c>
    </row>
    <row r="22" spans="1:3" ht="15" thickBot="1" x14ac:dyDescent="0.4">
      <c r="A22" s="76"/>
      <c r="B22" s="65">
        <v>20</v>
      </c>
      <c r="C22" s="66">
        <v>1055</v>
      </c>
    </row>
    <row r="23" spans="1:3" ht="15" thickBot="1" x14ac:dyDescent="0.4">
      <c r="A23" s="76"/>
      <c r="B23" s="65">
        <v>21</v>
      </c>
      <c r="C23" s="66">
        <v>1109</v>
      </c>
    </row>
    <row r="24" spans="1:3" ht="15" thickBot="1" x14ac:dyDescent="0.4">
      <c r="A24" s="76"/>
      <c r="B24" s="65">
        <v>22</v>
      </c>
      <c r="C24" s="66">
        <v>1285</v>
      </c>
    </row>
    <row r="25" spans="1:3" ht="15" thickBot="1" x14ac:dyDescent="0.4">
      <c r="A25" s="76"/>
      <c r="B25" s="65">
        <v>23</v>
      </c>
      <c r="C25" s="66">
        <v>1030</v>
      </c>
    </row>
    <row r="26" spans="1:3" ht="15" thickBot="1" x14ac:dyDescent="0.4">
      <c r="A26" s="76"/>
      <c r="B26" s="69">
        <v>24</v>
      </c>
      <c r="C26" s="66">
        <v>1099</v>
      </c>
    </row>
    <row r="27" spans="1:3" ht="15" thickBot="1" x14ac:dyDescent="0.4">
      <c r="A27" s="76" t="s">
        <v>42</v>
      </c>
      <c r="B27" s="71">
        <v>25</v>
      </c>
      <c r="C27" s="72">
        <v>1107</v>
      </c>
    </row>
    <row r="28" spans="1:3" ht="15" thickBot="1" x14ac:dyDescent="0.4">
      <c r="A28" s="76"/>
      <c r="B28" s="71">
        <v>26</v>
      </c>
      <c r="C28" s="72">
        <v>1223</v>
      </c>
    </row>
    <row r="29" spans="1:3" ht="15" thickBot="1" x14ac:dyDescent="0.4">
      <c r="A29" s="76"/>
      <c r="B29" s="71">
        <v>27</v>
      </c>
      <c r="C29" s="72">
        <v>1326</v>
      </c>
    </row>
    <row r="30" spans="1:3" ht="15" thickBot="1" x14ac:dyDescent="0.4">
      <c r="A30" s="76"/>
      <c r="B30" s="71">
        <v>28</v>
      </c>
      <c r="C30" s="72">
        <v>1422</v>
      </c>
    </row>
    <row r="31" spans="1:3" ht="15" thickBot="1" x14ac:dyDescent="0.4">
      <c r="A31" s="76"/>
      <c r="B31" s="71">
        <v>29</v>
      </c>
      <c r="C31" s="72">
        <v>1637</v>
      </c>
    </row>
    <row r="32" spans="1:3" ht="15" thickBot="1" x14ac:dyDescent="0.4">
      <c r="A32" s="76"/>
      <c r="B32" s="71">
        <v>30</v>
      </c>
      <c r="C32" s="72">
        <v>1165</v>
      </c>
    </row>
    <row r="33" spans="1:3" ht="15" thickBot="1" x14ac:dyDescent="0.4">
      <c r="A33" s="76"/>
      <c r="B33" s="71">
        <v>31</v>
      </c>
      <c r="C33" s="72">
        <v>1290</v>
      </c>
    </row>
    <row r="34" spans="1:3" ht="15" thickBot="1" x14ac:dyDescent="0.4">
      <c r="A34" s="76"/>
      <c r="B34" s="71">
        <v>32</v>
      </c>
      <c r="C34" s="72">
        <v>1303</v>
      </c>
    </row>
    <row r="35" spans="1:3" ht="15" thickBot="1" x14ac:dyDescent="0.4">
      <c r="A35" s="76"/>
      <c r="B35" s="71">
        <v>33</v>
      </c>
      <c r="C35" s="72">
        <v>1486</v>
      </c>
    </row>
    <row r="36" spans="1:3" ht="15" thickBot="1" x14ac:dyDescent="0.4">
      <c r="A36" s="76"/>
      <c r="B36" s="71">
        <v>34</v>
      </c>
      <c r="C36" s="72">
        <v>1611</v>
      </c>
    </row>
    <row r="37" spans="1:3" ht="15" thickBot="1" x14ac:dyDescent="0.4">
      <c r="A37" s="76"/>
      <c r="B37" s="71">
        <v>35</v>
      </c>
      <c r="C37" s="72">
        <v>1216</v>
      </c>
    </row>
    <row r="38" spans="1:3" ht="15" thickBot="1" x14ac:dyDescent="0.4">
      <c r="A38" s="76"/>
      <c r="B38" s="73">
        <v>36</v>
      </c>
      <c r="C38" s="72">
        <v>1290</v>
      </c>
    </row>
  </sheetData>
  <mergeCells count="3">
    <mergeCell ref="A3:A14"/>
    <mergeCell ref="A15:A26"/>
    <mergeCell ref="A27:A38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N47"/>
  <sheetViews>
    <sheetView zoomScale="95" workbookViewId="0">
      <selection activeCell="E13" sqref="E13:E19"/>
    </sheetView>
  </sheetViews>
  <sheetFormatPr defaultColWidth="8.81640625" defaultRowHeight="14.5" x14ac:dyDescent="0.35"/>
  <cols>
    <col min="2" max="6" width="8.90625" bestFit="1" customWidth="1"/>
    <col min="8" max="8" width="8.90625" bestFit="1" customWidth="1"/>
    <col min="12" max="13" width="11.81640625" bestFit="1" customWidth="1"/>
    <col min="14" max="14" width="11.7265625" bestFit="1" customWidth="1"/>
    <col min="17" max="17" width="3.1796875" customWidth="1"/>
    <col min="18" max="18" width="13.7265625" bestFit="1" customWidth="1"/>
    <col min="19" max="19" width="14.1796875" bestFit="1" customWidth="1"/>
  </cols>
  <sheetData>
    <row r="1" spans="1:40" ht="42.5" thickBot="1" x14ac:dyDescent="0.4">
      <c r="A1" s="3" t="s">
        <v>43</v>
      </c>
      <c r="B1" s="4" t="s">
        <v>44</v>
      </c>
      <c r="C1" s="3" t="s">
        <v>45</v>
      </c>
      <c r="D1" s="7" t="s">
        <v>46</v>
      </c>
      <c r="E1" s="7" t="s">
        <v>47</v>
      </c>
      <c r="F1" s="7" t="s">
        <v>13</v>
      </c>
      <c r="H1" s="10" t="s">
        <v>48</v>
      </c>
      <c r="J1" t="s">
        <v>49</v>
      </c>
      <c r="K1" s="3" t="s">
        <v>43</v>
      </c>
      <c r="L1" s="4" t="s">
        <v>44</v>
      </c>
      <c r="M1" s="3" t="s">
        <v>45</v>
      </c>
      <c r="N1" s="7" t="s">
        <v>46</v>
      </c>
      <c r="O1" s="7" t="s">
        <v>47</v>
      </c>
      <c r="P1" s="7" t="s">
        <v>13</v>
      </c>
      <c r="Q1" s="8"/>
      <c r="R1" s="8" t="s">
        <v>50</v>
      </c>
      <c r="S1" s="8" t="s">
        <v>51</v>
      </c>
      <c r="U1" s="8" t="s">
        <v>50</v>
      </c>
      <c r="V1" s="4" t="s">
        <v>44</v>
      </c>
      <c r="W1" s="3" t="s">
        <v>45</v>
      </c>
      <c r="X1" s="7" t="s">
        <v>46</v>
      </c>
      <c r="Y1" s="7" t="s">
        <v>47</v>
      </c>
      <c r="Z1" s="7" t="s">
        <v>13</v>
      </c>
      <c r="AB1" s="8" t="s">
        <v>51</v>
      </c>
      <c r="AC1" s="4" t="s">
        <v>44</v>
      </c>
      <c r="AD1" s="3" t="s">
        <v>45</v>
      </c>
      <c r="AE1" s="7" t="s">
        <v>46</v>
      </c>
      <c r="AF1" s="7" t="s">
        <v>47</v>
      </c>
      <c r="AG1" s="7" t="s">
        <v>13</v>
      </c>
      <c r="AJ1" s="4" t="s">
        <v>44</v>
      </c>
      <c r="AK1" s="3" t="s">
        <v>45</v>
      </c>
      <c r="AL1" s="7" t="s">
        <v>46</v>
      </c>
      <c r="AM1" s="7" t="s">
        <v>47</v>
      </c>
      <c r="AN1" s="7" t="s">
        <v>13</v>
      </c>
    </row>
    <row r="2" spans="1:40" ht="15" thickBot="1" x14ac:dyDescent="0.4">
      <c r="A2" s="5" t="s">
        <v>28</v>
      </c>
      <c r="B2" s="52">
        <v>36.94</v>
      </c>
      <c r="C2" s="14">
        <v>1.33</v>
      </c>
      <c r="D2" s="49">
        <v>-6.666666666666667</v>
      </c>
      <c r="E2" s="15">
        <v>5.58</v>
      </c>
      <c r="F2" s="15">
        <v>17.5</v>
      </c>
      <c r="H2">
        <f t="shared" ref="H2:H8" si="0">SQRT(B2^2+C2^2+F2^2+D2^2+E2^2)</f>
        <v>41.811043331211479</v>
      </c>
      <c r="K2" s="5" t="s">
        <v>28</v>
      </c>
      <c r="L2" s="6">
        <f t="shared" ref="L2:P8" si="1">B2/$H2*$C13</f>
        <v>4.0994336984662275E-2</v>
      </c>
      <c r="M2" s="6">
        <f t="shared" si="1"/>
        <v>1.4759736921927675E-3</v>
      </c>
      <c r="N2" s="6">
        <f t="shared" si="1"/>
        <v>-7.3983643718935716E-3</v>
      </c>
      <c r="O2" s="6">
        <f t="shared" si="1"/>
        <v>6.1924309792749195E-3</v>
      </c>
      <c r="P2" s="6">
        <f t="shared" si="1"/>
        <v>1.9420706476220625E-2</v>
      </c>
      <c r="Q2" s="9"/>
      <c r="R2" s="35">
        <f>M2</f>
        <v>1.4759736921927675E-3</v>
      </c>
      <c r="S2" s="36">
        <f t="shared" ref="R2:S8" si="2">MAX(L2:P2)</f>
        <v>4.0994336984662275E-2</v>
      </c>
      <c r="T2" t="s">
        <v>52</v>
      </c>
      <c r="V2">
        <f>L2-$R2</f>
        <v>3.9518363292469508E-2</v>
      </c>
      <c r="W2">
        <f t="shared" ref="W2:Z8" si="3">M2-$R2</f>
        <v>0</v>
      </c>
      <c r="X2">
        <f t="shared" si="3"/>
        <v>-8.8743380640863394E-3</v>
      </c>
      <c r="Y2">
        <f t="shared" si="3"/>
        <v>4.7164572870821517E-3</v>
      </c>
      <c r="Z2">
        <f t="shared" si="3"/>
        <v>1.7944732784027858E-2</v>
      </c>
      <c r="AC2">
        <f>L2-$S2</f>
        <v>0</v>
      </c>
      <c r="AD2">
        <f t="shared" ref="AD2:AG8" si="4">M2-$S2</f>
        <v>-3.9518363292469508E-2</v>
      </c>
      <c r="AE2">
        <f t="shared" si="4"/>
        <v>-4.8392701356555844E-2</v>
      </c>
      <c r="AF2">
        <f t="shared" si="4"/>
        <v>-3.4801906005387358E-2</v>
      </c>
      <c r="AG2">
        <f t="shared" si="4"/>
        <v>-2.157363050844165E-2</v>
      </c>
    </row>
    <row r="3" spans="1:40" ht="15" thickBot="1" x14ac:dyDescent="0.4">
      <c r="A3" s="5" t="s">
        <v>29</v>
      </c>
      <c r="B3" s="13">
        <v>75.989999999999995</v>
      </c>
      <c r="C3" s="21">
        <v>112.17</v>
      </c>
      <c r="D3" s="49">
        <v>51.666666666666664</v>
      </c>
      <c r="E3" s="15">
        <v>33.25</v>
      </c>
      <c r="F3" s="15">
        <v>92</v>
      </c>
      <c r="H3">
        <f t="shared" si="0"/>
        <v>174.9159682374495</v>
      </c>
      <c r="K3" s="5" t="s">
        <v>29</v>
      </c>
      <c r="L3" s="6">
        <f t="shared" si="1"/>
        <v>4.235762506223676E-2</v>
      </c>
      <c r="M3" s="6">
        <f t="shared" si="1"/>
        <v>6.2524737507976019E-2</v>
      </c>
      <c r="N3" s="6">
        <f t="shared" si="1"/>
        <v>2.8799543293620639E-2</v>
      </c>
      <c r="O3" s="6">
        <f t="shared" si="1"/>
        <v>1.8533899635733285E-2</v>
      </c>
      <c r="P3" s="6">
        <f t="shared" si="1"/>
        <v>5.1281767413156758E-2</v>
      </c>
      <c r="Q3" s="9"/>
      <c r="R3" s="36">
        <f t="shared" ref="R3:S8" si="5">MIN(L3:P3)</f>
        <v>1.8533899635733285E-2</v>
      </c>
      <c r="S3" s="36">
        <f t="shared" si="2"/>
        <v>6.2524737507976019E-2</v>
      </c>
      <c r="V3">
        <f t="shared" ref="V3:V8" si="6">L3-$R3</f>
        <v>2.3823725426503475E-2</v>
      </c>
      <c r="W3">
        <f t="shared" si="3"/>
        <v>4.3990837872242734E-2</v>
      </c>
      <c r="X3">
        <f t="shared" si="3"/>
        <v>1.0265643657887354E-2</v>
      </c>
      <c r="Y3">
        <f t="shared" si="3"/>
        <v>0</v>
      </c>
      <c r="Z3">
        <f t="shared" si="3"/>
        <v>3.2747867777423473E-2</v>
      </c>
      <c r="AC3">
        <f t="shared" ref="AC3:AC8" si="7">L3-$S3</f>
        <v>-2.0167112445739259E-2</v>
      </c>
      <c r="AD3">
        <f t="shared" si="4"/>
        <v>0</v>
      </c>
      <c r="AE3">
        <f t="shared" si="4"/>
        <v>-3.3725194214355381E-2</v>
      </c>
      <c r="AF3">
        <f t="shared" si="4"/>
        <v>-4.3990837872242734E-2</v>
      </c>
      <c r="AG3">
        <f t="shared" si="4"/>
        <v>-1.1242970094819262E-2</v>
      </c>
    </row>
    <row r="4" spans="1:40" ht="15" thickBot="1" x14ac:dyDescent="0.4">
      <c r="A4" s="5" t="s">
        <v>30</v>
      </c>
      <c r="B4" s="13">
        <v>92.53</v>
      </c>
      <c r="C4" s="21">
        <v>129.69999999999999</v>
      </c>
      <c r="D4" s="49">
        <v>66.694577490727582</v>
      </c>
      <c r="E4" s="15">
        <v>42.85</v>
      </c>
      <c r="F4" s="15">
        <v>107.11</v>
      </c>
      <c r="H4">
        <f t="shared" si="0"/>
        <v>207.70347172511745</v>
      </c>
      <c r="K4" s="5" t="s">
        <v>30</v>
      </c>
      <c r="L4" s="6">
        <f t="shared" si="1"/>
        <v>7.4218778684650238E-2</v>
      </c>
      <c r="M4" s="6">
        <f t="shared" si="1"/>
        <v>0.10403302275369215</v>
      </c>
      <c r="N4" s="6">
        <f t="shared" si="1"/>
        <v>5.3496056265541617E-2</v>
      </c>
      <c r="O4" s="6">
        <f t="shared" si="1"/>
        <v>3.4370200655325436E-2</v>
      </c>
      <c r="P4" s="6">
        <f t="shared" si="1"/>
        <v>8.5913470062821642E-2</v>
      </c>
      <c r="Q4" s="9"/>
      <c r="R4" s="36">
        <f t="shared" si="5"/>
        <v>3.4370200655325436E-2</v>
      </c>
      <c r="S4" s="36">
        <f t="shared" si="2"/>
        <v>0.10403302275369215</v>
      </c>
      <c r="V4">
        <f t="shared" si="6"/>
        <v>3.9848578029324802E-2</v>
      </c>
      <c r="W4">
        <f t="shared" si="3"/>
        <v>6.9662822098366717E-2</v>
      </c>
      <c r="X4">
        <f t="shared" si="3"/>
        <v>1.912585561021618E-2</v>
      </c>
      <c r="Y4">
        <f t="shared" si="3"/>
        <v>0</v>
      </c>
      <c r="Z4">
        <f t="shared" si="3"/>
        <v>5.1543269407496206E-2</v>
      </c>
      <c r="AC4">
        <f t="shared" si="7"/>
        <v>-2.9814244069041915E-2</v>
      </c>
      <c r="AD4">
        <f t="shared" si="4"/>
        <v>0</v>
      </c>
      <c r="AE4">
        <f t="shared" si="4"/>
        <v>-5.0536966488150536E-2</v>
      </c>
      <c r="AF4">
        <f t="shared" si="4"/>
        <v>-6.9662822098366717E-2</v>
      </c>
      <c r="AG4">
        <f t="shared" si="4"/>
        <v>-1.8119552690870511E-2</v>
      </c>
    </row>
    <row r="5" spans="1:40" ht="15" thickBot="1" x14ac:dyDescent="0.4">
      <c r="A5" s="5" t="s">
        <v>31</v>
      </c>
      <c r="B5" s="20">
        <v>3.27</v>
      </c>
      <c r="C5" s="16">
        <v>0.51</v>
      </c>
      <c r="D5" s="50">
        <v>-0.44103292124578197</v>
      </c>
      <c r="E5" s="16">
        <v>0.47</v>
      </c>
      <c r="F5" s="16">
        <v>1.7</v>
      </c>
      <c r="H5">
        <f t="shared" si="0"/>
        <v>3.7760309900241271</v>
      </c>
      <c r="K5" s="5" t="s">
        <v>31</v>
      </c>
      <c r="L5" s="6">
        <f t="shared" si="1"/>
        <v>6.9452290167333688E-2</v>
      </c>
      <c r="M5" s="6">
        <f t="shared" si="1"/>
        <v>1.0832008558208006E-2</v>
      </c>
      <c r="N5" s="6">
        <f t="shared" si="1"/>
        <v>-9.3672007399721331E-3</v>
      </c>
      <c r="O5" s="6">
        <f t="shared" si="1"/>
        <v>9.9824392595250239E-3</v>
      </c>
      <c r="P5" s="6">
        <f t="shared" si="1"/>
        <v>3.6106695194026685E-2</v>
      </c>
      <c r="Q5" s="9"/>
      <c r="R5" s="35">
        <f>-N5</f>
        <v>9.3672007399721331E-3</v>
      </c>
      <c r="S5" s="36">
        <f t="shared" ref="S5" si="8">MAX(L5:P5)</f>
        <v>6.9452290167333688E-2</v>
      </c>
      <c r="T5" t="s">
        <v>52</v>
      </c>
      <c r="V5">
        <f t="shared" si="6"/>
        <v>6.0085089427361557E-2</v>
      </c>
      <c r="W5">
        <f t="shared" si="3"/>
        <v>1.4648078182358734E-3</v>
      </c>
      <c r="X5">
        <v>0</v>
      </c>
      <c r="Y5">
        <f t="shared" si="3"/>
        <v>6.1523851955289088E-4</v>
      </c>
      <c r="Z5">
        <f t="shared" si="3"/>
        <v>2.6739494454054553E-2</v>
      </c>
      <c r="AC5">
        <f t="shared" si="7"/>
        <v>0</v>
      </c>
      <c r="AD5">
        <f t="shared" si="4"/>
        <v>-5.8620281609125684E-2</v>
      </c>
      <c r="AE5">
        <f t="shared" si="4"/>
        <v>-7.881949090730582E-2</v>
      </c>
      <c r="AF5">
        <f t="shared" si="4"/>
        <v>-5.9469850907808666E-2</v>
      </c>
      <c r="AG5">
        <f t="shared" si="4"/>
        <v>-3.3345594973307004E-2</v>
      </c>
    </row>
    <row r="6" spans="1:40" ht="15" thickBot="1" x14ac:dyDescent="0.4">
      <c r="A6" s="5" t="s">
        <v>32</v>
      </c>
      <c r="B6" s="16">
        <v>7.35</v>
      </c>
      <c r="C6" s="20">
        <v>9.74</v>
      </c>
      <c r="D6" s="50">
        <v>4.9660755161999601</v>
      </c>
      <c r="E6" s="16">
        <v>3.04</v>
      </c>
      <c r="F6" s="16">
        <v>7.97</v>
      </c>
      <c r="H6">
        <f t="shared" si="0"/>
        <v>15.694410024992997</v>
      </c>
      <c r="K6" s="5" t="s">
        <v>32</v>
      </c>
      <c r="L6" s="6">
        <f t="shared" si="1"/>
        <v>8.0831964883023119E-2</v>
      </c>
      <c r="M6" s="6">
        <f t="shared" si="1"/>
        <v>0.10711610040280888</v>
      </c>
      <c r="N6" s="6">
        <f t="shared" si="1"/>
        <v>5.4614645133594028E-2</v>
      </c>
      <c r="O6" s="6">
        <f t="shared" si="1"/>
        <v>3.343254057746807E-2</v>
      </c>
      <c r="P6" s="6">
        <f t="shared" si="1"/>
        <v>8.7650443553427798E-2</v>
      </c>
      <c r="Q6" s="9"/>
      <c r="R6" s="36">
        <f t="shared" si="5"/>
        <v>3.343254057746807E-2</v>
      </c>
      <c r="S6" s="36">
        <f t="shared" si="2"/>
        <v>0.10711610040280888</v>
      </c>
      <c r="V6">
        <f t="shared" si="6"/>
        <v>4.7399424305555049E-2</v>
      </c>
      <c r="W6">
        <f t="shared" si="3"/>
        <v>7.3683559825340805E-2</v>
      </c>
      <c r="X6">
        <f t="shared" si="3"/>
        <v>2.1182104556125958E-2</v>
      </c>
      <c r="Y6">
        <f t="shared" si="3"/>
        <v>0</v>
      </c>
      <c r="Z6">
        <f t="shared" si="3"/>
        <v>5.4217902975959728E-2</v>
      </c>
      <c r="AC6">
        <f t="shared" si="7"/>
        <v>-2.6284135519785756E-2</v>
      </c>
      <c r="AD6">
        <f t="shared" si="4"/>
        <v>0</v>
      </c>
      <c r="AE6">
        <f t="shared" si="4"/>
        <v>-5.2501455269214847E-2</v>
      </c>
      <c r="AF6">
        <f t="shared" si="4"/>
        <v>-7.3683559825340805E-2</v>
      </c>
      <c r="AG6">
        <f t="shared" si="4"/>
        <v>-1.9465656849381077E-2</v>
      </c>
    </row>
    <row r="7" spans="1:40" ht="15" thickBot="1" x14ac:dyDescent="0.4">
      <c r="A7" s="5" t="s">
        <v>33</v>
      </c>
      <c r="B7" s="16">
        <v>5.78</v>
      </c>
      <c r="C7" s="20">
        <v>8.19</v>
      </c>
      <c r="D7" s="50">
        <v>3.8055723016525498</v>
      </c>
      <c r="E7" s="16">
        <v>2.36</v>
      </c>
      <c r="F7" s="16">
        <v>6.68</v>
      </c>
      <c r="H7">
        <f t="shared" si="0"/>
        <v>12.85141550737136</v>
      </c>
      <c r="K7" s="5" t="s">
        <v>33</v>
      </c>
      <c r="L7" s="6">
        <f t="shared" si="1"/>
        <v>0.13829994049920349</v>
      </c>
      <c r="M7" s="6">
        <f t="shared" si="1"/>
        <v>0.1959647945827814</v>
      </c>
      <c r="N7" s="6">
        <f t="shared" si="1"/>
        <v>9.1057166588921198E-2</v>
      </c>
      <c r="O7" s="6">
        <f t="shared" si="1"/>
        <v>5.6468487816283774E-2</v>
      </c>
      <c r="P7" s="6">
        <f t="shared" si="1"/>
        <v>0.15983453331049813</v>
      </c>
      <c r="Q7" s="9"/>
      <c r="R7" s="36">
        <f t="shared" si="5"/>
        <v>5.6468487816283774E-2</v>
      </c>
      <c r="S7" s="36">
        <f t="shared" si="2"/>
        <v>0.1959647945827814</v>
      </c>
      <c r="V7">
        <f t="shared" si="6"/>
        <v>8.183145268291972E-2</v>
      </c>
      <c r="W7">
        <f t="shared" si="3"/>
        <v>0.13949630676649763</v>
      </c>
      <c r="X7">
        <f t="shared" si="3"/>
        <v>3.4588678772637424E-2</v>
      </c>
      <c r="Y7">
        <f t="shared" si="3"/>
        <v>0</v>
      </c>
      <c r="Z7">
        <f t="shared" si="3"/>
        <v>0.10336604549421435</v>
      </c>
      <c r="AC7">
        <f t="shared" si="7"/>
        <v>-5.766485408357791E-2</v>
      </c>
      <c r="AD7">
        <f t="shared" si="4"/>
        <v>0</v>
      </c>
      <c r="AE7">
        <f t="shared" si="4"/>
        <v>-0.10490762799386021</v>
      </c>
      <c r="AF7">
        <f t="shared" si="4"/>
        <v>-0.13949630676649763</v>
      </c>
      <c r="AG7">
        <f t="shared" si="4"/>
        <v>-3.6130261272283276E-2</v>
      </c>
    </row>
    <row r="8" spans="1:40" ht="15" thickBot="1" x14ac:dyDescent="0.4">
      <c r="A8" s="5" t="s">
        <v>34</v>
      </c>
      <c r="B8" s="17">
        <v>0.61</v>
      </c>
      <c r="C8" s="51">
        <v>0.24</v>
      </c>
      <c r="D8">
        <v>0.82</v>
      </c>
      <c r="E8" s="19">
        <v>0.92</v>
      </c>
      <c r="F8" s="19">
        <v>0.48</v>
      </c>
      <c r="H8">
        <f t="shared" si="0"/>
        <v>1.4761097520171051</v>
      </c>
      <c r="K8" s="5" t="s">
        <v>34</v>
      </c>
      <c r="L8" s="6">
        <f t="shared" si="1"/>
        <v>5.3391693871206625E-2</v>
      </c>
      <c r="M8" s="6">
        <f t="shared" si="1"/>
        <v>2.1006568080474738E-2</v>
      </c>
      <c r="N8" s="6">
        <f t="shared" si="1"/>
        <v>7.1772440941622023E-2</v>
      </c>
      <c r="O8" s="6">
        <f t="shared" si="1"/>
        <v>8.0525177641819837E-2</v>
      </c>
      <c r="P8" s="6">
        <f t="shared" si="1"/>
        <v>4.2013136160949476E-2</v>
      </c>
      <c r="Q8" s="9"/>
      <c r="R8" s="35">
        <f t="shared" si="2"/>
        <v>8.0525177641819837E-2</v>
      </c>
      <c r="S8" s="35">
        <f t="shared" si="5"/>
        <v>2.1006568080474738E-2</v>
      </c>
      <c r="T8" t="s">
        <v>53</v>
      </c>
      <c r="V8">
        <f t="shared" si="6"/>
        <v>-2.7133483770613212E-2</v>
      </c>
      <c r="W8">
        <f t="shared" si="3"/>
        <v>-5.9518609561345096E-2</v>
      </c>
      <c r="X8">
        <f t="shared" si="3"/>
        <v>-8.7527367001978135E-3</v>
      </c>
      <c r="Y8">
        <f t="shared" si="3"/>
        <v>0</v>
      </c>
      <c r="Z8">
        <f t="shared" si="3"/>
        <v>-3.8512041480870361E-2</v>
      </c>
      <c r="AC8">
        <f t="shared" si="7"/>
        <v>3.2385125790731883E-2</v>
      </c>
      <c r="AD8">
        <f t="shared" si="4"/>
        <v>0</v>
      </c>
      <c r="AE8">
        <f t="shared" si="4"/>
        <v>5.0765872861147282E-2</v>
      </c>
      <c r="AF8">
        <f t="shared" si="4"/>
        <v>5.9518609561345096E-2</v>
      </c>
      <c r="AG8">
        <f t="shared" si="4"/>
        <v>2.1006568080474738E-2</v>
      </c>
    </row>
    <row r="9" spans="1:40" x14ac:dyDescent="0.35">
      <c r="U9" s="11" t="s">
        <v>54</v>
      </c>
      <c r="V9" s="11">
        <f>SQRT(V2^2+V3^2+V4^2+V5^2+V6^2+V7^2+V8^2)</f>
        <v>0.13040980057952453</v>
      </c>
      <c r="W9" s="11">
        <f>SQRT(W2^2+W3^2+W4^2+W5^2+W6^2+W7^2+W8^2)</f>
        <v>0.18767311937381506</v>
      </c>
      <c r="X9" s="11">
        <f>SQRT(X2^2+X3^2+X4^2+X5^2+X6^2+X7^2+X8^2)</f>
        <v>4.7661350390180851E-2</v>
      </c>
      <c r="Y9" s="11">
        <f>SQRT(Y2^2+Y3^2+Y4^2+Y5^2+Y6^2+Y7^2+Y8^2)</f>
        <v>4.7564154335814658E-3</v>
      </c>
      <c r="Z9" s="11">
        <f>SQRT(Z2^2+Z3^2+Z4^2+Z5^2+Z6^2+Z7^2+Z8^2)</f>
        <v>0.14097320017214895</v>
      </c>
      <c r="AA9" s="11"/>
      <c r="AB9" s="11" t="s">
        <v>55</v>
      </c>
      <c r="AC9" s="11">
        <f>SQRT(AC2^2+AC3^2+AC4^2+AC5^2+AC6^2+AC7^2+AC8^2)</f>
        <v>7.9752674706192864E-2</v>
      </c>
      <c r="AD9" s="11">
        <f>SQRT(AD2^2+AD3^2+AD4^2+AD5^2+AD6^2+AD7^2+AD8^2)</f>
        <v>7.0696806527938735E-2</v>
      </c>
      <c r="AE9" s="11">
        <f>SQRT(AE2^2+AE3^2+AE4^2+AE5^2+AE6^2+AE7^2+AE8^2)</f>
        <v>0.16907077353028763</v>
      </c>
      <c r="AF9" s="11">
        <f>SQRT(AF2^2+AF3^2+AF4^2+AF5^2+AF6^2+AF7^2+AF8^2)</f>
        <v>0.19991720761895079</v>
      </c>
      <c r="AG9" s="11">
        <f>SQRT(AG2^2+AG3^2+AG4^2+AG5^2+AG6^2+AG7^2+AG8^2)</f>
        <v>6.4479890527278066E-2</v>
      </c>
      <c r="AI9" t="s">
        <v>56</v>
      </c>
      <c r="AJ9" s="11">
        <f>AC9/(AC9+V9)</f>
        <v>0.37948104007515387</v>
      </c>
      <c r="AK9" s="11">
        <f t="shared" ref="AK9:AN9" si="9">AD9/(AD9+W9)</f>
        <v>0.27362629873115141</v>
      </c>
      <c r="AL9" s="11">
        <f t="shared" si="9"/>
        <v>0.78009097346514933</v>
      </c>
      <c r="AM9" s="11">
        <f t="shared" si="9"/>
        <v>0.97676097504581394</v>
      </c>
      <c r="AN9" s="11">
        <f t="shared" si="9"/>
        <v>0.31384239734612029</v>
      </c>
    </row>
    <row r="10" spans="1:40" x14ac:dyDescent="0.35">
      <c r="D10" t="s">
        <v>57</v>
      </c>
      <c r="AI10" s="11" t="s">
        <v>58</v>
      </c>
      <c r="AJ10" s="11">
        <v>3</v>
      </c>
      <c r="AK10" s="11">
        <v>5</v>
      </c>
      <c r="AL10" s="11">
        <v>2</v>
      </c>
      <c r="AM10" s="11">
        <v>1</v>
      </c>
      <c r="AN10" s="11">
        <v>4</v>
      </c>
    </row>
    <row r="11" spans="1:40" ht="15" thickBot="1" x14ac:dyDescent="0.4">
      <c r="AJ11" s="11"/>
      <c r="AK11" s="11"/>
      <c r="AL11" s="11"/>
      <c r="AM11" s="11"/>
      <c r="AN11" s="11"/>
    </row>
    <row r="12" spans="1:40" ht="42.5" thickBot="1" x14ac:dyDescent="0.4">
      <c r="A12" t="s">
        <v>59</v>
      </c>
      <c r="B12" t="s">
        <v>60</v>
      </c>
      <c r="C12" t="s">
        <v>61</v>
      </c>
      <c r="D12" t="s">
        <v>62</v>
      </c>
      <c r="E12" t="s">
        <v>63</v>
      </c>
      <c r="J12" t="s">
        <v>64</v>
      </c>
      <c r="K12" s="3" t="s">
        <v>43</v>
      </c>
      <c r="L12" s="4" t="s">
        <v>44</v>
      </c>
      <c r="M12" s="3" t="s">
        <v>45</v>
      </c>
      <c r="N12" s="7" t="s">
        <v>46</v>
      </c>
      <c r="O12" s="7" t="s">
        <v>47</v>
      </c>
      <c r="P12" s="7" t="s">
        <v>13</v>
      </c>
      <c r="Q12" s="8"/>
      <c r="R12" s="8" t="s">
        <v>50</v>
      </c>
      <c r="S12" s="8" t="s">
        <v>51</v>
      </c>
      <c r="U12" s="8" t="s">
        <v>50</v>
      </c>
      <c r="V12" s="4" t="s">
        <v>44</v>
      </c>
      <c r="W12" s="3" t="s">
        <v>45</v>
      </c>
      <c r="X12" s="7" t="s">
        <v>46</v>
      </c>
      <c r="Y12" s="7" t="s">
        <v>47</v>
      </c>
      <c r="Z12" s="7" t="s">
        <v>13</v>
      </c>
      <c r="AB12" s="8" t="s">
        <v>51</v>
      </c>
      <c r="AC12" s="4" t="s">
        <v>44</v>
      </c>
      <c r="AD12" s="3" t="s">
        <v>45</v>
      </c>
      <c r="AE12" s="7" t="s">
        <v>46</v>
      </c>
      <c r="AF12" s="7" t="s">
        <v>47</v>
      </c>
      <c r="AG12" s="7" t="s">
        <v>13</v>
      </c>
      <c r="AI12" s="10" t="s">
        <v>56</v>
      </c>
      <c r="AJ12" s="4" t="s">
        <v>44</v>
      </c>
      <c r="AK12" s="3" t="s">
        <v>45</v>
      </c>
      <c r="AL12" s="7" t="s">
        <v>46</v>
      </c>
      <c r="AM12" s="7" t="s">
        <v>47</v>
      </c>
      <c r="AN12" s="7" t="s">
        <v>13</v>
      </c>
    </row>
    <row r="13" spans="1:40" ht="15" thickBot="1" x14ac:dyDescent="0.4">
      <c r="A13" s="5" t="s">
        <v>28</v>
      </c>
      <c r="B13" s="37">
        <v>6.4199999999999993E-2</v>
      </c>
      <c r="C13" s="37">
        <v>4.6399999999999997E-2</v>
      </c>
      <c r="D13" s="46">
        <f>(C13-B13)/B13</f>
        <v>-0.27725856697819312</v>
      </c>
      <c r="E13" s="37">
        <f>ABS(C13-B13)</f>
        <v>1.7799999999999996E-2</v>
      </c>
      <c r="F13" s="46">
        <f>(C13-B13)/SUM($E$13:$E19)</f>
        <v>-4.5570916538658468E-2</v>
      </c>
      <c r="K13" s="5" t="s">
        <v>28</v>
      </c>
      <c r="L13" s="6">
        <f t="shared" ref="L13:P15" si="10">B2/$H2*$B13</f>
        <v>5.6720612810674954E-2</v>
      </c>
      <c r="M13" s="6">
        <f t="shared" si="10"/>
        <v>2.0421877379046484E-3</v>
      </c>
      <c r="N13" s="6">
        <f t="shared" si="10"/>
        <v>-1.0236530014559639E-2</v>
      </c>
      <c r="O13" s="6">
        <f t="shared" si="10"/>
        <v>8.5679756221864189E-3</v>
      </c>
      <c r="P13" s="6">
        <f t="shared" si="10"/>
        <v>2.6870891288219054E-2</v>
      </c>
      <c r="Q13" s="9"/>
      <c r="R13" s="12">
        <f>M13</f>
        <v>2.0421877379046484E-3</v>
      </c>
      <c r="S13">
        <f t="shared" ref="S13" si="11">MAX(L13:P13)</f>
        <v>5.6720612810674954E-2</v>
      </c>
      <c r="T13" t="s">
        <v>52</v>
      </c>
      <c r="V13">
        <f>L13-$R13</f>
        <v>5.4678425072770306E-2</v>
      </c>
      <c r="W13">
        <f t="shared" ref="W13:Z19" si="12">M13-$R13</f>
        <v>0</v>
      </c>
      <c r="X13">
        <f>N13-$R13</f>
        <v>-1.2278717752464287E-2</v>
      </c>
      <c r="Y13">
        <f t="shared" si="12"/>
        <v>6.525787884281771E-3</v>
      </c>
      <c r="Z13">
        <f t="shared" si="12"/>
        <v>2.4828703550314406E-2</v>
      </c>
      <c r="AC13">
        <f>L13-$S13</f>
        <v>0</v>
      </c>
      <c r="AD13">
        <f t="shared" ref="AD13:AE19" si="13">M13-$S13</f>
        <v>-5.4678425072770306E-2</v>
      </c>
      <c r="AE13">
        <f t="shared" si="13"/>
        <v>-6.69571428252346E-2</v>
      </c>
      <c r="AF13">
        <f t="shared" ref="AF13:AG19" si="14">O13-$S13</f>
        <v>-4.8152637188488535E-2</v>
      </c>
      <c r="AG13">
        <f t="shared" si="14"/>
        <v>-2.9849721522455901E-2</v>
      </c>
    </row>
    <row r="14" spans="1:40" ht="15" thickBot="1" x14ac:dyDescent="0.4">
      <c r="A14" s="5" t="s">
        <v>29</v>
      </c>
      <c r="B14" s="37">
        <v>0.18379999999999999</v>
      </c>
      <c r="C14" s="37">
        <v>9.7500000000000003E-2</v>
      </c>
      <c r="D14" s="46">
        <f t="shared" ref="D14:D19" si="15">(C14-B14)/B14</f>
        <v>-0.46953210010881391</v>
      </c>
      <c r="E14" s="37">
        <f t="shared" ref="E14:E19" si="16">ABS(C14-B14)</f>
        <v>8.6299999999999988E-2</v>
      </c>
      <c r="F14" s="46">
        <f>(C14-B14)/SUM($E$13:$E20)</f>
        <v>-0.22094214029697901</v>
      </c>
      <c r="K14" s="5" t="s">
        <v>29</v>
      </c>
      <c r="L14" s="6">
        <f t="shared" si="10"/>
        <v>7.9849553707067852E-2</v>
      </c>
      <c r="M14" s="6">
        <f t="shared" si="10"/>
        <v>0.11786714619452299</v>
      </c>
      <c r="N14" s="6">
        <f t="shared" si="10"/>
        <v>5.4290831357615109E-2</v>
      </c>
      <c r="O14" s="6">
        <f t="shared" si="10"/>
        <v>3.4938776954336177E-2</v>
      </c>
      <c r="P14" s="6">
        <f t="shared" si="10"/>
        <v>9.6672706159366267E-2</v>
      </c>
      <c r="Q14" s="9"/>
      <c r="R14">
        <f t="shared" ref="R14:S19" si="17">MIN(L14:P14)</f>
        <v>3.4938776954336177E-2</v>
      </c>
      <c r="S14">
        <f t="shared" ref="R14:S19" si="18">MAX(L14:P14)</f>
        <v>0.11786714619452299</v>
      </c>
      <c r="V14">
        <f t="shared" ref="V14:V19" si="19">L14-$R14</f>
        <v>4.4910776752731675E-2</v>
      </c>
      <c r="W14">
        <f t="shared" si="12"/>
        <v>8.2928369240186817E-2</v>
      </c>
      <c r="X14">
        <f>N14-$R14</f>
        <v>1.9352054403278932E-2</v>
      </c>
      <c r="Y14">
        <f t="shared" si="12"/>
        <v>0</v>
      </c>
      <c r="Z14">
        <f t="shared" si="12"/>
        <v>6.173392920503009E-2</v>
      </c>
      <c r="AC14">
        <f t="shared" ref="AC14:AC19" si="20">L14-$S14</f>
        <v>-3.8017592487455135E-2</v>
      </c>
      <c r="AD14">
        <f t="shared" si="13"/>
        <v>0</v>
      </c>
      <c r="AE14">
        <f t="shared" si="13"/>
        <v>-6.3576314836907871E-2</v>
      </c>
      <c r="AF14">
        <f t="shared" si="14"/>
        <v>-8.2928369240186817E-2</v>
      </c>
      <c r="AG14">
        <f t="shared" si="14"/>
        <v>-2.119444003515672E-2</v>
      </c>
    </row>
    <row r="15" spans="1:40" ht="15" thickBot="1" x14ac:dyDescent="0.4">
      <c r="A15" s="5" t="s">
        <v>30</v>
      </c>
      <c r="B15" s="37">
        <v>0.1479</v>
      </c>
      <c r="C15" s="37">
        <v>0.1666</v>
      </c>
      <c r="D15" s="46">
        <f t="shared" si="15"/>
        <v>0.12643678160919536</v>
      </c>
      <c r="E15" s="37">
        <f t="shared" si="16"/>
        <v>1.8699999999999994E-2</v>
      </c>
      <c r="F15" s="46">
        <f>(C15-B15)/SUM($E$13:$E21)</f>
        <v>2.3937532002048127E-2</v>
      </c>
      <c r="K15" s="5" t="s">
        <v>30</v>
      </c>
      <c r="L15" s="6">
        <f t="shared" si="10"/>
        <v>6.5888099444536427E-2</v>
      </c>
      <c r="M15" s="6">
        <f t="shared" si="10"/>
        <v>9.2355846730318547E-2</v>
      </c>
      <c r="N15" s="6">
        <f t="shared" si="10"/>
        <v>4.7491396888797152E-2</v>
      </c>
      <c r="O15" s="6">
        <f t="shared" si="10"/>
        <v>3.0512320989931768E-2</v>
      </c>
      <c r="P15" s="6">
        <f t="shared" si="10"/>
        <v>7.6270121382300854E-2</v>
      </c>
      <c r="Q15" s="9"/>
      <c r="R15">
        <f t="shared" si="17"/>
        <v>3.0512320989931768E-2</v>
      </c>
      <c r="S15">
        <f t="shared" si="18"/>
        <v>9.2355846730318547E-2</v>
      </c>
      <c r="V15">
        <f t="shared" si="19"/>
        <v>3.5375778454604656E-2</v>
      </c>
      <c r="W15">
        <f t="shared" si="12"/>
        <v>6.1843525740386776E-2</v>
      </c>
      <c r="X15">
        <f t="shared" si="12"/>
        <v>1.6979075898865385E-2</v>
      </c>
      <c r="Y15">
        <f t="shared" si="12"/>
        <v>0</v>
      </c>
      <c r="Z15">
        <f t="shared" si="12"/>
        <v>4.5757800392369083E-2</v>
      </c>
      <c r="AC15">
        <f t="shared" si="20"/>
        <v>-2.646774728578212E-2</v>
      </c>
      <c r="AD15">
        <f t="shared" si="13"/>
        <v>0</v>
      </c>
      <c r="AE15">
        <f t="shared" si="13"/>
        <v>-4.4864449841521395E-2</v>
      </c>
      <c r="AF15">
        <f t="shared" si="14"/>
        <v>-6.1843525740386776E-2</v>
      </c>
      <c r="AG15">
        <f t="shared" si="14"/>
        <v>-1.6085725348017693E-2</v>
      </c>
    </row>
    <row r="16" spans="1:40" ht="15" thickBot="1" x14ac:dyDescent="0.4">
      <c r="A16" s="5" t="s">
        <v>31</v>
      </c>
      <c r="B16" s="37">
        <v>0.1714</v>
      </c>
      <c r="C16" s="37">
        <v>8.0199999999999994E-2</v>
      </c>
      <c r="D16" s="46">
        <f t="shared" si="15"/>
        <v>-0.5320886814469078</v>
      </c>
      <c r="E16" s="37">
        <f t="shared" si="16"/>
        <v>9.1200000000000003E-2</v>
      </c>
      <c r="F16" s="46">
        <f>(C16-B16)/SUM($E$13:$E22)</f>
        <v>-0.11674347158218128</v>
      </c>
      <c r="K16" s="5" t="s">
        <v>31</v>
      </c>
      <c r="L16" s="6">
        <f t="shared" ref="L16:M19" si="21">B5/$H5*$B16</f>
        <v>0.14843045554465081</v>
      </c>
      <c r="M16" s="6">
        <f t="shared" si="21"/>
        <v>2.314970407577123E-2</v>
      </c>
      <c r="N16" s="6">
        <f>(D5/$H5*$B16)</f>
        <v>-2.0019179636299549E-2</v>
      </c>
      <c r="O16" s="6">
        <f t="shared" ref="O16:P19" si="22">E5/$H5*$B16</f>
        <v>2.1334041011004855E-2</v>
      </c>
      <c r="P16" s="6">
        <f t="shared" si="22"/>
        <v>7.7165680252570756E-2</v>
      </c>
      <c r="Q16" s="9"/>
      <c r="R16" s="12">
        <f>-MIN(L16:P16)</f>
        <v>2.0019179636299549E-2</v>
      </c>
      <c r="S16">
        <f t="shared" ref="S16" si="23">MAX(L16:P16)</f>
        <v>0.14843045554465081</v>
      </c>
      <c r="T16" t="s">
        <v>52</v>
      </c>
      <c r="V16">
        <f t="shared" si="19"/>
        <v>0.12841127590835127</v>
      </c>
      <c r="W16">
        <f t="shared" si="12"/>
        <v>3.1305244394716804E-3</v>
      </c>
      <c r="X16">
        <v>0</v>
      </c>
      <c r="Y16">
        <f t="shared" si="12"/>
        <v>1.3148613747053055E-3</v>
      </c>
      <c r="Z16">
        <f t="shared" si="12"/>
        <v>5.7146500616271204E-2</v>
      </c>
      <c r="AC16">
        <f>L16-$S16</f>
        <v>0</v>
      </c>
      <c r="AD16">
        <f>M16-$S16</f>
        <v>-0.12528075146887957</v>
      </c>
      <c r="AE16">
        <f t="shared" si="13"/>
        <v>-0.16844963518095035</v>
      </c>
      <c r="AF16">
        <f t="shared" si="14"/>
        <v>-0.12709641453364595</v>
      </c>
      <c r="AG16">
        <f t="shared" si="14"/>
        <v>-7.1264775292080057E-2</v>
      </c>
    </row>
    <row r="17" spans="1:40" ht="15" thickBot="1" x14ac:dyDescent="0.4">
      <c r="A17" s="5" t="s">
        <v>32</v>
      </c>
      <c r="B17" s="37">
        <v>0.11899999999999999</v>
      </c>
      <c r="C17" s="37">
        <v>0.1726</v>
      </c>
      <c r="D17" s="46">
        <f t="shared" si="15"/>
        <v>0.45042016806722701</v>
      </c>
      <c r="E17" s="37">
        <f t="shared" si="16"/>
        <v>5.3600000000000009E-2</v>
      </c>
      <c r="F17" s="46">
        <f>(C17-B17)/SUM($E$13:$E23)</f>
        <v>6.8612391193036373E-2</v>
      </c>
      <c r="K17" s="5" t="s">
        <v>32</v>
      </c>
      <c r="L17" s="6">
        <f t="shared" si="21"/>
        <v>5.5730033725838651E-2</v>
      </c>
      <c r="M17" s="6">
        <f t="shared" si="21"/>
        <v>7.3851772583628364E-2</v>
      </c>
      <c r="N17" s="6">
        <f>D6/$H6*$B17</f>
        <v>3.7654361360936785E-2</v>
      </c>
      <c r="O17" s="6">
        <f t="shared" si="22"/>
        <v>2.3050245241707415E-2</v>
      </c>
      <c r="P17" s="6">
        <f t="shared" si="22"/>
        <v>6.043107058434477E-2</v>
      </c>
      <c r="Q17" s="9"/>
      <c r="R17">
        <f t="shared" si="17"/>
        <v>2.3050245241707415E-2</v>
      </c>
      <c r="S17">
        <f t="shared" si="18"/>
        <v>7.3851772583628364E-2</v>
      </c>
      <c r="V17">
        <f t="shared" si="19"/>
        <v>3.2679788484131236E-2</v>
      </c>
      <c r="W17">
        <f t="shared" si="12"/>
        <v>5.0801527341920949E-2</v>
      </c>
      <c r="X17">
        <f t="shared" si="12"/>
        <v>1.460411611922937E-2</v>
      </c>
      <c r="Y17">
        <f t="shared" si="12"/>
        <v>0</v>
      </c>
      <c r="Z17">
        <f t="shared" si="12"/>
        <v>3.7380825342637355E-2</v>
      </c>
      <c r="AC17">
        <f t="shared" si="20"/>
        <v>-1.8121738857789713E-2</v>
      </c>
      <c r="AD17">
        <f t="shared" si="13"/>
        <v>0</v>
      </c>
      <c r="AE17">
        <f t="shared" si="13"/>
        <v>-3.6197411222691579E-2</v>
      </c>
      <c r="AF17">
        <f t="shared" si="14"/>
        <v>-5.0801527341920949E-2</v>
      </c>
      <c r="AG17">
        <f t="shared" si="14"/>
        <v>-1.3420701999283594E-2</v>
      </c>
    </row>
    <row r="18" spans="1:40" ht="15" thickBot="1" x14ac:dyDescent="0.4">
      <c r="A18" s="5" t="s">
        <v>33</v>
      </c>
      <c r="B18" s="37">
        <v>0.1845</v>
      </c>
      <c r="C18" s="37">
        <v>0.3075</v>
      </c>
      <c r="D18" s="46">
        <f t="shared" si="15"/>
        <v>0.66666666666666663</v>
      </c>
      <c r="E18" s="37">
        <f t="shared" si="16"/>
        <v>0.123</v>
      </c>
      <c r="F18" s="46">
        <f>(C18-B18)/SUM($E$13:$E24)</f>
        <v>0.15745007680491555</v>
      </c>
      <c r="K18" s="5" t="s">
        <v>33</v>
      </c>
      <c r="L18" s="6">
        <f t="shared" si="21"/>
        <v>8.2979964299522091E-2</v>
      </c>
      <c r="M18" s="6">
        <f t="shared" si="21"/>
        <v>0.11757887674966884</v>
      </c>
      <c r="N18" s="6">
        <f>D7/$H7*$B18</f>
        <v>5.4634299953352713E-2</v>
      </c>
      <c r="O18" s="6">
        <f t="shared" si="22"/>
        <v>3.3881092689770263E-2</v>
      </c>
      <c r="P18" s="6">
        <f t="shared" si="22"/>
        <v>9.5900719986298885E-2</v>
      </c>
      <c r="Q18" s="9"/>
      <c r="R18">
        <f t="shared" si="17"/>
        <v>3.3881092689770263E-2</v>
      </c>
      <c r="S18">
        <f t="shared" si="18"/>
        <v>0.11757887674966884</v>
      </c>
      <c r="V18">
        <f t="shared" si="19"/>
        <v>4.9098871609751828E-2</v>
      </c>
      <c r="W18">
        <f t="shared" si="12"/>
        <v>8.3697784059898583E-2</v>
      </c>
      <c r="X18">
        <f t="shared" si="12"/>
        <v>2.075320726358245E-2</v>
      </c>
      <c r="Y18">
        <f t="shared" si="12"/>
        <v>0</v>
      </c>
      <c r="Z18">
        <f t="shared" si="12"/>
        <v>6.2019627296528622E-2</v>
      </c>
      <c r="AC18">
        <f t="shared" si="20"/>
        <v>-3.4598912450146749E-2</v>
      </c>
      <c r="AD18">
        <f>M18-$S18</f>
        <v>0</v>
      </c>
      <c r="AE18">
        <f t="shared" si="13"/>
        <v>-6.2944576796316126E-2</v>
      </c>
      <c r="AF18">
        <f t="shared" si="14"/>
        <v>-8.3697784059898583E-2</v>
      </c>
      <c r="AG18">
        <f t="shared" si="14"/>
        <v>-2.1678156763369955E-2</v>
      </c>
    </row>
    <row r="19" spans="1:40" ht="15" thickBot="1" x14ac:dyDescent="0.4">
      <c r="A19" s="5" t="s">
        <v>34</v>
      </c>
      <c r="B19" s="37">
        <v>0.12920000000000001</v>
      </c>
      <c r="C19" s="37">
        <v>0.12920000000000001</v>
      </c>
      <c r="D19" s="46">
        <f t="shared" si="15"/>
        <v>0</v>
      </c>
      <c r="E19" s="37">
        <f t="shared" si="16"/>
        <v>0</v>
      </c>
      <c r="F19" s="46">
        <f>(C19-B19)/SUM($E$13:$E25)</f>
        <v>0</v>
      </c>
      <c r="K19" s="5" t="s">
        <v>34</v>
      </c>
      <c r="L19" s="6">
        <f t="shared" si="21"/>
        <v>5.3391693871206625E-2</v>
      </c>
      <c r="M19" s="6">
        <f t="shared" si="21"/>
        <v>2.1006568080474738E-2</v>
      </c>
      <c r="N19" s="6">
        <f>D8/$H8*$B19</f>
        <v>7.1772440941622023E-2</v>
      </c>
      <c r="O19" s="6">
        <f t="shared" si="22"/>
        <v>8.0525177641819837E-2</v>
      </c>
      <c r="P19" s="6">
        <f t="shared" si="22"/>
        <v>4.2013136160949476E-2</v>
      </c>
      <c r="Q19" s="9"/>
      <c r="R19" s="12">
        <f t="shared" si="18"/>
        <v>8.0525177641819837E-2</v>
      </c>
      <c r="S19" s="12">
        <f t="shared" si="17"/>
        <v>2.1006568080474738E-2</v>
      </c>
      <c r="T19" t="s">
        <v>53</v>
      </c>
      <c r="V19">
        <f t="shared" si="19"/>
        <v>-2.7133483770613212E-2</v>
      </c>
      <c r="W19">
        <f t="shared" si="12"/>
        <v>-5.9518609561345096E-2</v>
      </c>
      <c r="X19">
        <f t="shared" si="12"/>
        <v>-8.7527367001978135E-3</v>
      </c>
      <c r="Y19">
        <f t="shared" si="12"/>
        <v>0</v>
      </c>
      <c r="Z19">
        <f t="shared" si="12"/>
        <v>-3.8512041480870361E-2</v>
      </c>
      <c r="AC19">
        <f t="shared" si="20"/>
        <v>3.2385125790731883E-2</v>
      </c>
      <c r="AD19">
        <f t="shared" si="13"/>
        <v>0</v>
      </c>
      <c r="AE19">
        <f t="shared" si="13"/>
        <v>5.0765872861147282E-2</v>
      </c>
      <c r="AF19">
        <f t="shared" si="14"/>
        <v>5.9518609561345096E-2</v>
      </c>
      <c r="AG19">
        <f t="shared" si="14"/>
        <v>2.1006568080474738E-2</v>
      </c>
    </row>
    <row r="20" spans="1:40" x14ac:dyDescent="0.35">
      <c r="U20" s="11" t="s">
        <v>54</v>
      </c>
      <c r="V20" s="11">
        <f>SQRT(V13^2+V14^2+V15^2+V16^2+V17^2+V18^2+V19^2)</f>
        <v>0.1642026285687925</v>
      </c>
      <c r="W20" s="11">
        <f>SQRT(W13^2+W14^2+W15^2+W16^2+W17^2+W18^2+W19^2)</f>
        <v>0.15440244624043353</v>
      </c>
      <c r="X20" s="11">
        <f>SQRT(X13^2+X14^2+X15^2+X16^2+X17^2+X18^2+X19^2)</f>
        <v>3.9168152327416682E-2</v>
      </c>
      <c r="Y20" s="11">
        <f>SQRT(Y13^2+Y14^2+Y15^2+Y16^2+Y17^2+Y18^2+Y19^2)</f>
        <v>6.6569338246170572E-3</v>
      </c>
      <c r="Z20" s="11">
        <f>SQRT(Z13^2+Z14^2+Z15^2+Z16^2+Z17^2+Z18^2+Z19^2)</f>
        <v>0.12850672736022731</v>
      </c>
      <c r="AA20" s="11"/>
      <c r="AB20" s="11" t="s">
        <v>55</v>
      </c>
      <c r="AC20" s="11">
        <f>SQRT(AC13^2+AC14^2+AC15^2+AC16^2+AC17^2+AC18^2+AC19^2)</f>
        <v>6.8703402531247348E-2</v>
      </c>
      <c r="AD20" s="11">
        <f>SQRT(AD13^2+AD14^2+AD15^2+AD16^2+AD17^2+AD18^2+AD19^2)</f>
        <v>0.13669307538074388</v>
      </c>
      <c r="AE20" s="11">
        <f>SQRT(AE13^2+AE14^2+AE15^2+AE16^2+AE17^2+AE18^2+AE19^2)</f>
        <v>0.2162469685576755</v>
      </c>
      <c r="AF20" s="11">
        <f>SQRT(AF13^2+AF14^2+AF15^2+AF16^2+AF17^2+AF18^2+AF19^2)</f>
        <v>0.20567569199416447</v>
      </c>
      <c r="AG20" s="11">
        <f>SQRT(AG13^2+AG14^2+AG15^2+AG16^2+AG17^2+AG18^2+AG19^2)</f>
        <v>8.8141718533875785E-2</v>
      </c>
      <c r="AI20" t="s">
        <v>56</v>
      </c>
      <c r="AJ20" s="11">
        <f>AC20/(AC20+V20)</f>
        <v>0.29498335533328141</v>
      </c>
      <c r="AK20" s="11">
        <f t="shared" ref="AK20:AN20" si="24">AD20/(AD20+W20)</f>
        <v>0.46958151269201581</v>
      </c>
      <c r="AL20" s="11">
        <f t="shared" si="24"/>
        <v>0.84664904649463613</v>
      </c>
      <c r="AM20" s="11">
        <f t="shared" si="24"/>
        <v>0.96864855884041812</v>
      </c>
      <c r="AN20" s="11">
        <f t="shared" si="24"/>
        <v>0.40684214544035596</v>
      </c>
    </row>
    <row r="21" spans="1:40" x14ac:dyDescent="0.35">
      <c r="B21" s="37">
        <f>SUM(B13:B19)</f>
        <v>1</v>
      </c>
      <c r="E21" s="37">
        <f>SUM(E13:E19)</f>
        <v>0.39059999999999995</v>
      </c>
      <c r="F21" s="46">
        <f>E21/B21</f>
        <v>0.39059999999999995</v>
      </c>
      <c r="AI21" s="11" t="s">
        <v>58</v>
      </c>
      <c r="AJ21" s="11">
        <v>5</v>
      </c>
      <c r="AK21" s="11">
        <v>3</v>
      </c>
      <c r="AL21" s="11">
        <v>2</v>
      </c>
      <c r="AM21" s="11">
        <v>1</v>
      </c>
      <c r="AN21" s="11">
        <v>4</v>
      </c>
    </row>
    <row r="22" spans="1:40" ht="15" thickBot="1" x14ac:dyDescent="0.4"/>
    <row r="23" spans="1:40" ht="28.5" thickBot="1" x14ac:dyDescent="0.4">
      <c r="A23" s="3" t="s">
        <v>43</v>
      </c>
      <c r="B23" s="4" t="s">
        <v>65</v>
      </c>
      <c r="C23" s="3" t="s">
        <v>66</v>
      </c>
      <c r="D23" s="7"/>
      <c r="E23" s="7"/>
      <c r="F23" s="7"/>
    </row>
    <row r="24" spans="1:40" ht="15" thickBot="1" x14ac:dyDescent="0.4">
      <c r="A24" s="5" t="s">
        <v>28</v>
      </c>
      <c r="B24" s="13">
        <v>-52.42</v>
      </c>
      <c r="C24" s="49">
        <v>-6.666666666666667</v>
      </c>
      <c r="D24" s="46">
        <f>(B24-C24)/B24</f>
        <v>0.8728220780872441</v>
      </c>
      <c r="E24" s="15"/>
      <c r="F24" s="15"/>
    </row>
    <row r="25" spans="1:40" ht="15" thickBot="1" x14ac:dyDescent="0.4">
      <c r="A25" s="5" t="s">
        <v>29</v>
      </c>
      <c r="B25" s="13">
        <v>97.42</v>
      </c>
      <c r="C25" s="49">
        <v>51.666666666666664</v>
      </c>
      <c r="D25" s="46">
        <f t="shared" ref="D25:D30" si="25">(B25-C25)/B25</f>
        <v>0.46965031136659141</v>
      </c>
      <c r="E25" s="15"/>
      <c r="F25" s="15"/>
    </row>
    <row r="26" spans="1:40" ht="15" thickBot="1" x14ac:dyDescent="0.4">
      <c r="A26" s="5" t="s">
        <v>30</v>
      </c>
      <c r="B26" s="13">
        <v>171.94</v>
      </c>
      <c r="C26" s="49">
        <v>66.694577490727582</v>
      </c>
      <c r="D26" s="46">
        <f t="shared" si="25"/>
        <v>0.61210551651315814</v>
      </c>
      <c r="E26" s="15"/>
      <c r="F26" s="15"/>
    </row>
    <row r="27" spans="1:40" ht="15" thickBot="1" x14ac:dyDescent="0.4">
      <c r="A27" s="5" t="s">
        <v>31</v>
      </c>
      <c r="B27" s="46">
        <v>-3.2899999999999999E-2</v>
      </c>
      <c r="C27" s="48">
        <v>-4.4103292124578215E-3</v>
      </c>
      <c r="D27" s="46">
        <f t="shared" si="25"/>
        <v>0.86594744035082616</v>
      </c>
      <c r="E27" s="16"/>
      <c r="F27" s="16"/>
      <c r="H27">
        <v>100</v>
      </c>
      <c r="U27" s="8"/>
      <c r="V27" s="4"/>
      <c r="W27" s="3"/>
      <c r="X27" s="7"/>
      <c r="Y27" s="7"/>
      <c r="Z27" s="7"/>
      <c r="AB27" s="8"/>
      <c r="AC27" s="4"/>
      <c r="AD27" s="3"/>
      <c r="AE27" s="7"/>
      <c r="AF27" s="7"/>
      <c r="AG27" s="7"/>
    </row>
    <row r="28" spans="1:40" ht="15" thickBot="1" x14ac:dyDescent="0.4">
      <c r="A28" s="5" t="s">
        <v>32</v>
      </c>
      <c r="B28" s="46">
        <v>0.1106</v>
      </c>
      <c r="C28" s="48">
        <v>4.9660755161999602E-2</v>
      </c>
      <c r="D28" s="46">
        <f t="shared" si="25"/>
        <v>0.5509877471790271</v>
      </c>
      <c r="E28" s="16"/>
      <c r="F28" s="16"/>
    </row>
    <row r="29" spans="1:40" ht="15" thickBot="1" x14ac:dyDescent="0.4">
      <c r="A29" s="5" t="s">
        <v>33</v>
      </c>
      <c r="B29" s="46">
        <v>6.6600000000000006E-2</v>
      </c>
      <c r="C29" s="48">
        <v>3.8055723016525544E-2</v>
      </c>
      <c r="D29" s="46">
        <f t="shared" si="25"/>
        <v>0.42859274749961651</v>
      </c>
      <c r="E29" s="16"/>
      <c r="F29" s="16"/>
    </row>
    <row r="30" spans="1:40" ht="15" thickBot="1" x14ac:dyDescent="0.4">
      <c r="A30" s="5" t="s">
        <v>34</v>
      </c>
      <c r="B30" s="17">
        <v>-0.34</v>
      </c>
      <c r="C30">
        <v>0.82</v>
      </c>
      <c r="D30" s="46">
        <f t="shared" si="25"/>
        <v>3.4117647058823524</v>
      </c>
      <c r="E30" s="19"/>
      <c r="F30" s="19"/>
    </row>
    <row r="31" spans="1:40" ht="42.5" thickBot="1" x14ac:dyDescent="0.4">
      <c r="T31" s="4" t="s">
        <v>44</v>
      </c>
      <c r="U31" s="3" t="s">
        <v>45</v>
      </c>
      <c r="V31" s="7" t="s">
        <v>46</v>
      </c>
      <c r="W31" s="7" t="s">
        <v>47</v>
      </c>
      <c r="X31" s="7" t="s">
        <v>13</v>
      </c>
    </row>
    <row r="32" spans="1:40" ht="26.5" thickBot="1" x14ac:dyDescent="0.4">
      <c r="F32" s="22"/>
      <c r="G32" s="23" t="s">
        <v>44</v>
      </c>
      <c r="H32" s="23" t="s">
        <v>45</v>
      </c>
      <c r="I32" s="23" t="s">
        <v>67</v>
      </c>
      <c r="J32" s="23" t="s">
        <v>68</v>
      </c>
      <c r="K32" s="23" t="s">
        <v>13</v>
      </c>
      <c r="M32" s="22"/>
      <c r="N32" s="24" t="s">
        <v>54</v>
      </c>
      <c r="O32" s="24" t="s">
        <v>55</v>
      </c>
      <c r="P32" s="24" t="s">
        <v>56</v>
      </c>
      <c r="Q32" s="27" t="s">
        <v>69</v>
      </c>
      <c r="S32" s="24" t="s">
        <v>54</v>
      </c>
      <c r="T32" s="11">
        <v>0.11124586369320787</v>
      </c>
      <c r="U32">
        <v>0.17255415967803592</v>
      </c>
      <c r="V32">
        <v>0.20915567981757824</v>
      </c>
      <c r="W32">
        <v>2.9556298812009759E-3</v>
      </c>
      <c r="X32">
        <v>0.12735292995175834</v>
      </c>
    </row>
    <row r="33" spans="6:33" ht="15" thickBot="1" x14ac:dyDescent="0.4">
      <c r="F33" s="24" t="s">
        <v>54</v>
      </c>
      <c r="G33" s="25">
        <v>0.12908858470929355</v>
      </c>
      <c r="H33" s="26">
        <v>0.14346226529222086</v>
      </c>
      <c r="I33" s="25">
        <v>0.22502029129599593</v>
      </c>
      <c r="J33" s="26">
        <v>4.0894706545927303E-3</v>
      </c>
      <c r="K33" s="25">
        <v>0.11277300969318611</v>
      </c>
      <c r="L33" s="29"/>
      <c r="M33" s="23" t="s">
        <v>68</v>
      </c>
      <c r="N33" s="34">
        <v>4.0894706545927303E-3</v>
      </c>
      <c r="O33" s="34">
        <v>0.21748613599161448</v>
      </c>
      <c r="P33" s="34">
        <v>0.98154367840173651</v>
      </c>
      <c r="Q33" s="28">
        <v>1</v>
      </c>
      <c r="S33" s="24" t="s">
        <v>55</v>
      </c>
      <c r="T33" s="11">
        <v>0.12770355431935884</v>
      </c>
      <c r="U33" s="11">
        <v>8.7166297379895785E-2</v>
      </c>
      <c r="V33" s="11">
        <v>3.4499265292097001E-2</v>
      </c>
      <c r="W33" s="11">
        <v>0.22329776577454299</v>
      </c>
      <c r="X33" s="11">
        <v>0.10912120861008093</v>
      </c>
    </row>
    <row r="34" spans="6:33" ht="15" thickBot="1" x14ac:dyDescent="0.4">
      <c r="F34" s="24" t="s">
        <v>55</v>
      </c>
      <c r="G34" s="26">
        <v>0.11955283663427795</v>
      </c>
      <c r="H34" s="26">
        <v>0.12507888487645324</v>
      </c>
      <c r="I34" s="26">
        <v>2.4596810349176636E-2</v>
      </c>
      <c r="J34" s="26">
        <v>0.21748613599161448</v>
      </c>
      <c r="K34" s="26">
        <v>0.11635297577141399</v>
      </c>
      <c r="L34" s="30"/>
      <c r="M34" s="23" t="s">
        <v>13</v>
      </c>
      <c r="N34" s="33">
        <v>0.11277300969318611</v>
      </c>
      <c r="O34" s="34">
        <v>0.11635297577141399</v>
      </c>
      <c r="P34" s="33">
        <v>0.50781222188956165</v>
      </c>
      <c r="Q34" s="28">
        <v>2</v>
      </c>
      <c r="S34" s="24" t="s">
        <v>56</v>
      </c>
      <c r="T34" s="11">
        <v>0.53443760349582747</v>
      </c>
      <c r="U34">
        <v>0.33561583237339287</v>
      </c>
      <c r="V34">
        <v>0.14159066329053166</v>
      </c>
      <c r="W34">
        <v>0.98693663857448521</v>
      </c>
      <c r="X34">
        <v>0.46145091921561282</v>
      </c>
    </row>
    <row r="35" spans="6:33" ht="15" thickBot="1" x14ac:dyDescent="0.4">
      <c r="F35" s="24" t="s">
        <v>56</v>
      </c>
      <c r="G35" s="25">
        <v>0.48082429704695273</v>
      </c>
      <c r="H35" s="26">
        <v>0.46577176271826354</v>
      </c>
      <c r="I35" s="25">
        <v>9.8538161796865503E-2</v>
      </c>
      <c r="J35" s="26">
        <v>0.98154367840173651</v>
      </c>
      <c r="K35" s="25">
        <v>0.50781222188956165</v>
      </c>
      <c r="L35" s="30"/>
      <c r="M35" s="23" t="s">
        <v>44</v>
      </c>
      <c r="N35" s="33">
        <v>0.12908858470929355</v>
      </c>
      <c r="O35" s="34">
        <v>0.11955283663427795</v>
      </c>
      <c r="P35" s="33">
        <v>0.48082429704695273</v>
      </c>
      <c r="Q35" s="28">
        <v>3</v>
      </c>
      <c r="S35" s="27" t="s">
        <v>69</v>
      </c>
      <c r="T35" s="11">
        <v>2</v>
      </c>
      <c r="U35">
        <v>4</v>
      </c>
      <c r="V35">
        <v>5</v>
      </c>
      <c r="W35">
        <v>1</v>
      </c>
      <c r="X35">
        <v>3</v>
      </c>
      <c r="AB35" s="11"/>
      <c r="AC35" s="11"/>
      <c r="AD35" s="11"/>
      <c r="AE35" s="11"/>
      <c r="AF35" s="11"/>
      <c r="AG35" s="11"/>
    </row>
    <row r="36" spans="6:33" ht="15" thickBot="1" x14ac:dyDescent="0.4">
      <c r="F36" s="27" t="s">
        <v>69</v>
      </c>
      <c r="G36" s="28">
        <v>3</v>
      </c>
      <c r="H36" s="28">
        <v>4</v>
      </c>
      <c r="I36" s="28">
        <v>5</v>
      </c>
      <c r="J36" s="28">
        <v>1</v>
      </c>
      <c r="K36" s="28">
        <v>2</v>
      </c>
      <c r="L36" s="30"/>
      <c r="M36" s="23" t="s">
        <v>45</v>
      </c>
      <c r="N36" s="34">
        <v>0.14346226529222086</v>
      </c>
      <c r="O36" s="34">
        <v>0.12507888487645324</v>
      </c>
      <c r="P36" s="34">
        <v>0.46577176271826354</v>
      </c>
      <c r="Q36" s="28">
        <v>4</v>
      </c>
      <c r="T36" s="11"/>
    </row>
    <row r="37" spans="6:33" ht="15" thickBot="1" x14ac:dyDescent="0.4">
      <c r="L37" s="30"/>
      <c r="M37" s="23" t="s">
        <v>67</v>
      </c>
      <c r="N37" s="33">
        <v>0.22502029129599593</v>
      </c>
      <c r="O37" s="34">
        <v>2.4596810349176636E-2</v>
      </c>
      <c r="P37" s="33">
        <v>9.8538161796865503E-2</v>
      </c>
      <c r="Q37" s="28">
        <v>5</v>
      </c>
    </row>
    <row r="38" spans="6:33" ht="26.5" thickBot="1" x14ac:dyDescent="0.4">
      <c r="L38" s="30"/>
      <c r="M38" s="32"/>
      <c r="N38" s="32"/>
      <c r="O38" s="32"/>
      <c r="P38" s="31"/>
      <c r="T38" s="27" t="s">
        <v>70</v>
      </c>
      <c r="U38" s="24" t="s">
        <v>71</v>
      </c>
      <c r="V38" s="24"/>
      <c r="W38" s="27" t="s">
        <v>69</v>
      </c>
    </row>
    <row r="39" spans="6:33" ht="15" thickBot="1" x14ac:dyDescent="0.4">
      <c r="S39" s="44" t="s">
        <v>46</v>
      </c>
      <c r="T39" s="41">
        <v>1</v>
      </c>
      <c r="U39" s="41">
        <v>1</v>
      </c>
      <c r="V39" s="44"/>
      <c r="W39" s="41"/>
    </row>
    <row r="40" spans="6:33" ht="15" thickBot="1" x14ac:dyDescent="0.4">
      <c r="S40" s="38" t="s">
        <v>47</v>
      </c>
      <c r="T40" s="43">
        <v>2</v>
      </c>
      <c r="U40" s="43">
        <v>2</v>
      </c>
      <c r="V40" s="38"/>
      <c r="W40" s="43"/>
    </row>
    <row r="41" spans="6:33" ht="15" thickBot="1" x14ac:dyDescent="0.4">
      <c r="S41" s="42" t="s">
        <v>45</v>
      </c>
      <c r="T41" s="41">
        <v>3</v>
      </c>
      <c r="U41" s="41">
        <v>5</v>
      </c>
      <c r="V41" s="42"/>
      <c r="W41" s="41"/>
    </row>
    <row r="42" spans="6:33" ht="15" thickBot="1" x14ac:dyDescent="0.4">
      <c r="S42" s="44" t="s">
        <v>13</v>
      </c>
      <c r="T42" s="41">
        <v>4</v>
      </c>
      <c r="U42" s="41">
        <v>4</v>
      </c>
      <c r="V42" s="44"/>
      <c r="W42" s="41"/>
    </row>
    <row r="43" spans="6:33" ht="15" thickBot="1" x14ac:dyDescent="0.4">
      <c r="S43" s="42" t="s">
        <v>44</v>
      </c>
      <c r="T43" s="41">
        <v>5</v>
      </c>
      <c r="U43" s="41">
        <v>3</v>
      </c>
      <c r="V43" s="42"/>
      <c r="W43" s="41"/>
    </row>
    <row r="44" spans="6:33" x14ac:dyDescent="0.35">
      <c r="U44" s="43"/>
    </row>
    <row r="45" spans="6:33" x14ac:dyDescent="0.35">
      <c r="U45" s="41"/>
    </row>
    <row r="46" spans="6:33" x14ac:dyDescent="0.35">
      <c r="U46" s="41"/>
    </row>
    <row r="47" spans="6:33" x14ac:dyDescent="0.35">
      <c r="U47" s="41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9BADAA-F02B-4B5A-83EB-C21951789C2C}">
  <dimension ref="A1:J20"/>
  <sheetViews>
    <sheetView workbookViewId="0">
      <selection activeCell="K13" sqref="K13"/>
    </sheetView>
  </sheetViews>
  <sheetFormatPr defaultRowHeight="14.5" x14ac:dyDescent="0.35"/>
  <sheetData>
    <row r="1" spans="1:10" x14ac:dyDescent="0.35">
      <c r="A1" s="78" t="s">
        <v>84</v>
      </c>
    </row>
    <row r="2" spans="1:10" ht="15" thickBot="1" x14ac:dyDescent="0.4"/>
    <row r="3" spans="1:10" ht="28.5" thickBot="1" x14ac:dyDescent="0.4">
      <c r="A3" s="79" t="s">
        <v>85</v>
      </c>
      <c r="B3" s="80" t="s">
        <v>28</v>
      </c>
      <c r="C3" s="80" t="s">
        <v>29</v>
      </c>
      <c r="D3" s="80" t="s">
        <v>30</v>
      </c>
      <c r="E3" s="80" t="s">
        <v>31</v>
      </c>
      <c r="F3" s="80" t="s">
        <v>32</v>
      </c>
      <c r="G3" s="80" t="s">
        <v>33</v>
      </c>
      <c r="H3" s="80" t="s">
        <v>86</v>
      </c>
      <c r="I3" s="81" t="s">
        <v>87</v>
      </c>
      <c r="J3" s="78" t="s">
        <v>88</v>
      </c>
    </row>
    <row r="4" spans="1:10" ht="15" thickBot="1" x14ac:dyDescent="0.4">
      <c r="A4" s="82" t="s">
        <v>28</v>
      </c>
      <c r="B4" s="85">
        <v>1</v>
      </c>
      <c r="C4" s="86">
        <v>0.2</v>
      </c>
      <c r="D4" s="86">
        <v>0.25</v>
      </c>
      <c r="E4" s="86">
        <v>0.33333333333333331</v>
      </c>
      <c r="F4" s="86">
        <v>0.2</v>
      </c>
      <c r="G4" s="86">
        <v>0.2</v>
      </c>
      <c r="H4" s="83">
        <v>1</v>
      </c>
      <c r="I4" s="84">
        <v>4.5999999999999999E-2</v>
      </c>
    </row>
    <row r="5" spans="1:10" ht="15" thickBot="1" x14ac:dyDescent="0.4">
      <c r="A5" s="82" t="s">
        <v>29</v>
      </c>
      <c r="B5" s="87">
        <v>5</v>
      </c>
      <c r="C5" s="88">
        <v>1</v>
      </c>
      <c r="D5" s="88">
        <v>0.33333333333333331</v>
      </c>
      <c r="E5" s="88">
        <v>1</v>
      </c>
      <c r="F5" s="88">
        <v>0.33333333333333331</v>
      </c>
      <c r="G5" s="88">
        <v>0.33333333333333331</v>
      </c>
      <c r="H5" s="83">
        <v>1</v>
      </c>
      <c r="I5" s="84">
        <v>9.8000000000000004E-2</v>
      </c>
    </row>
    <row r="6" spans="1:10" ht="15" thickBot="1" x14ac:dyDescent="0.4">
      <c r="A6" s="82" t="s">
        <v>30</v>
      </c>
      <c r="B6" s="87">
        <v>4</v>
      </c>
      <c r="C6" s="88">
        <v>3</v>
      </c>
      <c r="D6" s="88">
        <v>1</v>
      </c>
      <c r="E6" s="88">
        <v>3</v>
      </c>
      <c r="F6" s="88">
        <v>1</v>
      </c>
      <c r="G6" s="88">
        <v>0.33333333333333331</v>
      </c>
      <c r="H6" s="83">
        <v>1</v>
      </c>
      <c r="I6" s="84">
        <v>0.16700000000000001</v>
      </c>
    </row>
    <row r="7" spans="1:10" ht="15" thickBot="1" x14ac:dyDescent="0.4">
      <c r="A7" s="82" t="s">
        <v>31</v>
      </c>
      <c r="B7" s="87">
        <v>3</v>
      </c>
      <c r="C7" s="88">
        <v>1</v>
      </c>
      <c r="D7" s="88">
        <v>0.33333333333333331</v>
      </c>
      <c r="E7" s="88">
        <v>1</v>
      </c>
      <c r="F7" s="88">
        <v>0.33333333333333331</v>
      </c>
      <c r="G7" s="88">
        <v>0.2</v>
      </c>
      <c r="H7" s="83">
        <v>1</v>
      </c>
      <c r="I7" s="84">
        <v>0.08</v>
      </c>
    </row>
    <row r="8" spans="1:10" ht="15" thickBot="1" x14ac:dyDescent="0.4">
      <c r="A8" s="82" t="s">
        <v>32</v>
      </c>
      <c r="B8" s="87">
        <v>5</v>
      </c>
      <c r="C8" s="88">
        <v>3</v>
      </c>
      <c r="D8" s="88">
        <v>1</v>
      </c>
      <c r="E8" s="88">
        <v>3</v>
      </c>
      <c r="F8" s="88">
        <v>1</v>
      </c>
      <c r="G8" s="88">
        <v>0.33333333333333331</v>
      </c>
      <c r="H8" s="83">
        <v>1</v>
      </c>
      <c r="I8" s="84">
        <v>0.17299999999999999</v>
      </c>
    </row>
    <row r="9" spans="1:10" ht="15" thickBot="1" x14ac:dyDescent="0.4">
      <c r="A9" s="82" t="s">
        <v>33</v>
      </c>
      <c r="B9" s="87">
        <v>5</v>
      </c>
      <c r="C9" s="88">
        <v>3</v>
      </c>
      <c r="D9" s="88">
        <v>3</v>
      </c>
      <c r="E9" s="88">
        <v>5</v>
      </c>
      <c r="F9" s="88">
        <v>3</v>
      </c>
      <c r="G9" s="88">
        <v>1</v>
      </c>
      <c r="H9" s="83">
        <v>1</v>
      </c>
      <c r="I9" s="84">
        <v>0.308</v>
      </c>
    </row>
    <row r="10" spans="1:10" ht="16.5" thickBot="1" x14ac:dyDescent="0.4">
      <c r="A10" s="82" t="s">
        <v>86</v>
      </c>
      <c r="B10" s="87">
        <v>1</v>
      </c>
      <c r="C10" s="88">
        <v>1</v>
      </c>
      <c r="D10" s="88">
        <v>1</v>
      </c>
      <c r="E10" s="88">
        <v>1</v>
      </c>
      <c r="F10" s="88">
        <v>1</v>
      </c>
      <c r="G10" s="88">
        <v>1</v>
      </c>
      <c r="H10" s="83">
        <v>1</v>
      </c>
      <c r="I10" s="84">
        <v>0.129</v>
      </c>
    </row>
    <row r="12" spans="1:10" ht="15" thickBot="1" x14ac:dyDescent="0.4">
      <c r="A12" s="78" t="s">
        <v>90</v>
      </c>
    </row>
    <row r="13" spans="1:10" ht="28.5" thickBot="1" x14ac:dyDescent="0.4">
      <c r="A13" s="89" t="s">
        <v>85</v>
      </c>
      <c r="B13" s="81" t="s">
        <v>28</v>
      </c>
      <c r="C13" s="81" t="s">
        <v>29</v>
      </c>
      <c r="D13" s="81" t="s">
        <v>30</v>
      </c>
      <c r="E13" s="81" t="s">
        <v>31</v>
      </c>
      <c r="F13" s="81" t="s">
        <v>32</v>
      </c>
      <c r="G13" s="81" t="s">
        <v>33</v>
      </c>
      <c r="H13" s="81" t="s">
        <v>89</v>
      </c>
      <c r="I13" s="81" t="s">
        <v>91</v>
      </c>
    </row>
    <row r="14" spans="1:10" ht="15" thickBot="1" x14ac:dyDescent="0.4">
      <c r="A14" s="90" t="s">
        <v>28</v>
      </c>
      <c r="B14" s="83">
        <v>1</v>
      </c>
      <c r="C14" s="83">
        <v>0</v>
      </c>
      <c r="D14" s="83">
        <v>0.106</v>
      </c>
      <c r="E14" s="83">
        <v>0</v>
      </c>
      <c r="F14" s="83">
        <v>0</v>
      </c>
      <c r="G14" s="83">
        <v>0</v>
      </c>
      <c r="H14" s="83">
        <v>0</v>
      </c>
      <c r="I14" s="37">
        <f>B14*$I$4+I5*C14+$I$6*D14+$I$7*E14+$I$8*F14+$I$9*G14+$I$10*H14</f>
        <v>6.3701999999999995E-2</v>
      </c>
      <c r="J14" s="78" t="s">
        <v>88</v>
      </c>
    </row>
    <row r="15" spans="1:10" ht="15" thickBot="1" x14ac:dyDescent="0.4">
      <c r="A15" s="90" t="s">
        <v>29</v>
      </c>
      <c r="B15" s="83">
        <v>0</v>
      </c>
      <c r="C15" s="83">
        <v>1</v>
      </c>
      <c r="D15" s="83">
        <v>0.1</v>
      </c>
      <c r="E15" s="83">
        <v>0</v>
      </c>
      <c r="F15" s="83">
        <v>0</v>
      </c>
      <c r="G15" s="83">
        <v>0</v>
      </c>
      <c r="H15" s="83">
        <v>0</v>
      </c>
      <c r="I15" s="37">
        <f t="shared" ref="I15:I20" si="0">B15*$I$4+I6*C15+$I$6*D15+$I$7*E15+$I$8*F15+$I$9*G15+$I$10*H15</f>
        <v>0.1837</v>
      </c>
    </row>
    <row r="16" spans="1:10" ht="15" thickBot="1" x14ac:dyDescent="0.4">
      <c r="A16" s="90" t="s">
        <v>30</v>
      </c>
      <c r="B16" s="83">
        <v>0</v>
      </c>
      <c r="C16" s="83">
        <v>0</v>
      </c>
      <c r="D16" s="83">
        <v>0.745</v>
      </c>
      <c r="E16" s="83">
        <v>0</v>
      </c>
      <c r="F16" s="83">
        <v>0.13800000000000001</v>
      </c>
      <c r="G16" s="83">
        <v>0</v>
      </c>
      <c r="H16" s="83">
        <v>0</v>
      </c>
      <c r="I16" s="37">
        <f t="shared" si="0"/>
        <v>0.148289</v>
      </c>
    </row>
    <row r="17" spans="1:9" ht="15" thickBot="1" x14ac:dyDescent="0.4">
      <c r="A17" s="90" t="s">
        <v>31</v>
      </c>
      <c r="B17" s="83">
        <v>0</v>
      </c>
      <c r="C17" s="83">
        <v>0</v>
      </c>
      <c r="D17" s="83">
        <v>0</v>
      </c>
      <c r="E17" s="83">
        <v>1</v>
      </c>
      <c r="F17" s="83">
        <v>0.17199999999999999</v>
      </c>
      <c r="G17" s="83">
        <v>0.2</v>
      </c>
      <c r="H17" s="83">
        <v>0</v>
      </c>
      <c r="I17" s="37">
        <f t="shared" si="0"/>
        <v>0.17135600000000001</v>
      </c>
    </row>
    <row r="18" spans="1:9" ht="15" thickBot="1" x14ac:dyDescent="0.4">
      <c r="A18" s="90" t="s">
        <v>32</v>
      </c>
      <c r="B18" s="83">
        <v>0</v>
      </c>
      <c r="C18" s="83">
        <v>0</v>
      </c>
      <c r="D18" s="83">
        <v>0</v>
      </c>
      <c r="E18" s="83">
        <v>0</v>
      </c>
      <c r="F18" s="83">
        <v>0.69</v>
      </c>
      <c r="G18" s="83">
        <v>0</v>
      </c>
      <c r="H18" s="83">
        <v>0</v>
      </c>
      <c r="I18" s="37">
        <f t="shared" si="0"/>
        <v>0.11936999999999998</v>
      </c>
    </row>
    <row r="19" spans="1:9" ht="15" thickBot="1" x14ac:dyDescent="0.4">
      <c r="A19" s="90" t="s">
        <v>33</v>
      </c>
      <c r="B19" s="83">
        <v>0</v>
      </c>
      <c r="C19" s="83">
        <v>0</v>
      </c>
      <c r="D19" s="83">
        <v>0</v>
      </c>
      <c r="E19" s="83">
        <v>0</v>
      </c>
      <c r="F19" s="83">
        <v>0</v>
      </c>
      <c r="G19" s="83">
        <v>0.6</v>
      </c>
      <c r="H19" s="83">
        <v>0</v>
      </c>
      <c r="I19" s="37">
        <f t="shared" si="0"/>
        <v>0.18479999999999999</v>
      </c>
    </row>
    <row r="20" spans="1:9" ht="17" thickBot="1" x14ac:dyDescent="0.4">
      <c r="A20" s="90" t="s">
        <v>89</v>
      </c>
      <c r="B20" s="83">
        <v>0</v>
      </c>
      <c r="C20" s="83">
        <v>0</v>
      </c>
      <c r="D20" s="83">
        <v>0</v>
      </c>
      <c r="E20" s="83">
        <v>0</v>
      </c>
      <c r="F20" s="83">
        <v>0</v>
      </c>
      <c r="G20" s="83">
        <v>0</v>
      </c>
      <c r="H20" s="83">
        <v>1</v>
      </c>
      <c r="I20" s="37">
        <f t="shared" si="0"/>
        <v>0.129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N44"/>
  <sheetViews>
    <sheetView zoomScale="85" zoomScaleNormal="85" workbookViewId="0">
      <selection activeCell="E17" sqref="E17"/>
    </sheetView>
  </sheetViews>
  <sheetFormatPr defaultColWidth="8.81640625" defaultRowHeight="14.5" x14ac:dyDescent="0.35"/>
  <cols>
    <col min="12" max="12" width="10.81640625" bestFit="1" customWidth="1"/>
    <col min="17" max="17" width="3.1796875" customWidth="1"/>
    <col min="18" max="18" width="13.7265625" bestFit="1" customWidth="1"/>
    <col min="19" max="19" width="14.1796875" bestFit="1" customWidth="1"/>
  </cols>
  <sheetData>
    <row r="1" spans="1:40" ht="15" thickBot="1" x14ac:dyDescent="0.4">
      <c r="A1" s="78" t="s">
        <v>83</v>
      </c>
    </row>
    <row r="2" spans="1:40" ht="42.5" thickBot="1" x14ac:dyDescent="0.4">
      <c r="A2" s="3" t="s">
        <v>43</v>
      </c>
      <c r="B2" s="4" t="s">
        <v>44</v>
      </c>
      <c r="C2" s="3" t="s">
        <v>45</v>
      </c>
      <c r="D2" s="7" t="s">
        <v>46</v>
      </c>
      <c r="E2" s="7" t="s">
        <v>47</v>
      </c>
      <c r="F2" s="7" t="s">
        <v>13</v>
      </c>
      <c r="H2" s="10" t="s">
        <v>48</v>
      </c>
      <c r="J2" t="s">
        <v>49</v>
      </c>
      <c r="K2" s="3" t="s">
        <v>43</v>
      </c>
      <c r="L2" s="4" t="s">
        <v>44</v>
      </c>
      <c r="M2" s="3" t="s">
        <v>45</v>
      </c>
      <c r="N2" s="7" t="s">
        <v>46</v>
      </c>
      <c r="O2" s="7" t="s">
        <v>47</v>
      </c>
      <c r="P2" s="7" t="s">
        <v>13</v>
      </c>
      <c r="Q2" s="8"/>
      <c r="R2" s="8" t="s">
        <v>50</v>
      </c>
      <c r="S2" s="8" t="s">
        <v>51</v>
      </c>
      <c r="U2" s="8" t="s">
        <v>50</v>
      </c>
      <c r="V2" s="4" t="s">
        <v>44</v>
      </c>
      <c r="W2" s="3" t="s">
        <v>45</v>
      </c>
      <c r="X2" s="7" t="s">
        <v>46</v>
      </c>
      <c r="Y2" s="7" t="s">
        <v>47</v>
      </c>
      <c r="Z2" s="7" t="s">
        <v>13</v>
      </c>
      <c r="AB2" s="8" t="s">
        <v>51</v>
      </c>
      <c r="AC2" s="4" t="s">
        <v>44</v>
      </c>
      <c r="AD2" s="3" t="s">
        <v>45</v>
      </c>
      <c r="AE2" s="7" t="s">
        <v>46</v>
      </c>
      <c r="AF2" s="7" t="s">
        <v>47</v>
      </c>
      <c r="AG2" s="7" t="s">
        <v>13</v>
      </c>
      <c r="AJ2" s="4" t="s">
        <v>44</v>
      </c>
      <c r="AK2" s="3" t="s">
        <v>45</v>
      </c>
      <c r="AL2" s="7" t="s">
        <v>46</v>
      </c>
      <c r="AM2" s="7" t="s">
        <v>47</v>
      </c>
      <c r="AN2" s="7" t="s">
        <v>13</v>
      </c>
    </row>
    <row r="3" spans="1:40" ht="15" thickBot="1" x14ac:dyDescent="0.4">
      <c r="A3" s="5" t="s">
        <v>28</v>
      </c>
      <c r="B3" s="13">
        <v>36.94</v>
      </c>
      <c r="C3" s="14">
        <v>1.33</v>
      </c>
      <c r="D3" s="21">
        <f>(-52.42)</f>
        <v>-52.42</v>
      </c>
      <c r="E3" s="15">
        <v>5.58</v>
      </c>
      <c r="F3" s="15">
        <v>17.5</v>
      </c>
      <c r="H3">
        <f>SQRT(B3^2+C3^2+F3^2+D3^2+E3^2)</f>
        <v>66.72012664856085</v>
      </c>
      <c r="K3" s="5" t="s">
        <v>28</v>
      </c>
      <c r="L3" s="6">
        <f>B3/$H3*$B14</f>
        <v>2.5689639485073894E-2</v>
      </c>
      <c r="M3" s="6">
        <f t="shared" ref="M3" si="0">C3/$H3*$B14</f>
        <v>9.2493829223465839E-4</v>
      </c>
      <c r="N3" s="6">
        <f t="shared" ref="N3:P9" si="1">D3/$H3*$B14</f>
        <v>-3.6455086675895337E-2</v>
      </c>
      <c r="O3" s="6">
        <f t="shared" si="1"/>
        <v>3.8805681734356344E-3</v>
      </c>
      <c r="P3" s="6">
        <f t="shared" si="1"/>
        <v>1.2170240687298137E-2</v>
      </c>
      <c r="Q3" s="9"/>
      <c r="R3" s="35">
        <f>M3</f>
        <v>9.2493829223465839E-4</v>
      </c>
      <c r="S3" s="35">
        <f>-N3</f>
        <v>3.6455086675895337E-2</v>
      </c>
      <c r="T3" t="s">
        <v>52</v>
      </c>
      <c r="V3">
        <f>L3-$R3</f>
        <v>2.4764701192839238E-2</v>
      </c>
      <c r="W3">
        <f t="shared" ref="W3:Z3" si="2">M3-$R3</f>
        <v>0</v>
      </c>
      <c r="X3">
        <f t="shared" si="2"/>
        <v>-3.7380024968129998E-2</v>
      </c>
      <c r="Y3">
        <f t="shared" si="2"/>
        <v>2.9556298812009759E-3</v>
      </c>
      <c r="Z3">
        <f t="shared" si="2"/>
        <v>1.1245302395063479E-2</v>
      </c>
      <c r="AC3">
        <f>L3-$S3</f>
        <v>-1.0765447190821443E-2</v>
      </c>
      <c r="AD3">
        <f t="shared" ref="AD3:AG3" si="3">M3-$S3</f>
        <v>-3.5530148383660677E-2</v>
      </c>
      <c r="AE3" s="12">
        <f>N3+$S3</f>
        <v>0</v>
      </c>
      <c r="AF3">
        <f t="shared" si="3"/>
        <v>-3.2574518502459703E-2</v>
      </c>
      <c r="AG3">
        <f t="shared" si="3"/>
        <v>-2.42848459885972E-2</v>
      </c>
    </row>
    <row r="4" spans="1:40" ht="15" thickBot="1" x14ac:dyDescent="0.4">
      <c r="A4" s="5" t="s">
        <v>29</v>
      </c>
      <c r="B4" s="13">
        <v>75.989999999999995</v>
      </c>
      <c r="C4" s="14">
        <v>112.17</v>
      </c>
      <c r="D4" s="14">
        <v>97.42</v>
      </c>
      <c r="E4" s="15">
        <v>33.25</v>
      </c>
      <c r="F4" s="15">
        <v>92</v>
      </c>
      <c r="H4">
        <f t="shared" ref="H4:H9" si="4">SQRT(B4^2+C4^2+F4^2+D4^2+E4^2)</f>
        <v>193.43424696780039</v>
      </c>
      <c r="K4" s="5" t="s">
        <v>29</v>
      </c>
      <c r="L4" s="6">
        <f t="shared" ref="L4:L9" si="5">B4/$H4*$B15</f>
        <v>3.8302550433240122E-2</v>
      </c>
      <c r="M4" s="6">
        <f t="shared" ref="M4:M9" si="6">C4/$H4*$B15</f>
        <v>5.6538979893361561E-2</v>
      </c>
      <c r="N4" s="6">
        <f t="shared" si="1"/>
        <v>4.910428297415783E-2</v>
      </c>
      <c r="O4" s="6">
        <f t="shared" si="1"/>
        <v>1.675957102125588E-2</v>
      </c>
      <c r="P4" s="6">
        <f t="shared" si="1"/>
        <v>4.6372346885880926E-2</v>
      </c>
      <c r="Q4" s="9"/>
      <c r="R4" s="36">
        <f t="shared" ref="R4:S9" si="7">MIN(L4:P4)</f>
        <v>1.675957102125588E-2</v>
      </c>
      <c r="S4" s="36">
        <f t="shared" ref="R4:S9" si="8">MAX(L4:P4)</f>
        <v>5.6538979893361561E-2</v>
      </c>
      <c r="V4">
        <f t="shared" ref="V4:V9" si="9">L4-$R4</f>
        <v>2.1542979411984242E-2</v>
      </c>
      <c r="W4">
        <f t="shared" ref="W4:W9" si="10">M4-$R4</f>
        <v>3.9779408872105682E-2</v>
      </c>
      <c r="X4">
        <f t="shared" ref="X4:X9" si="11">N4-$R4</f>
        <v>3.234471195290195E-2</v>
      </c>
      <c r="Y4">
        <f t="shared" ref="Y4:Y9" si="12">O4-$R4</f>
        <v>0</v>
      </c>
      <c r="Z4">
        <f t="shared" ref="Z4:Z9" si="13">P4-$R4</f>
        <v>2.9612775864625046E-2</v>
      </c>
      <c r="AC4">
        <f t="shared" ref="AC4:AC9" si="14">L4-$S4</f>
        <v>-1.8236429460121439E-2</v>
      </c>
      <c r="AD4">
        <f t="shared" ref="AD4:AD9" si="15">M4-$S4</f>
        <v>0</v>
      </c>
      <c r="AE4">
        <f t="shared" ref="AE4:AE9" si="16">N4-$S4</f>
        <v>-7.4346969192037315E-3</v>
      </c>
      <c r="AF4">
        <f t="shared" ref="AF4:AF9" si="17">O4-$S4</f>
        <v>-3.9779408872105682E-2</v>
      </c>
      <c r="AG4">
        <f t="shared" ref="AG4:AG9" si="18">P4-$S4</f>
        <v>-1.0166633007480635E-2</v>
      </c>
    </row>
    <row r="5" spans="1:40" ht="15" thickBot="1" x14ac:dyDescent="0.4">
      <c r="A5" s="5" t="s">
        <v>30</v>
      </c>
      <c r="B5" s="13">
        <v>92.53</v>
      </c>
      <c r="C5" s="14">
        <v>129.69999999999999</v>
      </c>
      <c r="D5" s="14">
        <v>171.94</v>
      </c>
      <c r="E5" s="15">
        <v>42.85</v>
      </c>
      <c r="F5" s="15">
        <v>107.11</v>
      </c>
      <c r="H5">
        <f t="shared" si="4"/>
        <v>261.25835699552272</v>
      </c>
      <c r="K5" s="5" t="s">
        <v>30</v>
      </c>
      <c r="L5" s="6">
        <f t="shared" si="5"/>
        <v>5.9004803433959363E-2</v>
      </c>
      <c r="M5" s="6">
        <f t="shared" si="6"/>
        <v>8.270747871376341E-2</v>
      </c>
      <c r="N5" s="6">
        <f t="shared" si="1"/>
        <v>0.10964320655392816</v>
      </c>
      <c r="O5" s="6">
        <f t="shared" si="1"/>
        <v>2.7324714440129242E-2</v>
      </c>
      <c r="P5" s="6">
        <f t="shared" si="1"/>
        <v>6.8302220856061677E-2</v>
      </c>
      <c r="Q5" s="9"/>
      <c r="R5" s="36">
        <f t="shared" si="7"/>
        <v>2.7324714440129242E-2</v>
      </c>
      <c r="S5" s="36">
        <f t="shared" si="8"/>
        <v>0.10964320655392816</v>
      </c>
      <c r="V5">
        <f t="shared" si="9"/>
        <v>3.1680088993830124E-2</v>
      </c>
      <c r="W5">
        <f t="shared" si="10"/>
        <v>5.5382764273634172E-2</v>
      </c>
      <c r="X5">
        <f t="shared" si="11"/>
        <v>8.2318492113798922E-2</v>
      </c>
      <c r="Y5">
        <f t="shared" si="12"/>
        <v>0</v>
      </c>
      <c r="Z5">
        <f t="shared" si="13"/>
        <v>4.0977506415932438E-2</v>
      </c>
      <c r="AC5">
        <f t="shared" si="14"/>
        <v>-5.0638403119968797E-2</v>
      </c>
      <c r="AD5">
        <f t="shared" si="15"/>
        <v>-2.693572784016475E-2</v>
      </c>
      <c r="AE5">
        <f t="shared" si="16"/>
        <v>0</v>
      </c>
      <c r="AF5">
        <f t="shared" si="17"/>
        <v>-8.2318492113798922E-2</v>
      </c>
      <c r="AG5">
        <f t="shared" si="18"/>
        <v>-4.1340985697866484E-2</v>
      </c>
    </row>
    <row r="6" spans="1:40" ht="15" thickBot="1" x14ac:dyDescent="0.4">
      <c r="A6" s="5" t="s">
        <v>31</v>
      </c>
      <c r="B6" s="16">
        <v>3.27</v>
      </c>
      <c r="C6" s="16">
        <v>0.51</v>
      </c>
      <c r="D6" s="20">
        <f>(-3.29)</f>
        <v>-3.29</v>
      </c>
      <c r="E6" s="16">
        <v>0.47</v>
      </c>
      <c r="F6" s="16">
        <v>1.7</v>
      </c>
      <c r="H6">
        <f t="shared" si="4"/>
        <v>4.9887874278225164</v>
      </c>
      <c r="K6" s="5" t="s">
        <v>31</v>
      </c>
      <c r="L6" s="6">
        <f t="shared" si="5"/>
        <v>5.256868603729372E-2</v>
      </c>
      <c r="M6" s="6">
        <f t="shared" si="6"/>
        <v>8.198785895724708E-3</v>
      </c>
      <c r="N6" s="6">
        <f t="shared" si="1"/>
        <v>-5.2890207052812332E-2</v>
      </c>
      <c r="O6" s="6">
        <f t="shared" si="1"/>
        <v>7.5557438646874754E-3</v>
      </c>
      <c r="P6" s="6">
        <f t="shared" si="1"/>
        <v>2.7329286319082362E-2</v>
      </c>
      <c r="Q6" s="9"/>
      <c r="R6" s="35">
        <f>O6</f>
        <v>7.5557438646874754E-3</v>
      </c>
      <c r="S6" s="35">
        <f>-N6</f>
        <v>5.2890207052812332E-2</v>
      </c>
      <c r="T6" t="s">
        <v>52</v>
      </c>
      <c r="V6">
        <f t="shared" si="9"/>
        <v>4.5012942172606242E-2</v>
      </c>
      <c r="W6">
        <f t="shared" si="10"/>
        <v>6.430420310372326E-4</v>
      </c>
      <c r="X6">
        <f t="shared" si="11"/>
        <v>-6.0445950917499811E-2</v>
      </c>
      <c r="Y6">
        <f t="shared" si="12"/>
        <v>0</v>
      </c>
      <c r="Z6">
        <f t="shared" si="13"/>
        <v>1.9773542454394888E-2</v>
      </c>
      <c r="AC6">
        <f t="shared" si="14"/>
        <v>-3.215210155186124E-4</v>
      </c>
      <c r="AD6">
        <f t="shared" si="15"/>
        <v>-4.4691421157087623E-2</v>
      </c>
      <c r="AE6" s="12">
        <f>N6+$S6</f>
        <v>0</v>
      </c>
      <c r="AF6">
        <f t="shared" si="17"/>
        <v>-4.5334463188124854E-2</v>
      </c>
      <c r="AG6">
        <f t="shared" si="18"/>
        <v>-2.556092073372997E-2</v>
      </c>
    </row>
    <row r="7" spans="1:40" ht="15" thickBot="1" x14ac:dyDescent="0.4">
      <c r="A7" s="5" t="s">
        <v>32</v>
      </c>
      <c r="B7" s="16">
        <v>7.35</v>
      </c>
      <c r="C7" s="16">
        <v>9.74</v>
      </c>
      <c r="D7" s="16">
        <v>11.06</v>
      </c>
      <c r="E7" s="16">
        <v>3.04</v>
      </c>
      <c r="F7" s="16">
        <v>7.97</v>
      </c>
      <c r="H7">
        <f t="shared" si="4"/>
        <v>18.546595374892934</v>
      </c>
      <c r="K7" s="5" t="s">
        <v>32</v>
      </c>
      <c r="L7" s="6">
        <f t="shared" si="5"/>
        <v>6.8401233453195098E-2</v>
      </c>
      <c r="M7" s="6">
        <f t="shared" si="6"/>
        <v>9.0643267188315682E-2</v>
      </c>
      <c r="N7" s="6">
        <f t="shared" si="1"/>
        <v>0.10292757033909358</v>
      </c>
      <c r="O7" s="6">
        <f t="shared" si="1"/>
        <v>2.8291122407852122E-2</v>
      </c>
      <c r="P7" s="6">
        <f t="shared" si="1"/>
        <v>7.4171133417954407E-2</v>
      </c>
      <c r="Q7" s="9"/>
      <c r="R7" s="36">
        <f t="shared" si="7"/>
        <v>2.8291122407852122E-2</v>
      </c>
      <c r="S7" s="36">
        <f t="shared" si="8"/>
        <v>0.10292757033909358</v>
      </c>
      <c r="V7">
        <f t="shared" si="9"/>
        <v>4.0110111045342976E-2</v>
      </c>
      <c r="W7">
        <f t="shared" si="10"/>
        <v>6.235214478046356E-2</v>
      </c>
      <c r="X7">
        <f t="shared" si="11"/>
        <v>7.4636447931241467E-2</v>
      </c>
      <c r="Y7">
        <f t="shared" si="12"/>
        <v>0</v>
      </c>
      <c r="Z7">
        <f t="shared" si="13"/>
        <v>4.5880011010102285E-2</v>
      </c>
      <c r="AC7">
        <f t="shared" si="14"/>
        <v>-3.4526336885898484E-2</v>
      </c>
      <c r="AD7">
        <f t="shared" si="15"/>
        <v>-1.22843031507779E-2</v>
      </c>
      <c r="AE7">
        <f t="shared" si="16"/>
        <v>0</v>
      </c>
      <c r="AF7">
        <f t="shared" si="17"/>
        <v>-7.4636447931241467E-2</v>
      </c>
      <c r="AG7">
        <f t="shared" si="18"/>
        <v>-2.8756436921139175E-2</v>
      </c>
    </row>
    <row r="8" spans="1:40" ht="15" thickBot="1" x14ac:dyDescent="0.4">
      <c r="A8" s="5" t="s">
        <v>33</v>
      </c>
      <c r="B8" s="16">
        <v>5.78</v>
      </c>
      <c r="C8" s="16">
        <v>8.19</v>
      </c>
      <c r="D8" s="16">
        <v>6.66</v>
      </c>
      <c r="E8" s="16">
        <v>2.36</v>
      </c>
      <c r="F8" s="16">
        <v>6.68</v>
      </c>
      <c r="H8">
        <f t="shared" si="4"/>
        <v>13.965389360844902</v>
      </c>
      <c r="K8" s="5" t="s">
        <v>33</v>
      </c>
      <c r="L8" s="6">
        <f t="shared" si="5"/>
        <v>0.12726820241641087</v>
      </c>
      <c r="M8" s="6">
        <f t="shared" si="6"/>
        <v>0.18033331795681748</v>
      </c>
      <c r="N8" s="6">
        <f t="shared" si="1"/>
        <v>0.14664467614070872</v>
      </c>
      <c r="O8" s="6">
        <f t="shared" si="1"/>
        <v>5.1964179533344229E-2</v>
      </c>
      <c r="P8" s="6">
        <f t="shared" si="1"/>
        <v>0.14708505054353369</v>
      </c>
      <c r="Q8" s="9"/>
      <c r="R8" s="36">
        <f t="shared" si="7"/>
        <v>5.1964179533344229E-2</v>
      </c>
      <c r="S8" s="36">
        <f t="shared" si="8"/>
        <v>0.18033331795681748</v>
      </c>
      <c r="V8">
        <f t="shared" si="9"/>
        <v>7.5304022883066646E-2</v>
      </c>
      <c r="W8">
        <f t="shared" si="10"/>
        <v>0.12836913842347325</v>
      </c>
      <c r="X8">
        <f t="shared" si="11"/>
        <v>9.4680496607364495E-2</v>
      </c>
      <c r="Y8">
        <f t="shared" si="12"/>
        <v>0</v>
      </c>
      <c r="Z8">
        <f t="shared" si="13"/>
        <v>9.5120871010189456E-2</v>
      </c>
      <c r="AC8">
        <f t="shared" si="14"/>
        <v>-5.3065115540406604E-2</v>
      </c>
      <c r="AD8">
        <f t="shared" si="15"/>
        <v>0</v>
      </c>
      <c r="AE8">
        <f t="shared" si="16"/>
        <v>-3.3688641816108755E-2</v>
      </c>
      <c r="AF8">
        <f t="shared" si="17"/>
        <v>-0.12836913842347325</v>
      </c>
      <c r="AG8">
        <f t="shared" si="18"/>
        <v>-3.3248267413283794E-2</v>
      </c>
    </row>
    <row r="9" spans="1:40" ht="15" thickBot="1" x14ac:dyDescent="0.4">
      <c r="A9" s="5" t="s">
        <v>34</v>
      </c>
      <c r="B9" s="17">
        <v>0.61</v>
      </c>
      <c r="C9" s="18">
        <v>0.24</v>
      </c>
      <c r="D9" s="18">
        <v>-0.34</v>
      </c>
      <c r="E9" s="19">
        <v>0.92</v>
      </c>
      <c r="F9" s="19">
        <v>0.48</v>
      </c>
      <c r="H9">
        <f t="shared" si="4"/>
        <v>1.2736168968728392</v>
      </c>
      <c r="K9" s="5" t="s">
        <v>34</v>
      </c>
      <c r="L9" s="6">
        <f t="shared" si="5"/>
        <v>6.1880460437915168E-2</v>
      </c>
      <c r="M9" s="6">
        <f t="shared" si="6"/>
        <v>2.4346410664097769E-2</v>
      </c>
      <c r="N9" s="6">
        <f t="shared" si="1"/>
        <v>-3.4490748440805179E-2</v>
      </c>
      <c r="O9" s="6">
        <f t="shared" si="1"/>
        <v>9.3327907545708119E-2</v>
      </c>
      <c r="P9" s="6">
        <f t="shared" si="1"/>
        <v>4.8692821328195537E-2</v>
      </c>
      <c r="Q9" s="9"/>
      <c r="R9" s="35">
        <f t="shared" si="8"/>
        <v>9.3327907545708119E-2</v>
      </c>
      <c r="S9" s="35">
        <f t="shared" si="7"/>
        <v>-3.4490748440805179E-2</v>
      </c>
      <c r="T9" t="s">
        <v>53</v>
      </c>
      <c r="V9">
        <f t="shared" si="9"/>
        <v>-3.1447447107792952E-2</v>
      </c>
      <c r="W9">
        <f t="shared" si="10"/>
        <v>-6.8981496881610344E-2</v>
      </c>
      <c r="X9">
        <f t="shared" si="11"/>
        <v>-0.12781865598651329</v>
      </c>
      <c r="Y9">
        <f t="shared" si="12"/>
        <v>0</v>
      </c>
      <c r="Z9">
        <f t="shared" si="13"/>
        <v>-4.4635086217512582E-2</v>
      </c>
      <c r="AC9">
        <f t="shared" si="14"/>
        <v>9.6371208878720346E-2</v>
      </c>
      <c r="AD9">
        <f t="shared" si="15"/>
        <v>5.8837159104902947E-2</v>
      </c>
      <c r="AE9">
        <f t="shared" si="16"/>
        <v>0</v>
      </c>
      <c r="AF9">
        <f t="shared" si="17"/>
        <v>0.12781865598651329</v>
      </c>
      <c r="AG9">
        <f t="shared" si="18"/>
        <v>8.3183569769000709E-2</v>
      </c>
    </row>
    <row r="10" spans="1:40" x14ac:dyDescent="0.35">
      <c r="U10" s="11" t="s">
        <v>54</v>
      </c>
      <c r="V10" s="11">
        <f>SQRT(V3^2+V4^2+V5^2+V6^2+V7^2+V8^2+V9^2)</f>
        <v>0.11124586369320787</v>
      </c>
      <c r="W10" s="11">
        <f>SQRT(W3^2+W4^2+W5^2+W6^2+W7^2+W8^2+W9^2)</f>
        <v>0.17255415967803592</v>
      </c>
      <c r="X10" s="11">
        <f>SQRT(X3^2+X4^2+X5^2+X6^2+X7^2+X8^2+X9^2)</f>
        <v>0.20915567981757824</v>
      </c>
      <c r="Y10" s="11">
        <f>SQRT(Y3^2+Y4^2+Y5^2+Y6^2+Y7^2+Y8^2+Y9^2)</f>
        <v>2.9556298812009759E-3</v>
      </c>
      <c r="Z10" s="11">
        <f>SQRT(Z3^2+Z4^2+Z5^2+Z6^2+Z7^2+Z8^2+Z9^2)</f>
        <v>0.12735292995175834</v>
      </c>
      <c r="AA10" s="11"/>
      <c r="AB10" s="11" t="s">
        <v>55</v>
      </c>
      <c r="AC10" s="11">
        <f>SQRT(AC3^2+AC4^2+AC5^2+AC6^2+AC7^2+AC8^2+AC9^2)</f>
        <v>0.12770355431935884</v>
      </c>
      <c r="AD10" s="11">
        <f>SQRT(AD3^2+AD4^2+AD5^2+AD6^2+AD7^2+AD8^2+AD9^2)</f>
        <v>8.7166297379895785E-2</v>
      </c>
      <c r="AE10" s="11">
        <f>SQRT(AE3^2+AE4^2+AE5^2+AE6^2+AE7^2+AE8^2+AE9^2)</f>
        <v>3.4499265292097001E-2</v>
      </c>
      <c r="AF10" s="11">
        <f>SQRT(AF3^2+AF4^2+AF5^2+AF6^2+AF7^2+AF8^2+AF9^2)</f>
        <v>0.22329776577454299</v>
      </c>
      <c r="AG10" s="11">
        <f>SQRT(AG3^2+AG4^2+AG5^2+AG6^2+AG7^2+AG8^2+AG9^2)</f>
        <v>0.10912120861008093</v>
      </c>
      <c r="AI10" t="s">
        <v>56</v>
      </c>
      <c r="AJ10" s="11">
        <f>AC10/(AC10+V10)</f>
        <v>0.53443760349582747</v>
      </c>
      <c r="AK10" s="11">
        <f t="shared" ref="AK10" si="19">AD10/(AD10+W10)</f>
        <v>0.33561583237339287</v>
      </c>
      <c r="AL10" s="11">
        <f t="shared" ref="AL10" si="20">AE10/(AE10+X10)</f>
        <v>0.14159066329053166</v>
      </c>
      <c r="AM10" s="11">
        <f t="shared" ref="AM10" si="21">AF10/(AF10+Y10)</f>
        <v>0.98693663857448521</v>
      </c>
      <c r="AN10" s="11">
        <f t="shared" ref="AN10" si="22">AG10/(AG10+Z10)</f>
        <v>0.46145091921561282</v>
      </c>
    </row>
    <row r="11" spans="1:40" x14ac:dyDescent="0.35">
      <c r="D11" t="s">
        <v>57</v>
      </c>
      <c r="AI11" s="11" t="s">
        <v>58</v>
      </c>
      <c r="AJ11" s="11">
        <v>2</v>
      </c>
      <c r="AK11" s="11">
        <v>4</v>
      </c>
      <c r="AL11" s="11">
        <v>5</v>
      </c>
      <c r="AM11" s="11">
        <v>1</v>
      </c>
      <c r="AN11" s="11">
        <v>3</v>
      </c>
    </row>
    <row r="12" spans="1:40" ht="16" thickBot="1" x14ac:dyDescent="0.4">
      <c r="K12" s="75" t="s">
        <v>76</v>
      </c>
      <c r="AJ12" s="11"/>
      <c r="AK12" s="11"/>
      <c r="AL12" s="11"/>
      <c r="AM12" s="11"/>
      <c r="AN12" s="11"/>
    </row>
    <row r="13" spans="1:40" ht="42.5" thickBot="1" x14ac:dyDescent="0.4">
      <c r="A13" t="s">
        <v>59</v>
      </c>
      <c r="B13" t="s">
        <v>61</v>
      </c>
      <c r="C13" t="s">
        <v>60</v>
      </c>
      <c r="J13" t="s">
        <v>64</v>
      </c>
      <c r="K13" s="3" t="s">
        <v>43</v>
      </c>
      <c r="L13" s="4" t="s">
        <v>44</v>
      </c>
      <c r="M13" s="3" t="s">
        <v>45</v>
      </c>
      <c r="N13" s="7" t="s">
        <v>46</v>
      </c>
      <c r="O13" s="7" t="s">
        <v>47</v>
      </c>
      <c r="P13" s="7" t="s">
        <v>13</v>
      </c>
      <c r="Q13" s="8"/>
      <c r="R13" s="8" t="s">
        <v>50</v>
      </c>
      <c r="S13" s="8" t="s">
        <v>51</v>
      </c>
      <c r="U13" s="8" t="s">
        <v>50</v>
      </c>
      <c r="V13" s="4" t="s">
        <v>44</v>
      </c>
      <c r="W13" s="3" t="s">
        <v>45</v>
      </c>
      <c r="X13" s="7" t="s">
        <v>46</v>
      </c>
      <c r="Y13" s="7" t="s">
        <v>47</v>
      </c>
      <c r="Z13" s="7" t="s">
        <v>13</v>
      </c>
      <c r="AB13" s="8" t="s">
        <v>51</v>
      </c>
      <c r="AC13" s="4" t="s">
        <v>44</v>
      </c>
      <c r="AD13" s="3" t="s">
        <v>45</v>
      </c>
      <c r="AE13" s="7" t="s">
        <v>46</v>
      </c>
      <c r="AF13" s="7" t="s">
        <v>47</v>
      </c>
      <c r="AG13" s="7" t="s">
        <v>13</v>
      </c>
      <c r="AI13" s="10" t="s">
        <v>56</v>
      </c>
      <c r="AJ13" s="4" t="s">
        <v>44</v>
      </c>
      <c r="AK13" s="3" t="s">
        <v>45</v>
      </c>
      <c r="AL13" s="7" t="s">
        <v>46</v>
      </c>
      <c r="AM13" s="7" t="s">
        <v>47</v>
      </c>
      <c r="AN13" s="7" t="s">
        <v>13</v>
      </c>
    </row>
    <row r="14" spans="1:40" ht="15" thickBot="1" x14ac:dyDescent="0.4">
      <c r="A14" s="5" t="s">
        <v>28</v>
      </c>
      <c r="B14">
        <v>4.6399999999999997E-2</v>
      </c>
      <c r="C14">
        <v>6.4199999999999993E-2</v>
      </c>
      <c r="K14" s="5" t="s">
        <v>28</v>
      </c>
      <c r="L14" s="6">
        <f>B3/$H3*$C14</f>
        <v>3.5544716701330685E-2</v>
      </c>
      <c r="M14" s="6">
        <f t="shared" ref="M14" si="23">C3/$H3*$C14</f>
        <v>1.2797637577901953E-3</v>
      </c>
      <c r="N14" s="6">
        <f t="shared" ref="N14:P20" si="24">D3/$H3*$C14</f>
        <v>-5.0440012167941389E-2</v>
      </c>
      <c r="O14" s="6">
        <f t="shared" si="24"/>
        <v>5.3692344123829252E-3</v>
      </c>
      <c r="P14" s="6">
        <f t="shared" si="24"/>
        <v>1.6838996813028889E-2</v>
      </c>
      <c r="Q14" s="9"/>
      <c r="R14" s="12">
        <f>M14</f>
        <v>1.2797637577901953E-3</v>
      </c>
      <c r="S14" s="12">
        <f>N14*-1</f>
        <v>5.0440012167941389E-2</v>
      </c>
      <c r="T14" t="s">
        <v>52</v>
      </c>
      <c r="V14">
        <f>L14-$R14</f>
        <v>3.426495294354049E-2</v>
      </c>
      <c r="W14">
        <f t="shared" ref="W14:W20" si="25">M14-$R14</f>
        <v>0</v>
      </c>
      <c r="X14">
        <f t="shared" ref="X14:X20" si="26">N14-$R14</f>
        <v>-5.1719775925731584E-2</v>
      </c>
      <c r="Y14">
        <f t="shared" ref="Y14:Y20" si="27">O14-$R14</f>
        <v>4.0894706545927303E-3</v>
      </c>
      <c r="Z14">
        <f t="shared" ref="Z14:Z20" si="28">P14-$R14</f>
        <v>1.5559233055238694E-2</v>
      </c>
      <c r="AC14">
        <f>L14-$S14</f>
        <v>-1.4895295466610704E-2</v>
      </c>
      <c r="AD14">
        <f t="shared" ref="AD14:AD20" si="29">M14-$S14</f>
        <v>-4.9160248410151194E-2</v>
      </c>
      <c r="AE14" s="12">
        <f>S14+N14</f>
        <v>0</v>
      </c>
      <c r="AF14">
        <f t="shared" ref="AF14:AF20" si="30">O14-$S14</f>
        <v>-4.5070777755558462E-2</v>
      </c>
      <c r="AG14">
        <f t="shared" ref="AG14:AG20" si="31">P14-$S14</f>
        <v>-3.36010153549125E-2</v>
      </c>
    </row>
    <row r="15" spans="1:40" ht="15" thickBot="1" x14ac:dyDescent="0.4">
      <c r="A15" s="5" t="s">
        <v>29</v>
      </c>
      <c r="B15">
        <v>9.7500000000000003E-2</v>
      </c>
      <c r="C15">
        <v>0.18379999999999999</v>
      </c>
      <c r="K15" s="5" t="s">
        <v>29</v>
      </c>
      <c r="L15" s="6">
        <f t="shared" ref="L15:L20" si="32">B4/$H4*$C15</f>
        <v>7.2205218150046505E-2</v>
      </c>
      <c r="M15" s="6">
        <f t="shared" ref="M15:M20" si="33">C4/$H4*$C15</f>
        <v>0.10658322568615235</v>
      </c>
      <c r="N15" s="6">
        <f t="shared" si="24"/>
        <v>9.2567868827181626E-2</v>
      </c>
      <c r="O15" s="6">
        <f t="shared" si="24"/>
        <v>3.159394003801877E-2</v>
      </c>
      <c r="P15" s="6">
        <f t="shared" si="24"/>
        <v>8.7417819052563212E-2</v>
      </c>
      <c r="Q15" s="9"/>
      <c r="R15">
        <f t="shared" ref="R15:S20" si="34">MIN(L15:P15)</f>
        <v>3.159394003801877E-2</v>
      </c>
      <c r="S15">
        <f t="shared" ref="R15:S20" si="35">MAX(L15:P15)</f>
        <v>0.10658322568615235</v>
      </c>
      <c r="V15">
        <f t="shared" ref="V15:V20" si="36">L15-$R15</f>
        <v>4.0611278112027735E-2</v>
      </c>
      <c r="W15">
        <f t="shared" si="25"/>
        <v>7.4989285648133577E-2</v>
      </c>
      <c r="X15">
        <f t="shared" si="26"/>
        <v>6.0973928789162857E-2</v>
      </c>
      <c r="Y15">
        <f t="shared" si="27"/>
        <v>0</v>
      </c>
      <c r="Z15">
        <f t="shared" si="28"/>
        <v>5.5823879014544442E-2</v>
      </c>
      <c r="AC15">
        <f t="shared" ref="AC15:AC20" si="37">L15-$S15</f>
        <v>-3.4378007536105842E-2</v>
      </c>
      <c r="AD15">
        <f t="shared" si="29"/>
        <v>0</v>
      </c>
      <c r="AE15">
        <f t="shared" ref="AE15:AE20" si="38">N15-$S15</f>
        <v>-1.4015356858970721E-2</v>
      </c>
      <c r="AF15">
        <f t="shared" si="30"/>
        <v>-7.4989285648133577E-2</v>
      </c>
      <c r="AG15">
        <f t="shared" si="31"/>
        <v>-1.9165406633589135E-2</v>
      </c>
    </row>
    <row r="16" spans="1:40" ht="15" thickBot="1" x14ac:dyDescent="0.4">
      <c r="A16" s="5" t="s">
        <v>30</v>
      </c>
      <c r="B16">
        <v>0.1666</v>
      </c>
      <c r="C16">
        <v>0.1479</v>
      </c>
      <c r="K16" s="5" t="s">
        <v>30</v>
      </c>
      <c r="L16" s="6">
        <f t="shared" si="32"/>
        <v>5.2381815293412903E-2</v>
      </c>
      <c r="M16" s="6">
        <f t="shared" si="33"/>
        <v>7.3423986205075689E-2</v>
      </c>
      <c r="N16" s="6">
        <f t="shared" si="24"/>
        <v>9.7336316022364797E-2</v>
      </c>
      <c r="O16" s="6">
        <f t="shared" si="24"/>
        <v>2.4257654656033106E-2</v>
      </c>
      <c r="P16" s="6">
        <f t="shared" si="24"/>
        <v>6.0635645045687414E-2</v>
      </c>
      <c r="Q16" s="9"/>
      <c r="R16">
        <f t="shared" si="34"/>
        <v>2.4257654656033106E-2</v>
      </c>
      <c r="S16">
        <f t="shared" si="35"/>
        <v>9.7336316022364797E-2</v>
      </c>
      <c r="V16">
        <f t="shared" si="36"/>
        <v>2.8124160637379797E-2</v>
      </c>
      <c r="W16">
        <f t="shared" si="25"/>
        <v>4.9166331549042583E-2</v>
      </c>
      <c r="X16">
        <f t="shared" si="26"/>
        <v>7.307866136633169E-2</v>
      </c>
      <c r="Y16">
        <f t="shared" si="27"/>
        <v>0</v>
      </c>
      <c r="Z16">
        <f t="shared" si="28"/>
        <v>3.6377990389654308E-2</v>
      </c>
      <c r="AC16">
        <f t="shared" si="37"/>
        <v>-4.4954500728951893E-2</v>
      </c>
      <c r="AD16">
        <f t="shared" si="29"/>
        <v>-2.3912329817289107E-2</v>
      </c>
      <c r="AE16">
        <f t="shared" si="38"/>
        <v>0</v>
      </c>
      <c r="AF16">
        <f t="shared" si="30"/>
        <v>-7.307866136633169E-2</v>
      </c>
      <c r="AG16">
        <f t="shared" si="31"/>
        <v>-3.6700670976677383E-2</v>
      </c>
    </row>
    <row r="17" spans="1:40" ht="15" thickBot="1" x14ac:dyDescent="0.4">
      <c r="A17" s="5" t="s">
        <v>31</v>
      </c>
      <c r="B17">
        <v>8.0199999999999994E-2</v>
      </c>
      <c r="C17">
        <v>0.1714</v>
      </c>
      <c r="K17" s="5" t="s">
        <v>31</v>
      </c>
      <c r="L17" s="6">
        <f t="shared" si="32"/>
        <v>0.11234754098244569</v>
      </c>
      <c r="M17" s="6">
        <f t="shared" si="33"/>
        <v>1.7522093547720888E-2</v>
      </c>
      <c r="N17" s="6">
        <f t="shared" si="24"/>
        <v>-0.11303468190588573</v>
      </c>
      <c r="O17" s="6">
        <f t="shared" si="24"/>
        <v>1.6147811700840817E-2</v>
      </c>
      <c r="P17" s="6">
        <f t="shared" si="24"/>
        <v>5.8406978492402957E-2</v>
      </c>
      <c r="Q17" s="9"/>
      <c r="R17" s="12">
        <f>O17</f>
        <v>1.6147811700840817E-2</v>
      </c>
      <c r="S17" s="12">
        <f>-N17</f>
        <v>0.11303468190588573</v>
      </c>
      <c r="T17" t="s">
        <v>52</v>
      </c>
      <c r="V17">
        <f t="shared" si="36"/>
        <v>9.6199729281604876E-2</v>
      </c>
      <c r="W17">
        <f t="shared" si="25"/>
        <v>1.374281846880071E-3</v>
      </c>
      <c r="X17">
        <f t="shared" si="26"/>
        <v>-0.12918249360672654</v>
      </c>
      <c r="Y17">
        <f t="shared" si="27"/>
        <v>0</v>
      </c>
      <c r="Z17">
        <f t="shared" si="28"/>
        <v>4.2259166791562136E-2</v>
      </c>
      <c r="AC17">
        <f>L17-$S17</f>
        <v>-6.8714092344003552E-4</v>
      </c>
      <c r="AD17">
        <f>M17-$S17</f>
        <v>-9.551258835816484E-2</v>
      </c>
      <c r="AE17" s="12">
        <f>S17+N17</f>
        <v>0</v>
      </c>
      <c r="AF17">
        <f t="shared" si="30"/>
        <v>-9.6886870205044912E-2</v>
      </c>
      <c r="AG17">
        <f t="shared" si="31"/>
        <v>-5.4627703413482769E-2</v>
      </c>
    </row>
    <row r="18" spans="1:40" ht="15" thickBot="1" x14ac:dyDescent="0.4">
      <c r="A18" s="5" t="s">
        <v>32</v>
      </c>
      <c r="B18">
        <v>0.1726</v>
      </c>
      <c r="C18">
        <v>0.11899999999999999</v>
      </c>
      <c r="K18" s="5" t="s">
        <v>32</v>
      </c>
      <c r="L18" s="6">
        <f t="shared" si="32"/>
        <v>4.7159598962515731E-2</v>
      </c>
      <c r="M18" s="6">
        <f t="shared" si="33"/>
        <v>6.2494488965292964E-2</v>
      </c>
      <c r="N18" s="6">
        <f t="shared" si="24"/>
        <v>7.0963967962642732E-2</v>
      </c>
      <c r="O18" s="6">
        <f t="shared" si="24"/>
        <v>1.9505466781775217E-2</v>
      </c>
      <c r="P18" s="6">
        <f t="shared" si="24"/>
        <v>5.1137687582483049E-2</v>
      </c>
      <c r="Q18" s="9"/>
      <c r="R18">
        <f t="shared" si="34"/>
        <v>1.9505466781775217E-2</v>
      </c>
      <c r="S18">
        <f t="shared" si="35"/>
        <v>7.0963967962642732E-2</v>
      </c>
      <c r="V18">
        <f t="shared" si="36"/>
        <v>2.7654132180740514E-2</v>
      </c>
      <c r="W18">
        <f t="shared" si="25"/>
        <v>4.2989022183517744E-2</v>
      </c>
      <c r="X18">
        <f t="shared" si="26"/>
        <v>5.1458501180867519E-2</v>
      </c>
      <c r="Y18">
        <f t="shared" si="27"/>
        <v>0</v>
      </c>
      <c r="Z18">
        <f t="shared" si="28"/>
        <v>3.1632220800707836E-2</v>
      </c>
      <c r="AC18">
        <f t="shared" si="37"/>
        <v>-2.3804369000127001E-2</v>
      </c>
      <c r="AD18">
        <f t="shared" si="29"/>
        <v>-8.4694789973497678E-3</v>
      </c>
      <c r="AE18">
        <f t="shared" si="38"/>
        <v>0</v>
      </c>
      <c r="AF18">
        <f t="shared" si="30"/>
        <v>-5.1458501180867519E-2</v>
      </c>
      <c r="AG18">
        <f t="shared" si="31"/>
        <v>-1.9826280380159683E-2</v>
      </c>
    </row>
    <row r="19" spans="1:40" ht="15" thickBot="1" x14ac:dyDescent="0.4">
      <c r="A19" s="5" t="s">
        <v>33</v>
      </c>
      <c r="B19">
        <v>0.3075</v>
      </c>
      <c r="C19">
        <v>0.1845</v>
      </c>
      <c r="K19" s="5" t="s">
        <v>33</v>
      </c>
      <c r="L19" s="6">
        <f t="shared" si="32"/>
        <v>7.6360921449846533E-2</v>
      </c>
      <c r="M19" s="6">
        <f t="shared" si="33"/>
        <v>0.10819999077409048</v>
      </c>
      <c r="N19" s="6">
        <f t="shared" si="24"/>
        <v>8.798680568442524E-2</v>
      </c>
      <c r="O19" s="6">
        <f t="shared" si="24"/>
        <v>3.1178507720006538E-2</v>
      </c>
      <c r="P19" s="6">
        <f t="shared" si="24"/>
        <v>8.8251030326120208E-2</v>
      </c>
      <c r="Q19" s="9"/>
      <c r="R19">
        <f t="shared" si="34"/>
        <v>3.1178507720006538E-2</v>
      </c>
      <c r="S19">
        <f t="shared" si="35"/>
        <v>0.10819999077409048</v>
      </c>
      <c r="V19">
        <f t="shared" si="36"/>
        <v>4.5182413729839999E-2</v>
      </c>
      <c r="W19">
        <f t="shared" si="25"/>
        <v>7.7021483054083947E-2</v>
      </c>
      <c r="X19">
        <f t="shared" si="26"/>
        <v>5.6808297964418705E-2</v>
      </c>
      <c r="Y19">
        <f t="shared" si="27"/>
        <v>0</v>
      </c>
      <c r="Z19">
        <f t="shared" si="28"/>
        <v>5.7072522606113674E-2</v>
      </c>
      <c r="AC19">
        <f t="shared" si="37"/>
        <v>-3.1839069324243949E-2</v>
      </c>
      <c r="AD19">
        <f>M19-$S19</f>
        <v>0</v>
      </c>
      <c r="AE19">
        <f t="shared" si="38"/>
        <v>-2.0213185089665242E-2</v>
      </c>
      <c r="AF19">
        <f t="shared" si="30"/>
        <v>-7.7021483054083947E-2</v>
      </c>
      <c r="AG19">
        <f t="shared" si="31"/>
        <v>-1.9948960447970274E-2</v>
      </c>
    </row>
    <row r="20" spans="1:40" ht="15" thickBot="1" x14ac:dyDescent="0.4">
      <c r="A20" s="5" t="s">
        <v>34</v>
      </c>
      <c r="B20">
        <v>0.12920000000000001</v>
      </c>
      <c r="C20">
        <v>0.12920000000000001</v>
      </c>
      <c r="K20" s="5" t="s">
        <v>34</v>
      </c>
      <c r="L20" s="6">
        <f t="shared" si="32"/>
        <v>6.1880460437915168E-2</v>
      </c>
      <c r="M20" s="6">
        <f t="shared" si="33"/>
        <v>2.4346410664097769E-2</v>
      </c>
      <c r="N20" s="6">
        <f t="shared" si="24"/>
        <v>-3.4490748440805179E-2</v>
      </c>
      <c r="O20" s="6">
        <f t="shared" si="24"/>
        <v>9.3327907545708119E-2</v>
      </c>
      <c r="P20" s="6">
        <f t="shared" si="24"/>
        <v>4.8692821328195537E-2</v>
      </c>
      <c r="Q20" s="9"/>
      <c r="R20" s="12">
        <f t="shared" si="35"/>
        <v>9.3327907545708119E-2</v>
      </c>
      <c r="S20" s="12">
        <f t="shared" si="34"/>
        <v>-3.4490748440805179E-2</v>
      </c>
      <c r="T20" t="s">
        <v>53</v>
      </c>
      <c r="V20">
        <f t="shared" si="36"/>
        <v>-3.1447447107792952E-2</v>
      </c>
      <c r="W20">
        <f t="shared" si="25"/>
        <v>-6.8981496881610344E-2</v>
      </c>
      <c r="X20">
        <f t="shared" si="26"/>
        <v>-0.12781865598651329</v>
      </c>
      <c r="Y20">
        <f t="shared" si="27"/>
        <v>0</v>
      </c>
      <c r="Z20">
        <f t="shared" si="28"/>
        <v>-4.4635086217512582E-2</v>
      </c>
      <c r="AC20">
        <f t="shared" si="37"/>
        <v>9.6371208878720346E-2</v>
      </c>
      <c r="AD20">
        <f t="shared" si="29"/>
        <v>5.8837159104902947E-2</v>
      </c>
      <c r="AE20">
        <f t="shared" si="38"/>
        <v>0</v>
      </c>
      <c r="AF20">
        <f t="shared" si="30"/>
        <v>0.12781865598651329</v>
      </c>
      <c r="AG20">
        <f t="shared" si="31"/>
        <v>8.3183569769000709E-2</v>
      </c>
    </row>
    <row r="21" spans="1:40" x14ac:dyDescent="0.35">
      <c r="U21" s="11" t="s">
        <v>54</v>
      </c>
      <c r="V21" s="11">
        <f>SQRT(V14^2+V15^2+V16^2+V17^2+V18^2+V19^2+V20^2)</f>
        <v>0.12908858470929355</v>
      </c>
      <c r="W21" s="11">
        <f>SQRT(W14^2+W15^2+W16^2+W17^2+W18^2+W19^2+W20^2)</f>
        <v>0.14346226529222086</v>
      </c>
      <c r="X21" s="11">
        <f>SQRT(X14^2+X15^2+X16^2+X17^2+X18^2+X19^2+X20^2)</f>
        <v>0.22502029129599593</v>
      </c>
      <c r="Y21" s="11">
        <f>SQRT(Y14^2+Y15^2+Y16^2+Y17^2+Y18^2+Y19^2+Y20^2)</f>
        <v>4.0894706545927303E-3</v>
      </c>
      <c r="Z21" s="11">
        <f>SQRT(Z14^2+Z15^2+Z16^2+Z17^2+Z18^2+Z19^2+Z20^2)</f>
        <v>0.11277300969318611</v>
      </c>
      <c r="AA21" s="11"/>
      <c r="AB21" s="11" t="s">
        <v>55</v>
      </c>
      <c r="AC21" s="11">
        <f>SQRT(AC14^2+AC15^2+AC16^2+AC17^2+AC18^2+AC19^2+AC20^2)</f>
        <v>0.11955283663427795</v>
      </c>
      <c r="AD21" s="11">
        <f>SQRT(AD14^2+AD15^2+AD16^2+AD17^2+AD18^2+AD19^2+AD20^2)</f>
        <v>0.12507888487645324</v>
      </c>
      <c r="AE21" s="11">
        <f>SQRT(AE14^2+AE15^2+AE16^2+AE17^2+AE18^2+AE19^2+AE20^2)</f>
        <v>2.4596810349176636E-2</v>
      </c>
      <c r="AF21" s="11">
        <f>SQRT(AF14^2+AF15^2+AF16^2+AF17^2+AF18^2+AF19^2+AF20^2)</f>
        <v>0.21748613599161448</v>
      </c>
      <c r="AG21" s="11">
        <f>SQRT(AG14^2+AG15^2+AG16^2+AG17^2+AG18^2+AG19^2+AG20^2)</f>
        <v>0.11635297577141399</v>
      </c>
      <c r="AI21" t="s">
        <v>56</v>
      </c>
      <c r="AJ21" s="11">
        <f>AC21/(AC21+V21)</f>
        <v>0.48082429704695273</v>
      </c>
      <c r="AK21" s="11">
        <f t="shared" ref="AK21:AN21" si="39">AD21/(AD21+W21)</f>
        <v>0.46577176271826354</v>
      </c>
      <c r="AL21" s="11">
        <f t="shared" si="39"/>
        <v>9.8538161796865503E-2</v>
      </c>
      <c r="AM21" s="11">
        <f t="shared" si="39"/>
        <v>0.98154367840173651</v>
      </c>
      <c r="AN21" s="11">
        <f t="shared" si="39"/>
        <v>0.50781222188956165</v>
      </c>
    </row>
    <row r="22" spans="1:40" x14ac:dyDescent="0.35">
      <c r="AI22" s="11" t="s">
        <v>58</v>
      </c>
      <c r="AJ22" s="11">
        <v>3</v>
      </c>
      <c r="AK22" s="11">
        <v>4</v>
      </c>
      <c r="AL22" s="11">
        <v>5</v>
      </c>
      <c r="AM22" s="11">
        <v>1</v>
      </c>
      <c r="AN22" s="11">
        <v>2</v>
      </c>
    </row>
    <row r="27" spans="1:40" ht="15" thickBot="1" x14ac:dyDescent="0.4"/>
    <row r="28" spans="1:40" ht="15" thickBot="1" x14ac:dyDescent="0.4">
      <c r="U28" s="8"/>
      <c r="V28" s="4"/>
      <c r="W28" s="3"/>
      <c r="X28" s="7"/>
      <c r="Y28" s="7"/>
      <c r="Z28" s="7"/>
      <c r="AB28" s="8"/>
      <c r="AC28" s="4"/>
      <c r="AD28" s="3"/>
      <c r="AE28" s="7"/>
      <c r="AF28" s="7"/>
      <c r="AG28" s="7"/>
    </row>
    <row r="31" spans="1:40" ht="15" thickBot="1" x14ac:dyDescent="0.4"/>
    <row r="32" spans="1:40" ht="42.5" thickBot="1" x14ac:dyDescent="0.4">
      <c r="T32" s="4" t="s">
        <v>44</v>
      </c>
      <c r="U32" s="3" t="s">
        <v>45</v>
      </c>
      <c r="V32" s="7" t="s">
        <v>46</v>
      </c>
      <c r="W32" s="7" t="s">
        <v>47</v>
      </c>
      <c r="X32" s="7" t="s">
        <v>13</v>
      </c>
    </row>
    <row r="33" spans="6:33" ht="26.5" thickBot="1" x14ac:dyDescent="0.4">
      <c r="F33" s="22"/>
      <c r="G33" s="23" t="s">
        <v>44</v>
      </c>
      <c r="H33" s="23" t="s">
        <v>45</v>
      </c>
      <c r="I33" s="23" t="s">
        <v>67</v>
      </c>
      <c r="J33" s="23" t="s">
        <v>68</v>
      </c>
      <c r="K33" s="23" t="s">
        <v>13</v>
      </c>
      <c r="M33" s="22"/>
      <c r="N33" s="24" t="s">
        <v>54</v>
      </c>
      <c r="O33" s="24" t="s">
        <v>55</v>
      </c>
      <c r="P33" s="24" t="s">
        <v>56</v>
      </c>
      <c r="Q33" s="27" t="s">
        <v>69</v>
      </c>
      <c r="S33" s="24" t="s">
        <v>54</v>
      </c>
      <c r="T33" s="11">
        <v>0.11124586369320787</v>
      </c>
      <c r="U33">
        <v>0.17255415967803592</v>
      </c>
      <c r="V33">
        <v>0.20915567981757824</v>
      </c>
      <c r="W33">
        <v>2.9556298812009759E-3</v>
      </c>
      <c r="X33">
        <v>0.12735292995175834</v>
      </c>
    </row>
    <row r="34" spans="6:33" ht="26.5" thickBot="1" x14ac:dyDescent="0.4">
      <c r="F34" s="24" t="s">
        <v>54</v>
      </c>
      <c r="G34" s="25">
        <v>0.12908858470929355</v>
      </c>
      <c r="H34" s="26">
        <v>0.14346226529222086</v>
      </c>
      <c r="I34" s="25">
        <v>0.22502029129599593</v>
      </c>
      <c r="J34" s="26">
        <v>4.0894706545927303E-3</v>
      </c>
      <c r="K34" s="25">
        <v>0.11277300969318611</v>
      </c>
      <c r="L34" s="29"/>
      <c r="M34" s="23" t="s">
        <v>68</v>
      </c>
      <c r="N34" s="34">
        <v>4.0894706545927303E-3</v>
      </c>
      <c r="O34" s="34">
        <v>0.21748613599161448</v>
      </c>
      <c r="P34" s="34">
        <v>0.98154367840173651</v>
      </c>
      <c r="Q34" s="28">
        <v>1</v>
      </c>
      <c r="S34" s="24" t="s">
        <v>55</v>
      </c>
      <c r="T34" s="11">
        <v>0.12770355431935884</v>
      </c>
      <c r="U34" s="11">
        <v>8.7166297379895785E-2</v>
      </c>
      <c r="V34" s="11">
        <v>3.4499265292097001E-2</v>
      </c>
      <c r="W34" s="11">
        <v>0.22329776577454299</v>
      </c>
      <c r="X34" s="11">
        <v>0.10912120861008093</v>
      </c>
    </row>
    <row r="35" spans="6:33" ht="15" thickBot="1" x14ac:dyDescent="0.4">
      <c r="F35" s="24" t="s">
        <v>55</v>
      </c>
      <c r="G35" s="26">
        <v>0.11955283663427795</v>
      </c>
      <c r="H35" s="26">
        <v>0.12507888487645324</v>
      </c>
      <c r="I35" s="26">
        <v>2.4596810349176636E-2</v>
      </c>
      <c r="J35" s="26">
        <v>0.21748613599161448</v>
      </c>
      <c r="K35" s="26">
        <v>0.11635297577141399</v>
      </c>
      <c r="L35" s="30"/>
      <c r="M35" s="23" t="s">
        <v>13</v>
      </c>
      <c r="N35" s="33">
        <v>0.11277300969318611</v>
      </c>
      <c r="O35" s="34">
        <v>0.11635297577141399</v>
      </c>
      <c r="P35" s="33">
        <v>0.50781222188956165</v>
      </c>
      <c r="Q35" s="28">
        <v>2</v>
      </c>
      <c r="S35" s="24" t="s">
        <v>56</v>
      </c>
      <c r="T35" s="11">
        <v>0.53443760349582747</v>
      </c>
      <c r="U35">
        <v>0.33561583237339287</v>
      </c>
      <c r="V35">
        <v>0.14159066329053166</v>
      </c>
      <c r="W35">
        <v>0.98693663857448521</v>
      </c>
      <c r="X35">
        <v>0.46145091921561282</v>
      </c>
    </row>
    <row r="36" spans="6:33" ht="26.5" thickBot="1" x14ac:dyDescent="0.4">
      <c r="F36" s="24" t="s">
        <v>56</v>
      </c>
      <c r="G36" s="25">
        <v>0.48082429704695273</v>
      </c>
      <c r="H36" s="26">
        <v>0.46577176271826354</v>
      </c>
      <c r="I36" s="25">
        <v>9.8538161796865503E-2</v>
      </c>
      <c r="J36" s="26">
        <v>0.98154367840173651</v>
      </c>
      <c r="K36" s="25">
        <v>0.50781222188956165</v>
      </c>
      <c r="L36" s="30"/>
      <c r="M36" s="23" t="s">
        <v>44</v>
      </c>
      <c r="N36" s="33">
        <v>0.12908858470929355</v>
      </c>
      <c r="O36" s="34">
        <v>0.11955283663427795</v>
      </c>
      <c r="P36" s="33">
        <v>0.48082429704695273</v>
      </c>
      <c r="Q36" s="28">
        <v>3</v>
      </c>
      <c r="S36" s="27" t="s">
        <v>69</v>
      </c>
      <c r="T36" s="11">
        <v>2</v>
      </c>
      <c r="U36">
        <v>4</v>
      </c>
      <c r="V36">
        <v>5</v>
      </c>
      <c r="W36">
        <v>1</v>
      </c>
      <c r="X36">
        <v>3</v>
      </c>
      <c r="AB36" s="11"/>
      <c r="AC36" s="11"/>
      <c r="AD36" s="11"/>
      <c r="AE36" s="11"/>
      <c r="AF36" s="11"/>
      <c r="AG36" s="11"/>
    </row>
    <row r="37" spans="6:33" ht="15" thickBot="1" x14ac:dyDescent="0.4">
      <c r="F37" s="27" t="s">
        <v>69</v>
      </c>
      <c r="G37" s="28">
        <v>3</v>
      </c>
      <c r="H37" s="28">
        <v>4</v>
      </c>
      <c r="I37" s="28">
        <v>5</v>
      </c>
      <c r="J37" s="28">
        <v>1</v>
      </c>
      <c r="K37" s="28">
        <v>2</v>
      </c>
      <c r="L37" s="30"/>
      <c r="M37" s="23" t="s">
        <v>45</v>
      </c>
      <c r="N37" s="34">
        <v>0.14346226529222086</v>
      </c>
      <c r="O37" s="34">
        <v>0.12507888487645324</v>
      </c>
      <c r="P37" s="34">
        <v>0.46577176271826354</v>
      </c>
      <c r="Q37" s="28">
        <v>4</v>
      </c>
      <c r="T37" s="11"/>
    </row>
    <row r="38" spans="6:33" ht="15" thickBot="1" x14ac:dyDescent="0.4">
      <c r="L38" s="30"/>
      <c r="M38" s="23" t="s">
        <v>67</v>
      </c>
      <c r="N38" s="33">
        <v>0.22502029129599593</v>
      </c>
      <c r="O38" s="34">
        <v>2.4596810349176636E-2</v>
      </c>
      <c r="P38" s="33">
        <v>9.8538161796865503E-2</v>
      </c>
      <c r="Q38" s="28">
        <v>5</v>
      </c>
    </row>
    <row r="39" spans="6:33" ht="15" thickBot="1" x14ac:dyDescent="0.4">
      <c r="L39" s="30"/>
      <c r="M39" s="32"/>
      <c r="N39" s="32"/>
      <c r="O39" s="32"/>
      <c r="P39" s="31"/>
      <c r="T39" s="24" t="s">
        <v>54</v>
      </c>
      <c r="U39" s="24" t="s">
        <v>55</v>
      </c>
      <c r="V39" s="24" t="s">
        <v>56</v>
      </c>
      <c r="W39" s="27" t="s">
        <v>69</v>
      </c>
    </row>
    <row r="40" spans="6:33" ht="15" thickBot="1" x14ac:dyDescent="0.4">
      <c r="S40" s="38" t="s">
        <v>47</v>
      </c>
      <c r="T40" s="39">
        <v>2.9556298812009759E-3</v>
      </c>
      <c r="U40" s="40">
        <v>0.22329776577454299</v>
      </c>
      <c r="V40" s="39">
        <v>0.98693663857448521</v>
      </c>
      <c r="W40" s="41">
        <v>1</v>
      </c>
    </row>
    <row r="41" spans="6:33" ht="15" thickBot="1" x14ac:dyDescent="0.4">
      <c r="S41" s="42" t="s">
        <v>44</v>
      </c>
      <c r="T41" s="40">
        <v>0.11124586369320787</v>
      </c>
      <c r="U41" s="40">
        <v>0.12770355431935884</v>
      </c>
      <c r="V41" s="40">
        <v>0.53443760349582747</v>
      </c>
      <c r="W41" s="43">
        <v>2</v>
      </c>
    </row>
    <row r="42" spans="6:33" ht="15" thickBot="1" x14ac:dyDescent="0.4">
      <c r="S42" s="44" t="s">
        <v>13</v>
      </c>
      <c r="T42" s="39">
        <v>0.12735292995175834</v>
      </c>
      <c r="U42" s="40">
        <v>0.10912120861008093</v>
      </c>
      <c r="V42" s="39">
        <v>0.46145091921561282</v>
      </c>
      <c r="W42" s="41">
        <v>3</v>
      </c>
    </row>
    <row r="43" spans="6:33" ht="15" thickBot="1" x14ac:dyDescent="0.4">
      <c r="S43" s="42" t="s">
        <v>45</v>
      </c>
      <c r="T43" s="39">
        <v>0.17255415967803592</v>
      </c>
      <c r="U43" s="40">
        <v>8.7166297379895785E-2</v>
      </c>
      <c r="V43" s="39">
        <v>0.33561583237339287</v>
      </c>
      <c r="W43" s="41">
        <v>4</v>
      </c>
    </row>
    <row r="44" spans="6:33" ht="15" thickBot="1" x14ac:dyDescent="0.4">
      <c r="S44" s="44" t="s">
        <v>46</v>
      </c>
      <c r="T44" s="39">
        <v>0.20915567981757824</v>
      </c>
      <c r="U44" s="40">
        <v>3.4499265292097001E-2</v>
      </c>
      <c r="V44" s="39">
        <v>0.14159066329053166</v>
      </c>
      <c r="W44" s="41">
        <v>5</v>
      </c>
    </row>
  </sheetData>
  <sortState xmlns:xlrd2="http://schemas.microsoft.com/office/spreadsheetml/2017/richdata2" ref="S40:W44">
    <sortCondition ref="W40"/>
  </sortState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N44"/>
  <sheetViews>
    <sheetView zoomScale="68" workbookViewId="0">
      <selection activeCell="B1" sqref="A1:XFD1"/>
    </sheetView>
  </sheetViews>
  <sheetFormatPr defaultColWidth="8.81640625" defaultRowHeight="14.5" x14ac:dyDescent="0.35"/>
  <cols>
    <col min="2" max="6" width="8.90625" bestFit="1" customWidth="1"/>
    <col min="8" max="8" width="8.90625" bestFit="1" customWidth="1"/>
    <col min="12" max="13" width="11.36328125" bestFit="1" customWidth="1"/>
    <col min="14" max="14" width="12" bestFit="1" customWidth="1"/>
    <col min="17" max="17" width="3.1796875" customWidth="1"/>
    <col min="18" max="18" width="13.7265625" bestFit="1" customWidth="1"/>
    <col min="19" max="19" width="14.1796875" bestFit="1" customWidth="1"/>
  </cols>
  <sheetData>
    <row r="1" spans="1:40" ht="15" thickBot="1" x14ac:dyDescent="0.4">
      <c r="A1" s="78" t="s">
        <v>93</v>
      </c>
    </row>
    <row r="2" spans="1:40" ht="42.5" thickBot="1" x14ac:dyDescent="0.4">
      <c r="A2" s="3" t="s">
        <v>43</v>
      </c>
      <c r="B2" s="4" t="s">
        <v>44</v>
      </c>
      <c r="C2" s="3" t="s">
        <v>45</v>
      </c>
      <c r="D2" s="7" t="s">
        <v>46</v>
      </c>
      <c r="E2" s="7" t="s">
        <v>47</v>
      </c>
      <c r="F2" s="7" t="s">
        <v>13</v>
      </c>
      <c r="H2" s="10" t="s">
        <v>48</v>
      </c>
      <c r="J2" t="s">
        <v>49</v>
      </c>
      <c r="K2" s="3" t="s">
        <v>43</v>
      </c>
      <c r="L2" s="4" t="s">
        <v>44</v>
      </c>
      <c r="M2" s="3" t="s">
        <v>45</v>
      </c>
      <c r="N2" s="7" t="s">
        <v>46</v>
      </c>
      <c r="O2" s="7" t="s">
        <v>47</v>
      </c>
      <c r="P2" s="7" t="s">
        <v>13</v>
      </c>
      <c r="Q2" s="8"/>
      <c r="R2" s="8" t="s">
        <v>50</v>
      </c>
      <c r="S2" s="8" t="s">
        <v>51</v>
      </c>
      <c r="U2" s="8" t="s">
        <v>50</v>
      </c>
      <c r="V2" s="4" t="s">
        <v>44</v>
      </c>
      <c r="W2" s="3" t="s">
        <v>45</v>
      </c>
      <c r="X2" s="7" t="s">
        <v>46</v>
      </c>
      <c r="Y2" s="7" t="s">
        <v>47</v>
      </c>
      <c r="Z2" s="7" t="s">
        <v>13</v>
      </c>
      <c r="AB2" s="8" t="s">
        <v>51</v>
      </c>
      <c r="AC2" s="4" t="s">
        <v>44</v>
      </c>
      <c r="AD2" s="3" t="s">
        <v>45</v>
      </c>
      <c r="AE2" s="7" t="s">
        <v>46</v>
      </c>
      <c r="AF2" s="7" t="s">
        <v>47</v>
      </c>
      <c r="AG2" s="7" t="s">
        <v>13</v>
      </c>
      <c r="AJ2" s="4" t="s">
        <v>44</v>
      </c>
      <c r="AK2" s="3" t="s">
        <v>45</v>
      </c>
      <c r="AL2" s="7" t="s">
        <v>46</v>
      </c>
      <c r="AM2" s="7" t="s">
        <v>47</v>
      </c>
      <c r="AN2" s="7" t="s">
        <v>13</v>
      </c>
    </row>
    <row r="3" spans="1:40" ht="15" thickBot="1" x14ac:dyDescent="0.4">
      <c r="A3" s="5" t="s">
        <v>28</v>
      </c>
      <c r="B3" s="13">
        <v>36.94</v>
      </c>
      <c r="C3" s="14">
        <v>1.33</v>
      </c>
      <c r="D3" s="21">
        <f>(-52.42)</f>
        <v>-52.42</v>
      </c>
      <c r="E3" s="15">
        <v>5.58</v>
      </c>
      <c r="F3" s="15">
        <v>17.5</v>
      </c>
      <c r="H3">
        <f t="shared" ref="H3:H9" si="0">SQRT(B3^2+C3^2+F3^2+D3^2+E3^2)</f>
        <v>66.72012664856085</v>
      </c>
      <c r="K3" s="5" t="s">
        <v>28</v>
      </c>
      <c r="L3" s="6">
        <f t="shared" ref="L3:P9" si="1">B3/$H3*$B14</f>
        <v>3.2112049356342369E-2</v>
      </c>
      <c r="M3" s="6">
        <f t="shared" si="1"/>
        <v>1.1561728652933231E-3</v>
      </c>
      <c r="N3" s="6">
        <f t="shared" si="1"/>
        <v>-4.5568858344869165E-2</v>
      </c>
      <c r="O3" s="6">
        <f t="shared" si="1"/>
        <v>4.8507102167945435E-3</v>
      </c>
      <c r="P3" s="6">
        <f t="shared" si="1"/>
        <v>1.5212800859122673E-2</v>
      </c>
      <c r="Q3" s="9"/>
      <c r="R3" s="35">
        <f>M3</f>
        <v>1.1561728652933231E-3</v>
      </c>
      <c r="S3" s="35">
        <f>-N3</f>
        <v>4.5568858344869165E-2</v>
      </c>
      <c r="T3" t="s">
        <v>52</v>
      </c>
      <c r="V3">
        <f>L3-$R3</f>
        <v>3.0955876491049045E-2</v>
      </c>
      <c r="W3">
        <f t="shared" ref="W3:Z9" si="2">M3-$R3</f>
        <v>0</v>
      </c>
      <c r="X3">
        <f t="shared" si="2"/>
        <v>-4.6725031210162485E-2</v>
      </c>
      <c r="Y3">
        <f t="shared" si="2"/>
        <v>3.6945373515012204E-3</v>
      </c>
      <c r="Z3">
        <f t="shared" si="2"/>
        <v>1.4056627993829349E-2</v>
      </c>
      <c r="AC3">
        <f>L3-$S3</f>
        <v>-1.3456808988526796E-2</v>
      </c>
      <c r="AD3">
        <f t="shared" ref="AD3:AG9" si="3">M3-$S3</f>
        <v>-4.4412685479575845E-2</v>
      </c>
      <c r="AE3" s="12">
        <f>N3+$S3</f>
        <v>0</v>
      </c>
      <c r="AF3">
        <f t="shared" si="3"/>
        <v>-4.0718148128074623E-2</v>
      </c>
      <c r="AG3">
        <f t="shared" si="3"/>
        <v>-3.035605748574649E-2</v>
      </c>
    </row>
    <row r="4" spans="1:40" ht="15" thickBot="1" x14ac:dyDescent="0.4">
      <c r="A4" s="5" t="s">
        <v>29</v>
      </c>
      <c r="B4" s="13">
        <v>75.989999999999995</v>
      </c>
      <c r="C4" s="14">
        <v>112.17</v>
      </c>
      <c r="D4" s="14">
        <v>97.42</v>
      </c>
      <c r="E4" s="15">
        <v>33.25</v>
      </c>
      <c r="F4" s="15">
        <v>92</v>
      </c>
      <c r="H4">
        <f t="shared" si="0"/>
        <v>193.43424696780039</v>
      </c>
      <c r="K4" s="5" t="s">
        <v>29</v>
      </c>
      <c r="L4" s="6">
        <f t="shared" si="1"/>
        <v>4.7878188041550154E-2</v>
      </c>
      <c r="M4" s="6">
        <f t="shared" si="1"/>
        <v>7.0673724866701954E-2</v>
      </c>
      <c r="N4" s="6">
        <f t="shared" si="1"/>
        <v>6.1380353717697289E-2</v>
      </c>
      <c r="O4" s="6">
        <f t="shared" si="1"/>
        <v>2.0949463776569848E-2</v>
      </c>
      <c r="P4" s="6">
        <f t="shared" si="1"/>
        <v>5.7965433607351159E-2</v>
      </c>
      <c r="Q4" s="9"/>
      <c r="R4" s="36">
        <f t="shared" ref="R4:S9" si="4">MIN(L4:P4)</f>
        <v>2.0949463776569848E-2</v>
      </c>
      <c r="S4" s="36">
        <f t="shared" ref="R4:S9" si="5">MAX(L4:P4)</f>
        <v>7.0673724866701954E-2</v>
      </c>
      <c r="V4">
        <f t="shared" ref="V4:V9" si="6">L4-$R4</f>
        <v>2.6928724264980306E-2</v>
      </c>
      <c r="W4">
        <f t="shared" si="2"/>
        <v>4.9724261090132102E-2</v>
      </c>
      <c r="X4">
        <f t="shared" si="2"/>
        <v>4.0430889941127438E-2</v>
      </c>
      <c r="Y4">
        <f t="shared" si="2"/>
        <v>0</v>
      </c>
      <c r="Z4">
        <f t="shared" si="2"/>
        <v>3.7015969830781315E-2</v>
      </c>
      <c r="AC4">
        <f t="shared" ref="AC4:AC9" si="7">L4-$S4</f>
        <v>-2.2795536825151799E-2</v>
      </c>
      <c r="AD4">
        <f t="shared" si="3"/>
        <v>0</v>
      </c>
      <c r="AE4">
        <f t="shared" si="3"/>
        <v>-9.2933711490046644E-3</v>
      </c>
      <c r="AF4">
        <f t="shared" si="3"/>
        <v>-4.9724261090132102E-2</v>
      </c>
      <c r="AG4">
        <f t="shared" si="3"/>
        <v>-1.2708291259350794E-2</v>
      </c>
    </row>
    <row r="5" spans="1:40" ht="15" thickBot="1" x14ac:dyDescent="0.4">
      <c r="A5" s="5" t="s">
        <v>30</v>
      </c>
      <c r="B5" s="13">
        <v>92.53</v>
      </c>
      <c r="C5" s="14">
        <v>129.69999999999999</v>
      </c>
      <c r="D5" s="14">
        <v>171.94</v>
      </c>
      <c r="E5" s="15">
        <v>42.85</v>
      </c>
      <c r="F5" s="15">
        <v>107.11</v>
      </c>
      <c r="H5">
        <f t="shared" si="0"/>
        <v>261.25835699552272</v>
      </c>
      <c r="K5" s="5" t="s">
        <v>30</v>
      </c>
      <c r="L5" s="6">
        <f t="shared" si="1"/>
        <v>7.3756004292449204E-2</v>
      </c>
      <c r="M5" s="6">
        <f t="shared" si="1"/>
        <v>0.10338434839220427</v>
      </c>
      <c r="N5" s="6">
        <f t="shared" si="1"/>
        <v>0.1370540081924102</v>
      </c>
      <c r="O5" s="6">
        <f t="shared" si="1"/>
        <v>3.4155893050161555E-2</v>
      </c>
      <c r="P5" s="6">
        <f t="shared" si="1"/>
        <v>8.5377776070077099E-2</v>
      </c>
      <c r="Q5" s="9"/>
      <c r="R5" s="36">
        <f t="shared" si="4"/>
        <v>3.4155893050161555E-2</v>
      </c>
      <c r="S5" s="36">
        <f t="shared" si="5"/>
        <v>0.1370540081924102</v>
      </c>
      <c r="V5">
        <f t="shared" si="6"/>
        <v>3.9600111242287649E-2</v>
      </c>
      <c r="W5">
        <f t="shared" si="2"/>
        <v>6.9228455342042722E-2</v>
      </c>
      <c r="X5">
        <f t="shared" si="2"/>
        <v>0.10289811514224864</v>
      </c>
      <c r="Y5">
        <f t="shared" si="2"/>
        <v>0</v>
      </c>
      <c r="Z5">
        <f t="shared" si="2"/>
        <v>5.1221883019915544E-2</v>
      </c>
      <c r="AC5">
        <f t="shared" si="7"/>
        <v>-6.3298003899961E-2</v>
      </c>
      <c r="AD5">
        <f t="shared" si="3"/>
        <v>-3.3669659800205934E-2</v>
      </c>
      <c r="AE5">
        <f t="shared" si="3"/>
        <v>0</v>
      </c>
      <c r="AF5">
        <f t="shared" si="3"/>
        <v>-0.10289811514224864</v>
      </c>
      <c r="AG5">
        <f t="shared" si="3"/>
        <v>-5.1676232122333104E-2</v>
      </c>
    </row>
    <row r="6" spans="1:40" ht="15" thickBot="1" x14ac:dyDescent="0.4">
      <c r="A6" s="5" t="s">
        <v>31</v>
      </c>
      <c r="B6" s="16">
        <v>3.27</v>
      </c>
      <c r="C6" s="16">
        <v>0.51</v>
      </c>
      <c r="D6" s="20">
        <f>(-3.29)</f>
        <v>-3.29</v>
      </c>
      <c r="E6" s="16">
        <v>0.47</v>
      </c>
      <c r="F6" s="16">
        <v>1.7</v>
      </c>
      <c r="H6">
        <f t="shared" si="0"/>
        <v>4.9887874278225164</v>
      </c>
      <c r="K6" s="5" t="s">
        <v>31</v>
      </c>
      <c r="L6" s="6">
        <f t="shared" si="1"/>
        <v>6.5710857546617152E-2</v>
      </c>
      <c r="M6" s="6">
        <f t="shared" si="1"/>
        <v>1.0248482369655885E-2</v>
      </c>
      <c r="N6" s="6">
        <f t="shared" si="1"/>
        <v>-6.6112758816015416E-2</v>
      </c>
      <c r="O6" s="6">
        <f t="shared" si="1"/>
        <v>9.4446798308593441E-3</v>
      </c>
      <c r="P6" s="6">
        <f t="shared" si="1"/>
        <v>3.4161607898852954E-2</v>
      </c>
      <c r="Q6" s="9"/>
      <c r="R6" s="35">
        <f>O6</f>
        <v>9.4446798308593441E-3</v>
      </c>
      <c r="S6" s="35">
        <f>-N6</f>
        <v>6.6112758816015416E-2</v>
      </c>
      <c r="T6" t="s">
        <v>52</v>
      </c>
      <c r="V6">
        <f t="shared" si="6"/>
        <v>5.6266177715757808E-2</v>
      </c>
      <c r="W6">
        <f t="shared" si="2"/>
        <v>8.038025387965414E-4</v>
      </c>
      <c r="X6">
        <f t="shared" si="2"/>
        <v>-7.5557438646874753E-2</v>
      </c>
      <c r="Y6">
        <f t="shared" si="2"/>
        <v>0</v>
      </c>
      <c r="Z6">
        <f t="shared" si="2"/>
        <v>2.471692806799361E-2</v>
      </c>
      <c r="AC6">
        <f t="shared" si="7"/>
        <v>-4.0190126939826376E-4</v>
      </c>
      <c r="AD6">
        <f t="shared" si="3"/>
        <v>-5.586427644635953E-2</v>
      </c>
      <c r="AE6" s="12">
        <f>N6+$S6</f>
        <v>0</v>
      </c>
      <c r="AF6">
        <f t="shared" si="3"/>
        <v>-5.6668078985156072E-2</v>
      </c>
      <c r="AG6">
        <f t="shared" si="3"/>
        <v>-3.1951150917162462E-2</v>
      </c>
    </row>
    <row r="7" spans="1:40" ht="15" thickBot="1" x14ac:dyDescent="0.4">
      <c r="A7" s="5" t="s">
        <v>32</v>
      </c>
      <c r="B7" s="16">
        <v>7.35</v>
      </c>
      <c r="C7" s="16">
        <v>9.74</v>
      </c>
      <c r="D7" s="16">
        <v>11.06</v>
      </c>
      <c r="E7" s="16">
        <v>3.04</v>
      </c>
      <c r="F7" s="16">
        <v>7.97</v>
      </c>
      <c r="H7">
        <f t="shared" si="0"/>
        <v>18.546595374892934</v>
      </c>
      <c r="K7" s="5" t="s">
        <v>32</v>
      </c>
      <c r="L7" s="6">
        <f t="shared" si="1"/>
        <v>8.5501541816493859E-2</v>
      </c>
      <c r="M7" s="6">
        <f t="shared" si="1"/>
        <v>0.1133040839853946</v>
      </c>
      <c r="N7" s="6">
        <f t="shared" si="1"/>
        <v>0.12865946292386696</v>
      </c>
      <c r="O7" s="6">
        <f t="shared" si="1"/>
        <v>3.5363903009815151E-2</v>
      </c>
      <c r="P7" s="6">
        <f t="shared" si="1"/>
        <v>9.2713916772443006E-2</v>
      </c>
      <c r="Q7" s="9"/>
      <c r="R7" s="36">
        <f t="shared" si="4"/>
        <v>3.5363903009815151E-2</v>
      </c>
      <c r="S7" s="36">
        <f t="shared" si="5"/>
        <v>0.12865946292386696</v>
      </c>
      <c r="V7">
        <f t="shared" si="6"/>
        <v>5.0137638806678708E-2</v>
      </c>
      <c r="W7">
        <f t="shared" si="2"/>
        <v>7.7940180975579448E-2</v>
      </c>
      <c r="X7">
        <f t="shared" si="2"/>
        <v>9.3295559914051807E-2</v>
      </c>
      <c r="Y7">
        <f t="shared" si="2"/>
        <v>0</v>
      </c>
      <c r="Z7">
        <f t="shared" si="2"/>
        <v>5.7350013762627855E-2</v>
      </c>
      <c r="AC7">
        <f t="shared" si="7"/>
        <v>-4.3157921107373098E-2</v>
      </c>
      <c r="AD7">
        <f t="shared" si="3"/>
        <v>-1.5355378938472358E-2</v>
      </c>
      <c r="AE7">
        <f t="shared" si="3"/>
        <v>0</v>
      </c>
      <c r="AF7">
        <f t="shared" si="3"/>
        <v>-9.3295559914051807E-2</v>
      </c>
      <c r="AG7">
        <f t="shared" si="3"/>
        <v>-3.5945546151423952E-2</v>
      </c>
    </row>
    <row r="8" spans="1:40" ht="15" thickBot="1" x14ac:dyDescent="0.4">
      <c r="A8" s="5" t="s">
        <v>33</v>
      </c>
      <c r="B8" s="16">
        <v>5.78</v>
      </c>
      <c r="C8" s="16">
        <v>8.19</v>
      </c>
      <c r="D8" s="16">
        <v>6.66</v>
      </c>
      <c r="E8" s="16">
        <v>2.36</v>
      </c>
      <c r="F8" s="16">
        <v>6.68</v>
      </c>
      <c r="H8">
        <f t="shared" si="0"/>
        <v>13.965389360844902</v>
      </c>
      <c r="K8" s="5" t="s">
        <v>33</v>
      </c>
      <c r="L8" s="6">
        <f t="shared" si="1"/>
        <v>0.1590852530205136</v>
      </c>
      <c r="M8" s="6">
        <f t="shared" si="1"/>
        <v>0.22541664744602186</v>
      </c>
      <c r="N8" s="6">
        <f t="shared" si="1"/>
        <v>0.18330584517588591</v>
      </c>
      <c r="O8" s="6">
        <f t="shared" si="1"/>
        <v>6.4955224416680293E-2</v>
      </c>
      <c r="P8" s="6">
        <f t="shared" si="1"/>
        <v>0.18385631317941711</v>
      </c>
      <c r="Q8" s="9"/>
      <c r="R8" s="36">
        <f t="shared" si="4"/>
        <v>6.4955224416680293E-2</v>
      </c>
      <c r="S8" s="36">
        <f t="shared" si="5"/>
        <v>0.22541664744602186</v>
      </c>
      <c r="V8">
        <f t="shared" si="6"/>
        <v>9.4130028603833307E-2</v>
      </c>
      <c r="W8">
        <f t="shared" si="2"/>
        <v>0.16046142302934158</v>
      </c>
      <c r="X8">
        <f t="shared" si="2"/>
        <v>0.11835062075920562</v>
      </c>
      <c r="Y8">
        <f t="shared" si="2"/>
        <v>0</v>
      </c>
      <c r="Z8">
        <f t="shared" si="2"/>
        <v>0.11890108876273682</v>
      </c>
      <c r="AC8">
        <f t="shared" si="7"/>
        <v>-6.6331394425508255E-2</v>
      </c>
      <c r="AD8">
        <f t="shared" si="3"/>
        <v>0</v>
      </c>
      <c r="AE8">
        <f t="shared" si="3"/>
        <v>-4.2110802270135944E-2</v>
      </c>
      <c r="AF8">
        <f t="shared" si="3"/>
        <v>-0.16046142302934158</v>
      </c>
      <c r="AG8">
        <f t="shared" si="3"/>
        <v>-4.1560334266604743E-2</v>
      </c>
    </row>
    <row r="9" spans="1:40" ht="15" thickBot="1" x14ac:dyDescent="0.4">
      <c r="A9" s="5" t="s">
        <v>34</v>
      </c>
      <c r="B9" s="17">
        <v>0.61</v>
      </c>
      <c r="C9" s="18">
        <v>0.24</v>
      </c>
      <c r="D9" s="18">
        <v>-0.34</v>
      </c>
      <c r="E9" s="19">
        <v>0.92</v>
      </c>
      <c r="F9" s="19">
        <v>0.48</v>
      </c>
      <c r="H9">
        <f t="shared" si="0"/>
        <v>1.2736168968728392</v>
      </c>
      <c r="K9" s="5" t="s">
        <v>34</v>
      </c>
      <c r="L9" s="6">
        <f t="shared" si="1"/>
        <v>7.7350575547393954E-2</v>
      </c>
      <c r="M9" s="6">
        <f t="shared" si="1"/>
        <v>3.0433013330122209E-2</v>
      </c>
      <c r="N9" s="6">
        <f t="shared" si="1"/>
        <v>-4.3113435551006468E-2</v>
      </c>
      <c r="O9" s="6">
        <f t="shared" si="1"/>
        <v>0.11665988443213515</v>
      </c>
      <c r="P9" s="6">
        <f t="shared" si="1"/>
        <v>6.0866026660244418E-2</v>
      </c>
      <c r="Q9" s="9"/>
      <c r="R9" s="35">
        <f t="shared" si="5"/>
        <v>0.11665988443213515</v>
      </c>
      <c r="S9" s="35">
        <f t="shared" si="4"/>
        <v>-4.3113435551006468E-2</v>
      </c>
      <c r="T9" t="s">
        <v>53</v>
      </c>
      <c r="V9">
        <f t="shared" si="6"/>
        <v>-3.9309308884741198E-2</v>
      </c>
      <c r="W9">
        <f t="shared" si="2"/>
        <v>-8.6226871102012936E-2</v>
      </c>
      <c r="X9">
        <f t="shared" si="2"/>
        <v>-0.15977331998314162</v>
      </c>
      <c r="Y9">
        <f t="shared" si="2"/>
        <v>0</v>
      </c>
      <c r="Z9">
        <f t="shared" si="2"/>
        <v>-5.5793857771890734E-2</v>
      </c>
      <c r="AC9">
        <f t="shared" si="7"/>
        <v>0.12046401109840042</v>
      </c>
      <c r="AD9">
        <f t="shared" si="3"/>
        <v>7.3546448881128684E-2</v>
      </c>
      <c r="AE9">
        <f t="shared" si="3"/>
        <v>0</v>
      </c>
      <c r="AF9">
        <f t="shared" si="3"/>
        <v>0.15977331998314162</v>
      </c>
      <c r="AG9">
        <f t="shared" si="3"/>
        <v>0.10397946221125089</v>
      </c>
    </row>
    <row r="10" spans="1:40" x14ac:dyDescent="0.35">
      <c r="U10" s="11" t="s">
        <v>54</v>
      </c>
      <c r="V10" s="11">
        <f>SQRT(V3^2+V4^2+V5^2+V6^2+V7^2+V8^2+V9^2)</f>
        <v>0.13905732961650982</v>
      </c>
      <c r="W10" s="11">
        <f>SQRT(W3^2+W4^2+W5^2+W6^2+W7^2+W8^2+W9^2)</f>
        <v>0.21569269959754489</v>
      </c>
      <c r="X10" s="11">
        <f>SQRT(X3^2+X4^2+X5^2+X6^2+X7^2+X8^2+X9^2)</f>
        <v>0.26144459977197276</v>
      </c>
      <c r="Y10" s="11">
        <f>SQRT(Y3^2+Y4^2+Y5^2+Y6^2+Y7^2+Y8^2+Y9^2)</f>
        <v>3.6945373515012204E-3</v>
      </c>
      <c r="Z10" s="11">
        <f>SQRT(Z3^2+Z4^2+Z5^2+Z6^2+Z7^2+Z8^2+Z9^2)</f>
        <v>0.15919116243969794</v>
      </c>
      <c r="AA10" s="11"/>
      <c r="AB10" s="11" t="s">
        <v>55</v>
      </c>
      <c r="AC10" s="11">
        <f>SQRT(AC3^2+AC4^2+AC5^2+AC6^2+AC7^2+AC8^2+AC9^2)</f>
        <v>0.15962944289919856</v>
      </c>
      <c r="AD10" s="11">
        <f>SQRT(AD3^2+AD4^2+AD5^2+AD6^2+AD7^2+AD8^2+AD9^2)</f>
        <v>0.10895787172486972</v>
      </c>
      <c r="AE10" s="11">
        <f>SQRT(AE3^2+AE4^2+AE5^2+AE6^2+AE7^2+AE8^2+AE9^2)</f>
        <v>4.3124081615121247E-2</v>
      </c>
      <c r="AF10" s="11">
        <f>SQRT(AF3^2+AF4^2+AF5^2+AF6^2+AF7^2+AF8^2+AF9^2)</f>
        <v>0.27912220721817871</v>
      </c>
      <c r="AG10" s="11">
        <f>SQRT(AG3^2+AG4^2+AG5^2+AG6^2+AG7^2+AG8^2+AG9^2)</f>
        <v>0.13640151076260118</v>
      </c>
      <c r="AI10" t="s">
        <v>56</v>
      </c>
      <c r="AJ10" s="11">
        <f>AC10/(AC10+V10)</f>
        <v>0.53443760349582736</v>
      </c>
      <c r="AK10" s="11">
        <f t="shared" ref="AK10:AN10" si="8">AD10/(AD10+W10)</f>
        <v>0.33561583237339287</v>
      </c>
      <c r="AL10" s="11">
        <f t="shared" si="8"/>
        <v>0.14159066329053166</v>
      </c>
      <c r="AM10" s="11">
        <f t="shared" si="8"/>
        <v>0.98693663857448521</v>
      </c>
      <c r="AN10" s="11">
        <f t="shared" si="8"/>
        <v>0.46145091921561288</v>
      </c>
    </row>
    <row r="11" spans="1:40" x14ac:dyDescent="0.35">
      <c r="D11" t="s">
        <v>57</v>
      </c>
      <c r="AI11" s="11" t="s">
        <v>58</v>
      </c>
      <c r="AJ11" s="11">
        <v>2</v>
      </c>
      <c r="AK11" s="11">
        <v>4</v>
      </c>
      <c r="AL11" s="11">
        <v>5</v>
      </c>
      <c r="AM11" s="11">
        <v>1</v>
      </c>
      <c r="AN11" s="11">
        <v>3</v>
      </c>
    </row>
    <row r="12" spans="1:40" ht="15" thickBot="1" x14ac:dyDescent="0.4">
      <c r="AJ12" s="11"/>
      <c r="AK12" s="11"/>
      <c r="AL12" s="11"/>
      <c r="AM12" s="11"/>
      <c r="AN12" s="11"/>
    </row>
    <row r="13" spans="1:40" ht="42.5" thickBot="1" x14ac:dyDescent="0.4">
      <c r="A13" t="s">
        <v>59</v>
      </c>
      <c r="B13" t="s">
        <v>61</v>
      </c>
      <c r="C13" t="s">
        <v>60</v>
      </c>
      <c r="D13" t="s">
        <v>72</v>
      </c>
      <c r="J13" t="s">
        <v>64</v>
      </c>
      <c r="K13" s="3" t="s">
        <v>43</v>
      </c>
      <c r="L13" s="4" t="s">
        <v>44</v>
      </c>
      <c r="M13" s="3" t="s">
        <v>45</v>
      </c>
      <c r="N13" s="7" t="s">
        <v>46</v>
      </c>
      <c r="O13" s="7" t="s">
        <v>47</v>
      </c>
      <c r="P13" s="7" t="s">
        <v>13</v>
      </c>
      <c r="Q13" s="8"/>
      <c r="R13" s="8" t="s">
        <v>50</v>
      </c>
      <c r="S13" s="8" t="s">
        <v>51</v>
      </c>
      <c r="U13" s="8" t="s">
        <v>50</v>
      </c>
      <c r="V13" s="4" t="s">
        <v>44</v>
      </c>
      <c r="W13" s="3" t="s">
        <v>45</v>
      </c>
      <c r="X13" s="7" t="s">
        <v>46</v>
      </c>
      <c r="Y13" s="7" t="s">
        <v>47</v>
      </c>
      <c r="Z13" s="7" t="s">
        <v>13</v>
      </c>
      <c r="AB13" s="8" t="s">
        <v>51</v>
      </c>
      <c r="AC13" s="4" t="s">
        <v>44</v>
      </c>
      <c r="AD13" s="3" t="s">
        <v>45</v>
      </c>
      <c r="AE13" s="7" t="s">
        <v>46</v>
      </c>
      <c r="AF13" s="7" t="s">
        <v>47</v>
      </c>
      <c r="AG13" s="7" t="s">
        <v>13</v>
      </c>
      <c r="AI13" s="10" t="s">
        <v>56</v>
      </c>
      <c r="AJ13" s="4" t="s">
        <v>44</v>
      </c>
      <c r="AK13" s="3" t="s">
        <v>45</v>
      </c>
      <c r="AL13" s="7" t="s">
        <v>46</v>
      </c>
      <c r="AM13" s="7" t="s">
        <v>47</v>
      </c>
      <c r="AN13" s="7" t="s">
        <v>13</v>
      </c>
    </row>
    <row r="14" spans="1:40" ht="15" thickBot="1" x14ac:dyDescent="0.4">
      <c r="A14" s="5" t="s">
        <v>28</v>
      </c>
      <c r="B14" s="47">
        <v>5.7999999999999996E-2</v>
      </c>
      <c r="C14" s="47">
        <v>9.6299999999999997E-2</v>
      </c>
      <c r="K14" s="5" t="s">
        <v>28</v>
      </c>
      <c r="L14" s="6">
        <f t="shared" ref="L14:P20" si="9">B3/$H3*$C14</f>
        <v>5.3317075051996031E-2</v>
      </c>
      <c r="M14" s="6">
        <f t="shared" si="9"/>
        <v>1.9196456366852932E-3</v>
      </c>
      <c r="N14" s="6">
        <f t="shared" si="9"/>
        <v>-7.5660018251912084E-2</v>
      </c>
      <c r="O14" s="6">
        <f t="shared" si="9"/>
        <v>8.0538516185743887E-3</v>
      </c>
      <c r="P14" s="6">
        <f t="shared" si="9"/>
        <v>2.5258495219543334E-2</v>
      </c>
      <c r="Q14" s="9"/>
      <c r="R14" s="12">
        <f>M14</f>
        <v>1.9196456366852932E-3</v>
      </c>
      <c r="S14" s="12">
        <f>N14*-1</f>
        <v>7.5660018251912084E-2</v>
      </c>
      <c r="T14" t="s">
        <v>52</v>
      </c>
      <c r="V14">
        <f>L14-$R14</f>
        <v>5.1397429415310739E-2</v>
      </c>
      <c r="W14">
        <f t="shared" ref="W14:Z20" si="10">M14-$R14</f>
        <v>0</v>
      </c>
      <c r="X14">
        <f t="shared" si="10"/>
        <v>-7.7579663888597383E-2</v>
      </c>
      <c r="Y14">
        <f t="shared" si="10"/>
        <v>6.1342059818890954E-3</v>
      </c>
      <c r="Z14">
        <f t="shared" si="10"/>
        <v>2.3338849582858041E-2</v>
      </c>
      <c r="AC14">
        <f>L14-$S14</f>
        <v>-2.2342943199916053E-2</v>
      </c>
      <c r="AD14">
        <f t="shared" ref="AD14:AE20" si="11">M14-$S14</f>
        <v>-7.3740372615226785E-2</v>
      </c>
      <c r="AE14" s="12">
        <f>S14+N14</f>
        <v>0</v>
      </c>
      <c r="AF14">
        <f t="shared" ref="AF14:AG20" si="12">O14-$S14</f>
        <v>-6.7606166633337697E-2</v>
      </c>
      <c r="AG14">
        <f t="shared" si="12"/>
        <v>-5.040152303236875E-2</v>
      </c>
    </row>
    <row r="15" spans="1:40" ht="15" thickBot="1" x14ac:dyDescent="0.4">
      <c r="A15" s="5" t="s">
        <v>29</v>
      </c>
      <c r="B15" s="47">
        <v>0.12187500000000001</v>
      </c>
      <c r="C15" s="47">
        <v>0.17790001999999999</v>
      </c>
      <c r="K15" s="5" t="s">
        <v>29</v>
      </c>
      <c r="L15" s="6">
        <f t="shared" si="9"/>
        <v>6.9887430647430013E-2</v>
      </c>
      <c r="M15" s="6">
        <f t="shared" si="9"/>
        <v>0.10316190414162686</v>
      </c>
      <c r="N15" s="6">
        <f t="shared" si="9"/>
        <v>8.9596440237829089E-2</v>
      </c>
      <c r="O15" s="6">
        <f t="shared" si="9"/>
        <v>3.0579774562798367E-2</v>
      </c>
      <c r="P15" s="6">
        <f t="shared" si="9"/>
        <v>8.4611707060975941E-2</v>
      </c>
      <c r="Q15" s="9"/>
      <c r="R15">
        <f t="shared" ref="R15:S20" si="13">MIN(L15:P15)</f>
        <v>3.0579774562798367E-2</v>
      </c>
      <c r="S15">
        <f t="shared" ref="R15:S20" si="14">MAX(L15:P15)</f>
        <v>0.10316190414162686</v>
      </c>
      <c r="V15">
        <f t="shared" ref="V15:V20" si="15">L15-$R15</f>
        <v>3.9307656084631645E-2</v>
      </c>
      <c r="W15">
        <f t="shared" si="10"/>
        <v>7.2582129578828494E-2</v>
      </c>
      <c r="X15">
        <f t="shared" si="10"/>
        <v>5.9016665675030722E-2</v>
      </c>
      <c r="Y15">
        <f t="shared" si="10"/>
        <v>0</v>
      </c>
      <c r="Z15">
        <f t="shared" si="10"/>
        <v>5.4031932498177573E-2</v>
      </c>
      <c r="AC15">
        <f t="shared" ref="AC15:AC20" si="16">L15-$S15</f>
        <v>-3.3274473494196849E-2</v>
      </c>
      <c r="AD15">
        <f t="shared" si="11"/>
        <v>0</v>
      </c>
      <c r="AE15">
        <f t="shared" si="11"/>
        <v>-1.3565463903797773E-2</v>
      </c>
      <c r="AF15">
        <f t="shared" si="12"/>
        <v>-7.2582129578828494E-2</v>
      </c>
      <c r="AG15">
        <f t="shared" si="12"/>
        <v>-1.8550197080650921E-2</v>
      </c>
    </row>
    <row r="16" spans="1:40" ht="15" thickBot="1" x14ac:dyDescent="0.4">
      <c r="A16" s="5" t="s">
        <v>30</v>
      </c>
      <c r="B16" s="47">
        <v>0.20824999999999999</v>
      </c>
      <c r="C16" s="47">
        <v>0.14315241000000001</v>
      </c>
      <c r="K16" s="5" t="s">
        <v>30</v>
      </c>
      <c r="L16" s="6">
        <f t="shared" si="9"/>
        <v>5.0700359022494347E-2</v>
      </c>
      <c r="M16" s="6">
        <f t="shared" si="9"/>
        <v>7.1067076247892755E-2</v>
      </c>
      <c r="N16" s="6">
        <f t="shared" si="9"/>
        <v>9.4211820278046893E-2</v>
      </c>
      <c r="O16" s="6">
        <f t="shared" si="9"/>
        <v>2.3478983941574442E-2</v>
      </c>
      <c r="P16" s="6">
        <f t="shared" si="9"/>
        <v>5.8689240839720845E-2</v>
      </c>
      <c r="Q16" s="9"/>
      <c r="R16">
        <f t="shared" si="13"/>
        <v>2.3478983941574442E-2</v>
      </c>
      <c r="S16">
        <f t="shared" si="14"/>
        <v>9.4211820278046893E-2</v>
      </c>
      <c r="V16">
        <f t="shared" si="15"/>
        <v>2.7221375080919905E-2</v>
      </c>
      <c r="W16">
        <f t="shared" si="10"/>
        <v>4.7588092306318316E-2</v>
      </c>
      <c r="X16">
        <f t="shared" si="10"/>
        <v>7.0732836336472454E-2</v>
      </c>
      <c r="Y16">
        <f t="shared" si="10"/>
        <v>0</v>
      </c>
      <c r="Z16">
        <f t="shared" si="10"/>
        <v>3.52102568981464E-2</v>
      </c>
      <c r="AC16">
        <f t="shared" si="16"/>
        <v>-4.3511461255552546E-2</v>
      </c>
      <c r="AD16">
        <f t="shared" si="11"/>
        <v>-2.3144744030154138E-2</v>
      </c>
      <c r="AE16">
        <f t="shared" si="11"/>
        <v>0</v>
      </c>
      <c r="AF16">
        <f t="shared" si="12"/>
        <v>-7.0732836336472454E-2</v>
      </c>
      <c r="AG16">
        <f t="shared" si="12"/>
        <v>-3.5522579438326048E-2</v>
      </c>
    </row>
    <row r="17" spans="1:40" ht="15" thickBot="1" x14ac:dyDescent="0.4">
      <c r="A17" s="5" t="s">
        <v>31</v>
      </c>
      <c r="B17" s="47">
        <v>0.10024999999999999</v>
      </c>
      <c r="C17" s="47">
        <v>0.16589805999999999</v>
      </c>
      <c r="K17" s="5" t="s">
        <v>31</v>
      </c>
      <c r="L17" s="6">
        <f t="shared" si="9"/>
        <v>0.10874118491690918</v>
      </c>
      <c r="M17" s="6">
        <f t="shared" si="9"/>
        <v>1.6959634344839044E-2</v>
      </c>
      <c r="N17" s="6">
        <f t="shared" si="9"/>
        <v>-0.10940626861670678</v>
      </c>
      <c r="O17" s="6">
        <f t="shared" si="9"/>
        <v>1.5629466945243826E-2</v>
      </c>
      <c r="P17" s="6">
        <f t="shared" si="9"/>
        <v>5.6532114482796818E-2</v>
      </c>
      <c r="Q17" s="9"/>
      <c r="R17" s="12">
        <f>O17</f>
        <v>1.5629466945243826E-2</v>
      </c>
      <c r="S17" s="12">
        <f>-N17</f>
        <v>0.10940626861670678</v>
      </c>
      <c r="T17" t="s">
        <v>52</v>
      </c>
      <c r="V17">
        <f t="shared" si="15"/>
        <v>9.3111717971665356E-2</v>
      </c>
      <c r="W17">
        <f t="shared" si="10"/>
        <v>1.3301673995952182E-3</v>
      </c>
      <c r="X17">
        <f t="shared" si="10"/>
        <v>-0.12503573556195061</v>
      </c>
      <c r="Y17">
        <f t="shared" si="10"/>
        <v>0</v>
      </c>
      <c r="Z17">
        <f t="shared" si="10"/>
        <v>4.0902647537552989E-2</v>
      </c>
      <c r="AC17">
        <f>L17-$S17</f>
        <v>-6.6508369979760562E-4</v>
      </c>
      <c r="AD17">
        <f>M17-$S17</f>
        <v>-9.2446634271867736E-2</v>
      </c>
      <c r="AE17" s="12">
        <f>S17+N17</f>
        <v>0</v>
      </c>
      <c r="AF17">
        <f t="shared" si="12"/>
        <v>-9.3776801671462962E-2</v>
      </c>
      <c r="AG17">
        <f t="shared" si="12"/>
        <v>-5.2874154133909966E-2</v>
      </c>
    </row>
    <row r="18" spans="1:40" ht="15" thickBot="1" x14ac:dyDescent="0.4">
      <c r="A18" s="5" t="s">
        <v>32</v>
      </c>
      <c r="B18" s="47">
        <v>0.21575</v>
      </c>
      <c r="C18" s="47">
        <v>0.11518009999999999</v>
      </c>
      <c r="K18" s="5" t="s">
        <v>32</v>
      </c>
      <c r="L18" s="6">
        <f t="shared" si="9"/>
        <v>4.5645775835818976E-2</v>
      </c>
      <c r="M18" s="6">
        <f t="shared" si="9"/>
        <v>6.048841586950706E-2</v>
      </c>
      <c r="N18" s="6">
        <f t="shared" si="9"/>
        <v>6.8686024591041894E-2</v>
      </c>
      <c r="O18" s="6">
        <f t="shared" si="9"/>
        <v>1.8879341298080232E-2</v>
      </c>
      <c r="P18" s="6">
        <f t="shared" si="9"/>
        <v>4.9496167811085338E-2</v>
      </c>
      <c r="Q18" s="9"/>
      <c r="R18">
        <f t="shared" si="13"/>
        <v>1.8879341298080232E-2</v>
      </c>
      <c r="S18">
        <f t="shared" si="14"/>
        <v>6.8686024591041894E-2</v>
      </c>
      <c r="V18">
        <f t="shared" si="15"/>
        <v>2.6766434537738745E-2</v>
      </c>
      <c r="W18">
        <f t="shared" si="10"/>
        <v>4.1609074571426832E-2</v>
      </c>
      <c r="X18">
        <f t="shared" si="10"/>
        <v>4.9806683292961659E-2</v>
      </c>
      <c r="Y18">
        <f t="shared" si="10"/>
        <v>0</v>
      </c>
      <c r="Z18">
        <f t="shared" si="10"/>
        <v>3.0616826513005107E-2</v>
      </c>
      <c r="AC18">
        <f t="shared" si="16"/>
        <v>-2.3040248755222918E-2</v>
      </c>
      <c r="AD18">
        <f t="shared" si="11"/>
        <v>-8.1976087215348339E-3</v>
      </c>
      <c r="AE18">
        <f t="shared" si="11"/>
        <v>0</v>
      </c>
      <c r="AF18">
        <f t="shared" si="12"/>
        <v>-4.9806683292961659E-2</v>
      </c>
      <c r="AG18">
        <f t="shared" si="12"/>
        <v>-1.9189856779956556E-2</v>
      </c>
    </row>
    <row r="19" spans="1:40" ht="15" thickBot="1" x14ac:dyDescent="0.4">
      <c r="A19" s="5" t="s">
        <v>33</v>
      </c>
      <c r="B19" s="47">
        <v>0.38437500000000002</v>
      </c>
      <c r="C19" s="47">
        <v>0.17857755</v>
      </c>
      <c r="K19" s="5" t="s">
        <v>33</v>
      </c>
      <c r="L19" s="6">
        <f t="shared" si="9"/>
        <v>7.3909735871306462E-2</v>
      </c>
      <c r="M19" s="6">
        <f t="shared" si="9"/>
        <v>0.10472677107024218</v>
      </c>
      <c r="N19" s="6">
        <f t="shared" si="9"/>
        <v>8.5162429221955188E-2</v>
      </c>
      <c r="O19" s="6">
        <f t="shared" si="9"/>
        <v>3.0177677622194327E-2</v>
      </c>
      <c r="P19" s="6">
        <f t="shared" si="9"/>
        <v>8.5418172252651747E-2</v>
      </c>
      <c r="Q19" s="9"/>
      <c r="R19">
        <f t="shared" si="13"/>
        <v>3.0177677622194327E-2</v>
      </c>
      <c r="S19">
        <f t="shared" si="14"/>
        <v>0.10472677107024218</v>
      </c>
      <c r="V19">
        <f t="shared" si="15"/>
        <v>4.3732058249112138E-2</v>
      </c>
      <c r="W19">
        <f t="shared" si="10"/>
        <v>7.454909344804786E-2</v>
      </c>
      <c r="X19">
        <f t="shared" si="10"/>
        <v>5.4984751599760864E-2</v>
      </c>
      <c r="Y19">
        <f t="shared" si="10"/>
        <v>0</v>
      </c>
      <c r="Z19">
        <f t="shared" si="10"/>
        <v>5.5240494630457423E-2</v>
      </c>
      <c r="AC19">
        <f t="shared" si="16"/>
        <v>-3.0817035198935722E-2</v>
      </c>
      <c r="AD19">
        <f>M19-$S19</f>
        <v>0</v>
      </c>
      <c r="AE19">
        <f t="shared" si="11"/>
        <v>-1.9564341848286995E-2</v>
      </c>
      <c r="AF19">
        <f t="shared" si="12"/>
        <v>-7.454909344804786E-2</v>
      </c>
      <c r="AG19">
        <f t="shared" si="12"/>
        <v>-1.9308598817590436E-2</v>
      </c>
    </row>
    <row r="20" spans="1:40" ht="15" thickBot="1" x14ac:dyDescent="0.4">
      <c r="A20" s="5" t="s">
        <v>34</v>
      </c>
      <c r="B20" s="47">
        <v>0.1615</v>
      </c>
      <c r="C20" s="47">
        <v>0.12505268</v>
      </c>
      <c r="K20" s="5" t="s">
        <v>34</v>
      </c>
      <c r="L20" s="6">
        <f t="shared" si="9"/>
        <v>5.9894097657858088E-2</v>
      </c>
      <c r="M20" s="6">
        <f t="shared" si="9"/>
        <v>2.356489088178023E-2</v>
      </c>
      <c r="N20" s="6">
        <f t="shared" si="9"/>
        <v>-3.3383595415855331E-2</v>
      </c>
      <c r="O20" s="6">
        <f t="shared" si="9"/>
        <v>9.0332081713490886E-2</v>
      </c>
      <c r="P20" s="6">
        <f t="shared" si="9"/>
        <v>4.712978176356046E-2</v>
      </c>
      <c r="Q20" s="9"/>
      <c r="R20" s="12">
        <f t="shared" si="14"/>
        <v>9.0332081713490886E-2</v>
      </c>
      <c r="S20" s="12">
        <f t="shared" si="13"/>
        <v>-3.3383595415855331E-2</v>
      </c>
      <c r="T20" t="s">
        <v>53</v>
      </c>
      <c r="V20">
        <f t="shared" si="15"/>
        <v>-3.0437984055632798E-2</v>
      </c>
      <c r="W20">
        <f t="shared" si="10"/>
        <v>-6.6767190831710649E-2</v>
      </c>
      <c r="X20">
        <f t="shared" si="10"/>
        <v>-0.12371567712934622</v>
      </c>
      <c r="Y20">
        <f t="shared" si="10"/>
        <v>0</v>
      </c>
      <c r="Z20">
        <f t="shared" si="10"/>
        <v>-4.3202299949930426E-2</v>
      </c>
      <c r="AC20">
        <f t="shared" si="16"/>
        <v>9.3277693073713419E-2</v>
      </c>
      <c r="AD20">
        <f t="shared" si="11"/>
        <v>5.6948486297635562E-2</v>
      </c>
      <c r="AE20">
        <f t="shared" si="11"/>
        <v>0</v>
      </c>
      <c r="AF20">
        <f t="shared" si="12"/>
        <v>0.12371567712934622</v>
      </c>
      <c r="AG20">
        <f t="shared" si="12"/>
        <v>8.0513377179415785E-2</v>
      </c>
    </row>
    <row r="21" spans="1:40" x14ac:dyDescent="0.35">
      <c r="U21" s="11" t="s">
        <v>54</v>
      </c>
      <c r="V21" s="11">
        <f>SQRT(V14^2+V15^2+V16^2+V17^2+V18^2+V19^2+V20^2)</f>
        <v>0.13096941884363064</v>
      </c>
      <c r="W21" s="11">
        <f>SQRT(W14^2+W15^2+W16^2+W17^2+W18^2+W19^2+W20^2)</f>
        <v>0.13885712657634056</v>
      </c>
      <c r="X21" s="11">
        <f>SQRT(X14^2+X15^2+X16^2+X17^2+X18^2+X19^2+X20^2)</f>
        <v>0.22571716318634646</v>
      </c>
      <c r="Y21" s="11">
        <f>SQRT(Y14^2+Y15^2+Y16^2+Y17^2+Y18^2+Y19^2+Y20^2)</f>
        <v>6.1342059818890954E-3</v>
      </c>
      <c r="Z21" s="11">
        <f>SQRT(Z14^2+Z15^2+Z16^2+Z17^2+Z18^2+Z19^2+Z20^2)</f>
        <v>0.11059964479808447</v>
      </c>
      <c r="AA21" s="11"/>
      <c r="AB21" s="11" t="s">
        <v>55</v>
      </c>
      <c r="AC21" s="11">
        <f>SQRT(AC14^2+AC15^2+AC16^2+AC17^2+AC18^2+AC19^2+AC20^2)</f>
        <v>0.11696733749376681</v>
      </c>
      <c r="AD21" s="11">
        <f>SQRT(AD14^2+AD15^2+AD16^2+AD17^2+AD18^2+AD19^2+AD20^2)</f>
        <v>0.13352914587532447</v>
      </c>
      <c r="AE21" s="11">
        <f>SQRT(AE14^2+AE15^2+AE16^2+AE17^2+AE18^2+AE19^2+AE20^2)</f>
        <v>2.3807252736968081E-2</v>
      </c>
      <c r="AF21" s="11">
        <f>SQRT(AF14^2+AF15^2+AF16^2+AF17^2+AF18^2+AF19^2+AF20^2)</f>
        <v>0.21674829588978867</v>
      </c>
      <c r="AG21" s="11">
        <f>SQRT(AG14^2+AG15^2+AG16^2+AG17^2+AG18^2+AG19^2+AG20^2)</f>
        <v>0.11901861055066476</v>
      </c>
      <c r="AI21" t="s">
        <v>56</v>
      </c>
      <c r="AJ21" s="11">
        <f>AC21/(AC21+V21)</f>
        <v>0.47176279637455304</v>
      </c>
      <c r="AK21" s="11">
        <f t="shared" ref="AK21:AN21" si="17">AD21/(AD21+W21)</f>
        <v>0.4902198068701103</v>
      </c>
      <c r="AL21" s="11">
        <f t="shared" si="17"/>
        <v>9.5410513832380556E-2</v>
      </c>
      <c r="AM21" s="11">
        <f t="shared" si="17"/>
        <v>0.97247784850593244</v>
      </c>
      <c r="AN21" s="11">
        <f t="shared" si="17"/>
        <v>0.51833252704536359</v>
      </c>
    </row>
    <row r="22" spans="1:40" ht="42.5" thickBot="1" x14ac:dyDescent="0.4">
      <c r="A22" s="45" t="s">
        <v>73</v>
      </c>
      <c r="B22" s="5" t="s">
        <v>28</v>
      </c>
      <c r="C22" s="55">
        <v>9.6299999999999997E-2</v>
      </c>
      <c r="AI22" s="11" t="s">
        <v>58</v>
      </c>
      <c r="AJ22" s="11">
        <v>4</v>
      </c>
      <c r="AK22" s="11">
        <v>3</v>
      </c>
      <c r="AL22" s="11">
        <v>5</v>
      </c>
      <c r="AM22" s="11">
        <v>1</v>
      </c>
      <c r="AN22" s="11">
        <v>2</v>
      </c>
    </row>
    <row r="23" spans="1:40" ht="15" thickBot="1" x14ac:dyDescent="0.4">
      <c r="A23" s="47">
        <v>1.5</v>
      </c>
      <c r="B23" s="5" t="s">
        <v>29</v>
      </c>
      <c r="C23" s="56">
        <f>C32-D32</f>
        <v>0.17749525539645222</v>
      </c>
      <c r="D23" s="54"/>
    </row>
    <row r="24" spans="1:40" ht="15" thickBot="1" x14ac:dyDescent="0.4">
      <c r="B24" s="5" t="s">
        <v>30</v>
      </c>
      <c r="C24" s="56">
        <f t="shared" ref="C24:C28" si="18">C33-D33</f>
        <v>0.14282670442402223</v>
      </c>
    </row>
    <row r="25" spans="1:40" ht="15" thickBot="1" x14ac:dyDescent="0.4">
      <c r="B25" s="5" t="s">
        <v>31</v>
      </c>
      <c r="C25" s="56">
        <f t="shared" si="18"/>
        <v>0.1655206026928831</v>
      </c>
    </row>
    <row r="26" spans="1:40" ht="15" thickBot="1" x14ac:dyDescent="0.4">
      <c r="B26" s="5" t="s">
        <v>32</v>
      </c>
      <c r="C26" s="56">
        <f t="shared" si="18"/>
        <v>0.11491803804231673</v>
      </c>
    </row>
    <row r="27" spans="1:40" ht="15" thickBot="1" x14ac:dyDescent="0.4">
      <c r="B27" s="5" t="s">
        <v>33</v>
      </c>
      <c r="C27" s="56">
        <f t="shared" si="18"/>
        <v>0.17817124385552469</v>
      </c>
    </row>
    <row r="28" spans="1:40" ht="15" thickBot="1" x14ac:dyDescent="0.4">
      <c r="B28" s="5" t="s">
        <v>34</v>
      </c>
      <c r="C28" s="56">
        <f t="shared" si="18"/>
        <v>0.12476815558880103</v>
      </c>
      <c r="U28" s="8"/>
      <c r="V28" s="4"/>
      <c r="W28" s="3"/>
      <c r="X28" s="7"/>
      <c r="Y28" s="7"/>
      <c r="Z28" s="7"/>
      <c r="AB28" s="8"/>
      <c r="AC28" s="4"/>
      <c r="AD28" s="3"/>
      <c r="AE28" s="7"/>
      <c r="AF28" s="7"/>
      <c r="AG28" s="7"/>
    </row>
    <row r="29" spans="1:40" x14ac:dyDescent="0.35">
      <c r="B29" s="53" t="s">
        <v>74</v>
      </c>
      <c r="C29" s="56">
        <f>SUM(C22:C28)</f>
        <v>1</v>
      </c>
    </row>
    <row r="31" spans="1:40" ht="15" thickBot="1" x14ac:dyDescent="0.4">
      <c r="A31" t="s">
        <v>75</v>
      </c>
      <c r="C31">
        <v>6.4199999999999993E-2</v>
      </c>
      <c r="E31" s="56">
        <f>C22-C31</f>
        <v>3.2100000000000004E-2</v>
      </c>
    </row>
    <row r="32" spans="1:40" ht="15" thickBot="1" x14ac:dyDescent="0.4">
      <c r="C32">
        <v>0.18379999999999999</v>
      </c>
      <c r="D32" s="54">
        <f>C32*$E$31/SUM($C$32:$C$37)</f>
        <v>6.3047446035477666E-3</v>
      </c>
      <c r="T32" s="4"/>
      <c r="U32" s="3"/>
      <c r="V32" s="7"/>
      <c r="W32" s="7"/>
      <c r="X32" s="7"/>
    </row>
    <row r="33" spans="3:33" ht="15" thickBot="1" x14ac:dyDescent="0.4">
      <c r="C33">
        <v>0.1479</v>
      </c>
      <c r="D33" s="54">
        <f t="shared" ref="D33:D37" si="19">C33*$E$31/SUM($C$32:$C$37)</f>
        <v>5.0732955759777735E-3</v>
      </c>
      <c r="F33" s="22"/>
      <c r="G33" s="23"/>
      <c r="H33" s="23"/>
      <c r="I33" s="23"/>
      <c r="J33" s="23"/>
      <c r="K33" s="23"/>
      <c r="M33" s="22"/>
      <c r="N33" s="24"/>
      <c r="O33" s="24"/>
      <c r="P33" s="24"/>
      <c r="Q33" s="27"/>
      <c r="S33" s="24"/>
      <c r="T33" s="11"/>
    </row>
    <row r="34" spans="3:33" ht="15" thickBot="1" x14ac:dyDescent="0.4">
      <c r="C34">
        <v>0.1714</v>
      </c>
      <c r="D34" s="54">
        <f t="shared" si="19"/>
        <v>5.8793973071169054E-3</v>
      </c>
      <c r="F34" s="24"/>
      <c r="G34" s="25"/>
      <c r="H34" s="26"/>
      <c r="I34" s="25"/>
      <c r="J34" s="26"/>
      <c r="K34" s="25"/>
      <c r="L34" s="29"/>
      <c r="M34" s="23"/>
      <c r="N34" s="34"/>
      <c r="O34" s="34"/>
      <c r="P34" s="34"/>
      <c r="Q34" s="28"/>
      <c r="S34" s="24"/>
      <c r="T34" s="11"/>
      <c r="U34" s="11"/>
      <c r="V34" s="11"/>
      <c r="W34" s="11"/>
      <c r="X34" s="11"/>
    </row>
    <row r="35" spans="3:33" ht="15" thickBot="1" x14ac:dyDescent="0.4">
      <c r="C35">
        <v>0.11899999999999999</v>
      </c>
      <c r="D35" s="54">
        <f t="shared" si="19"/>
        <v>4.0819619576832663E-3</v>
      </c>
      <c r="F35" s="24"/>
      <c r="G35" s="26"/>
      <c r="H35" s="26"/>
      <c r="I35" s="26"/>
      <c r="J35" s="26"/>
      <c r="K35" s="26"/>
      <c r="L35" s="30"/>
      <c r="M35" s="23"/>
      <c r="N35" s="33"/>
      <c r="O35" s="34"/>
      <c r="P35" s="33"/>
      <c r="Q35" s="28"/>
      <c r="S35" s="24"/>
      <c r="T35" s="11"/>
    </row>
    <row r="36" spans="3:33" ht="15" thickBot="1" x14ac:dyDescent="0.4">
      <c r="C36">
        <v>0.1845</v>
      </c>
      <c r="D36" s="54">
        <f t="shared" si="19"/>
        <v>6.3287561444753167E-3</v>
      </c>
      <c r="F36" s="24"/>
      <c r="G36" s="25"/>
      <c r="H36" s="26"/>
      <c r="I36" s="25"/>
      <c r="J36" s="26"/>
      <c r="K36" s="25"/>
      <c r="L36" s="30"/>
      <c r="M36" s="23"/>
      <c r="N36" s="33"/>
      <c r="O36" s="34"/>
      <c r="P36" s="33"/>
      <c r="Q36" s="28"/>
      <c r="S36" s="27"/>
      <c r="T36" s="11"/>
      <c r="AB36" s="11"/>
      <c r="AC36" s="11"/>
      <c r="AD36" s="11"/>
      <c r="AE36" s="11"/>
      <c r="AF36" s="11"/>
      <c r="AG36" s="11"/>
    </row>
    <row r="37" spans="3:33" ht="15" thickBot="1" x14ac:dyDescent="0.4">
      <c r="C37">
        <v>0.12920000000000001</v>
      </c>
      <c r="D37" s="54">
        <f t="shared" si="19"/>
        <v>4.4318444111989749E-3</v>
      </c>
      <c r="F37" s="27"/>
      <c r="G37" s="28"/>
      <c r="H37" s="28"/>
      <c r="I37" s="28"/>
      <c r="J37" s="28"/>
      <c r="K37" s="28"/>
      <c r="L37" s="30"/>
      <c r="M37" s="23"/>
      <c r="N37" s="34"/>
      <c r="O37" s="34"/>
      <c r="P37" s="34"/>
      <c r="Q37" s="28"/>
      <c r="T37" s="11"/>
    </row>
    <row r="38" spans="3:33" ht="15" thickBot="1" x14ac:dyDescent="0.4">
      <c r="L38" s="30"/>
      <c r="M38" s="23"/>
      <c r="N38" s="33"/>
      <c r="O38" s="34"/>
      <c r="P38" s="33"/>
      <c r="Q38" s="28"/>
    </row>
    <row r="39" spans="3:33" ht="15" thickBot="1" x14ac:dyDescent="0.4">
      <c r="L39" s="30"/>
      <c r="M39" s="32"/>
      <c r="N39" s="32"/>
      <c r="O39" s="32"/>
      <c r="P39" s="31"/>
      <c r="T39" s="24"/>
      <c r="U39" s="24"/>
      <c r="V39" s="24"/>
      <c r="W39" s="27"/>
    </row>
    <row r="40" spans="3:33" ht="15" thickBot="1" x14ac:dyDescent="0.4">
      <c r="S40" s="38"/>
      <c r="T40" s="39"/>
      <c r="U40" s="40"/>
      <c r="V40" s="39"/>
      <c r="W40" s="41"/>
    </row>
    <row r="41" spans="3:33" ht="15" thickBot="1" x14ac:dyDescent="0.4">
      <c r="S41" s="42"/>
      <c r="T41" s="40"/>
      <c r="U41" s="40"/>
      <c r="V41" s="40"/>
      <c r="W41" s="43"/>
    </row>
    <row r="42" spans="3:33" ht="15" thickBot="1" x14ac:dyDescent="0.4">
      <c r="S42" s="44"/>
      <c r="T42" s="39"/>
      <c r="U42" s="40"/>
      <c r="V42" s="39"/>
      <c r="W42" s="41"/>
    </row>
    <row r="43" spans="3:33" ht="15" thickBot="1" x14ac:dyDescent="0.4">
      <c r="S43" s="42"/>
      <c r="T43" s="39"/>
      <c r="U43" s="40"/>
      <c r="V43" s="39"/>
      <c r="W43" s="41"/>
    </row>
    <row r="44" spans="3:33" ht="15" thickBot="1" x14ac:dyDescent="0.4">
      <c r="S44" s="44"/>
      <c r="T44" s="39"/>
      <c r="U44" s="40"/>
      <c r="V44" s="39"/>
      <c r="W44" s="41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N44"/>
  <sheetViews>
    <sheetView zoomScale="43" workbookViewId="0"/>
  </sheetViews>
  <sheetFormatPr defaultColWidth="8.81640625" defaultRowHeight="14.5" x14ac:dyDescent="0.35"/>
  <cols>
    <col min="12" max="12" width="10.81640625" bestFit="1" customWidth="1"/>
    <col min="17" max="17" width="3.1796875" customWidth="1"/>
    <col min="18" max="18" width="13.7265625" bestFit="1" customWidth="1"/>
    <col min="19" max="19" width="14.1796875" bestFit="1" customWidth="1"/>
  </cols>
  <sheetData>
    <row r="1" spans="1:40" ht="15" thickBot="1" x14ac:dyDescent="0.4">
      <c r="A1" s="78" t="s">
        <v>92</v>
      </c>
    </row>
    <row r="2" spans="1:40" ht="42.5" thickBot="1" x14ac:dyDescent="0.4">
      <c r="A2" s="3" t="s">
        <v>43</v>
      </c>
      <c r="B2" s="4" t="s">
        <v>44</v>
      </c>
      <c r="C2" s="3" t="s">
        <v>45</v>
      </c>
      <c r="D2" s="7" t="s">
        <v>46</v>
      </c>
      <c r="E2" s="7" t="s">
        <v>47</v>
      </c>
      <c r="F2" s="7" t="s">
        <v>13</v>
      </c>
      <c r="H2" s="10" t="s">
        <v>48</v>
      </c>
      <c r="J2" t="s">
        <v>49</v>
      </c>
      <c r="K2" s="3" t="s">
        <v>43</v>
      </c>
      <c r="L2" s="4" t="s">
        <v>44</v>
      </c>
      <c r="M2" s="3" t="s">
        <v>45</v>
      </c>
      <c r="N2" s="7" t="s">
        <v>46</v>
      </c>
      <c r="O2" s="7" t="s">
        <v>47</v>
      </c>
      <c r="P2" s="7" t="s">
        <v>13</v>
      </c>
      <c r="Q2" s="8"/>
      <c r="R2" s="8" t="s">
        <v>50</v>
      </c>
      <c r="S2" s="8" t="s">
        <v>51</v>
      </c>
      <c r="U2" s="8" t="s">
        <v>50</v>
      </c>
      <c r="V2" s="4" t="s">
        <v>44</v>
      </c>
      <c r="W2" s="3" t="s">
        <v>45</v>
      </c>
      <c r="X2" s="7" t="s">
        <v>46</v>
      </c>
      <c r="Y2" s="7" t="s">
        <v>47</v>
      </c>
      <c r="Z2" s="7" t="s">
        <v>13</v>
      </c>
      <c r="AB2" s="8" t="s">
        <v>51</v>
      </c>
      <c r="AC2" s="4" t="s">
        <v>44</v>
      </c>
      <c r="AD2" s="3" t="s">
        <v>45</v>
      </c>
      <c r="AE2" s="7" t="s">
        <v>46</v>
      </c>
      <c r="AF2" s="7" t="s">
        <v>47</v>
      </c>
      <c r="AG2" s="7" t="s">
        <v>13</v>
      </c>
      <c r="AJ2" s="4" t="s">
        <v>44</v>
      </c>
      <c r="AK2" s="3" t="s">
        <v>45</v>
      </c>
      <c r="AL2" s="7" t="s">
        <v>46</v>
      </c>
      <c r="AM2" s="7" t="s">
        <v>47</v>
      </c>
      <c r="AN2" s="7" t="s">
        <v>13</v>
      </c>
    </row>
    <row r="3" spans="1:40" ht="15" thickBot="1" x14ac:dyDescent="0.4">
      <c r="A3" s="5" t="s">
        <v>28</v>
      </c>
      <c r="B3" s="13">
        <v>36.94</v>
      </c>
      <c r="C3" s="14">
        <v>1.33</v>
      </c>
      <c r="D3" s="21">
        <f>(-52.42)</f>
        <v>-52.42</v>
      </c>
      <c r="E3" s="15">
        <v>5.58</v>
      </c>
      <c r="F3" s="15">
        <v>17.5</v>
      </c>
      <c r="H3">
        <f t="shared" ref="H3:H9" si="0">SQRT(B3^2+C3^2+F3^2+D3^2+E3^2)</f>
        <v>66.72012664856085</v>
      </c>
      <c r="K3" s="5" t="s">
        <v>28</v>
      </c>
      <c r="L3" s="6">
        <f t="shared" ref="L3:P9" si="1">B3/$H3*$B14</f>
        <v>0</v>
      </c>
      <c r="M3" s="6">
        <f t="shared" si="1"/>
        <v>0</v>
      </c>
      <c r="N3" s="6">
        <f t="shared" si="1"/>
        <v>0</v>
      </c>
      <c r="O3" s="6">
        <f t="shared" si="1"/>
        <v>0</v>
      </c>
      <c r="P3" s="6">
        <f t="shared" si="1"/>
        <v>0</v>
      </c>
      <c r="Q3" s="9"/>
      <c r="R3" s="35">
        <f>M3</f>
        <v>0</v>
      </c>
      <c r="S3" s="35">
        <f>-N3</f>
        <v>0</v>
      </c>
      <c r="T3" t="s">
        <v>52</v>
      </c>
      <c r="V3">
        <f>L3-$R3</f>
        <v>0</v>
      </c>
      <c r="W3">
        <f t="shared" ref="W3:Z9" si="2">M3-$R3</f>
        <v>0</v>
      </c>
      <c r="X3">
        <f t="shared" si="2"/>
        <v>0</v>
      </c>
      <c r="Y3">
        <f t="shared" si="2"/>
        <v>0</v>
      </c>
      <c r="Z3">
        <f t="shared" si="2"/>
        <v>0</v>
      </c>
      <c r="AC3">
        <f>L3-$S3</f>
        <v>0</v>
      </c>
      <c r="AD3">
        <f t="shared" ref="AD3:AG9" si="3">M3-$S3</f>
        <v>0</v>
      </c>
      <c r="AE3" s="12">
        <f>N3+$S3</f>
        <v>0</v>
      </c>
      <c r="AF3">
        <f t="shared" si="3"/>
        <v>0</v>
      </c>
      <c r="AG3">
        <f t="shared" si="3"/>
        <v>0</v>
      </c>
    </row>
    <row r="4" spans="1:40" ht="15" thickBot="1" x14ac:dyDescent="0.4">
      <c r="A4" s="5" t="s">
        <v>29</v>
      </c>
      <c r="B4" s="13">
        <v>75.989999999999995</v>
      </c>
      <c r="C4" s="14">
        <v>112.17</v>
      </c>
      <c r="D4" s="14">
        <v>97.42</v>
      </c>
      <c r="E4" s="15">
        <v>33.25</v>
      </c>
      <c r="F4" s="15">
        <v>92</v>
      </c>
      <c r="H4">
        <f t="shared" si="0"/>
        <v>193.43424696780039</v>
      </c>
      <c r="K4" s="5" t="s">
        <v>29</v>
      </c>
      <c r="L4" s="6">
        <f t="shared" si="1"/>
        <v>0</v>
      </c>
      <c r="M4" s="6">
        <f t="shared" si="1"/>
        <v>0</v>
      </c>
      <c r="N4" s="6">
        <f t="shared" si="1"/>
        <v>0</v>
      </c>
      <c r="O4" s="6">
        <f t="shared" si="1"/>
        <v>0</v>
      </c>
      <c r="P4" s="6">
        <f t="shared" si="1"/>
        <v>0</v>
      </c>
      <c r="Q4" s="9"/>
      <c r="R4" s="36">
        <f t="shared" ref="R4:S9" si="4">MIN(L4:P4)</f>
        <v>0</v>
      </c>
      <c r="S4" s="36">
        <f t="shared" ref="R4:S9" si="5">MAX(L4:P4)</f>
        <v>0</v>
      </c>
      <c r="V4">
        <f t="shared" ref="V4:V9" si="6">L4-$R4</f>
        <v>0</v>
      </c>
      <c r="W4">
        <f t="shared" si="2"/>
        <v>0</v>
      </c>
      <c r="X4">
        <f t="shared" si="2"/>
        <v>0</v>
      </c>
      <c r="Y4">
        <f t="shared" si="2"/>
        <v>0</v>
      </c>
      <c r="Z4">
        <f t="shared" si="2"/>
        <v>0</v>
      </c>
      <c r="AC4">
        <f t="shared" ref="AC4:AC9" si="7">L4-$S4</f>
        <v>0</v>
      </c>
      <c r="AD4">
        <f t="shared" si="3"/>
        <v>0</v>
      </c>
      <c r="AE4">
        <f t="shared" si="3"/>
        <v>0</v>
      </c>
      <c r="AF4">
        <f t="shared" si="3"/>
        <v>0</v>
      </c>
      <c r="AG4">
        <f t="shared" si="3"/>
        <v>0</v>
      </c>
    </row>
    <row r="5" spans="1:40" ht="15" thickBot="1" x14ac:dyDescent="0.4">
      <c r="A5" s="5" t="s">
        <v>30</v>
      </c>
      <c r="B5" s="13">
        <v>92.53</v>
      </c>
      <c r="C5" s="14">
        <v>129.69999999999999</v>
      </c>
      <c r="D5" s="14">
        <v>171.94</v>
      </c>
      <c r="E5" s="15">
        <v>42.85</v>
      </c>
      <c r="F5" s="15">
        <v>107.11</v>
      </c>
      <c r="H5">
        <f t="shared" si="0"/>
        <v>261.25835699552272</v>
      </c>
      <c r="K5" s="5" t="s">
        <v>30</v>
      </c>
      <c r="L5" s="6">
        <f t="shared" si="1"/>
        <v>0</v>
      </c>
      <c r="M5" s="6">
        <f t="shared" si="1"/>
        <v>0</v>
      </c>
      <c r="N5" s="6">
        <f t="shared" si="1"/>
        <v>0</v>
      </c>
      <c r="O5" s="6">
        <f t="shared" si="1"/>
        <v>0</v>
      </c>
      <c r="P5" s="6">
        <f t="shared" si="1"/>
        <v>0</v>
      </c>
      <c r="Q5" s="9"/>
      <c r="R5" s="36">
        <f t="shared" si="4"/>
        <v>0</v>
      </c>
      <c r="S5" s="36">
        <f t="shared" si="5"/>
        <v>0</v>
      </c>
      <c r="V5">
        <f t="shared" si="6"/>
        <v>0</v>
      </c>
      <c r="W5">
        <f t="shared" si="2"/>
        <v>0</v>
      </c>
      <c r="X5">
        <f t="shared" si="2"/>
        <v>0</v>
      </c>
      <c r="Y5">
        <f t="shared" si="2"/>
        <v>0</v>
      </c>
      <c r="Z5">
        <f t="shared" si="2"/>
        <v>0</v>
      </c>
      <c r="AC5">
        <f t="shared" si="7"/>
        <v>0</v>
      </c>
      <c r="AD5">
        <f t="shared" si="3"/>
        <v>0</v>
      </c>
      <c r="AE5">
        <f t="shared" si="3"/>
        <v>0</v>
      </c>
      <c r="AF5">
        <f t="shared" si="3"/>
        <v>0</v>
      </c>
      <c r="AG5">
        <f t="shared" si="3"/>
        <v>0</v>
      </c>
    </row>
    <row r="6" spans="1:40" ht="15" thickBot="1" x14ac:dyDescent="0.4">
      <c r="A6" s="5" t="s">
        <v>31</v>
      </c>
      <c r="B6" s="16">
        <v>3.27</v>
      </c>
      <c r="C6" s="16">
        <v>0.51</v>
      </c>
      <c r="D6" s="20">
        <f>(-3.29)</f>
        <v>-3.29</v>
      </c>
      <c r="E6" s="16">
        <v>0.47</v>
      </c>
      <c r="F6" s="16">
        <v>1.7</v>
      </c>
      <c r="H6">
        <f t="shared" si="0"/>
        <v>4.9887874278225164</v>
      </c>
      <c r="K6" s="5" t="s">
        <v>31</v>
      </c>
      <c r="L6" s="6">
        <f t="shared" si="1"/>
        <v>0</v>
      </c>
      <c r="M6" s="6">
        <f t="shared" si="1"/>
        <v>0</v>
      </c>
      <c r="N6" s="6">
        <f t="shared" si="1"/>
        <v>0</v>
      </c>
      <c r="O6" s="6">
        <f t="shared" si="1"/>
        <v>0</v>
      </c>
      <c r="P6" s="6">
        <f t="shared" si="1"/>
        <v>0</v>
      </c>
      <c r="Q6" s="9"/>
      <c r="R6" s="35">
        <f>O6</f>
        <v>0</v>
      </c>
      <c r="S6" s="35">
        <f>-N6</f>
        <v>0</v>
      </c>
      <c r="T6" t="s">
        <v>52</v>
      </c>
      <c r="V6">
        <f t="shared" si="6"/>
        <v>0</v>
      </c>
      <c r="W6">
        <f t="shared" si="2"/>
        <v>0</v>
      </c>
      <c r="X6">
        <f t="shared" si="2"/>
        <v>0</v>
      </c>
      <c r="Y6">
        <f t="shared" si="2"/>
        <v>0</v>
      </c>
      <c r="Z6">
        <f t="shared" si="2"/>
        <v>0</v>
      </c>
      <c r="AC6">
        <f t="shared" si="7"/>
        <v>0</v>
      </c>
      <c r="AD6">
        <f t="shared" si="3"/>
        <v>0</v>
      </c>
      <c r="AE6" s="12">
        <f>N6+$S6</f>
        <v>0</v>
      </c>
      <c r="AF6">
        <f t="shared" si="3"/>
        <v>0</v>
      </c>
      <c r="AG6">
        <f t="shared" si="3"/>
        <v>0</v>
      </c>
    </row>
    <row r="7" spans="1:40" ht="15" thickBot="1" x14ac:dyDescent="0.4">
      <c r="A7" s="5" t="s">
        <v>32</v>
      </c>
      <c r="B7" s="16">
        <v>7.35</v>
      </c>
      <c r="C7" s="16">
        <v>9.74</v>
      </c>
      <c r="D7" s="16">
        <v>11.06</v>
      </c>
      <c r="E7" s="16">
        <v>3.04</v>
      </c>
      <c r="F7" s="16">
        <v>7.97</v>
      </c>
      <c r="H7">
        <f t="shared" si="0"/>
        <v>18.546595374892934</v>
      </c>
      <c r="K7" s="5" t="s">
        <v>32</v>
      </c>
      <c r="L7" s="6">
        <f t="shared" si="1"/>
        <v>0</v>
      </c>
      <c r="M7" s="6">
        <f t="shared" si="1"/>
        <v>0</v>
      </c>
      <c r="N7" s="6">
        <f t="shared" si="1"/>
        <v>0</v>
      </c>
      <c r="O7" s="6">
        <f t="shared" si="1"/>
        <v>0</v>
      </c>
      <c r="P7" s="6">
        <f t="shared" si="1"/>
        <v>0</v>
      </c>
      <c r="Q7" s="9"/>
      <c r="R7" s="36">
        <f t="shared" si="4"/>
        <v>0</v>
      </c>
      <c r="S7" s="36">
        <f t="shared" si="5"/>
        <v>0</v>
      </c>
      <c r="V7">
        <f t="shared" si="6"/>
        <v>0</v>
      </c>
      <c r="W7">
        <f t="shared" si="2"/>
        <v>0</v>
      </c>
      <c r="X7">
        <f t="shared" si="2"/>
        <v>0</v>
      </c>
      <c r="Y7">
        <f t="shared" si="2"/>
        <v>0</v>
      </c>
      <c r="Z7">
        <f t="shared" si="2"/>
        <v>0</v>
      </c>
      <c r="AC7">
        <f t="shared" si="7"/>
        <v>0</v>
      </c>
      <c r="AD7">
        <f t="shared" si="3"/>
        <v>0</v>
      </c>
      <c r="AE7">
        <f t="shared" si="3"/>
        <v>0</v>
      </c>
      <c r="AF7">
        <f t="shared" si="3"/>
        <v>0</v>
      </c>
      <c r="AG7">
        <f t="shared" si="3"/>
        <v>0</v>
      </c>
    </row>
    <row r="8" spans="1:40" ht="15" thickBot="1" x14ac:dyDescent="0.4">
      <c r="A8" s="5" t="s">
        <v>33</v>
      </c>
      <c r="B8" s="16">
        <v>5.78</v>
      </c>
      <c r="C8" s="16">
        <v>8.19</v>
      </c>
      <c r="D8" s="16">
        <v>6.66</v>
      </c>
      <c r="E8" s="16">
        <v>2.36</v>
      </c>
      <c r="F8" s="16">
        <v>6.68</v>
      </c>
      <c r="H8">
        <f t="shared" si="0"/>
        <v>13.965389360844902</v>
      </c>
      <c r="K8" s="5" t="s">
        <v>33</v>
      </c>
      <c r="L8" s="6">
        <f t="shared" si="1"/>
        <v>0</v>
      </c>
      <c r="M8" s="6">
        <f t="shared" si="1"/>
        <v>0</v>
      </c>
      <c r="N8" s="6">
        <f t="shared" si="1"/>
        <v>0</v>
      </c>
      <c r="O8" s="6">
        <f t="shared" si="1"/>
        <v>0</v>
      </c>
      <c r="P8" s="6">
        <f t="shared" si="1"/>
        <v>0</v>
      </c>
      <c r="Q8" s="9"/>
      <c r="R8" s="36">
        <f t="shared" si="4"/>
        <v>0</v>
      </c>
      <c r="S8" s="36">
        <f t="shared" si="5"/>
        <v>0</v>
      </c>
      <c r="V8">
        <f t="shared" si="6"/>
        <v>0</v>
      </c>
      <c r="W8">
        <f t="shared" si="2"/>
        <v>0</v>
      </c>
      <c r="X8">
        <f t="shared" si="2"/>
        <v>0</v>
      </c>
      <c r="Y8">
        <f t="shared" si="2"/>
        <v>0</v>
      </c>
      <c r="Z8">
        <f t="shared" si="2"/>
        <v>0</v>
      </c>
      <c r="AC8">
        <f t="shared" si="7"/>
        <v>0</v>
      </c>
      <c r="AD8">
        <f t="shared" si="3"/>
        <v>0</v>
      </c>
      <c r="AE8">
        <f t="shared" si="3"/>
        <v>0</v>
      </c>
      <c r="AF8">
        <f t="shared" si="3"/>
        <v>0</v>
      </c>
      <c r="AG8">
        <f t="shared" si="3"/>
        <v>0</v>
      </c>
    </row>
    <row r="9" spans="1:40" ht="15" thickBot="1" x14ac:dyDescent="0.4">
      <c r="A9" s="5" t="s">
        <v>34</v>
      </c>
      <c r="B9" s="17">
        <v>0.61</v>
      </c>
      <c r="C9" s="18">
        <v>0.24</v>
      </c>
      <c r="D9" s="18">
        <v>-0.34</v>
      </c>
      <c r="E9" s="19">
        <v>0.92</v>
      </c>
      <c r="F9" s="19">
        <v>0.48</v>
      </c>
      <c r="H9">
        <f t="shared" si="0"/>
        <v>1.2736168968728392</v>
      </c>
      <c r="K9" s="5" t="s">
        <v>34</v>
      </c>
      <c r="L9" s="6">
        <f t="shared" si="1"/>
        <v>0</v>
      </c>
      <c r="M9" s="6">
        <f t="shared" si="1"/>
        <v>0</v>
      </c>
      <c r="N9" s="6">
        <f t="shared" si="1"/>
        <v>0</v>
      </c>
      <c r="O9" s="6">
        <f t="shared" si="1"/>
        <v>0</v>
      </c>
      <c r="P9" s="6">
        <f t="shared" si="1"/>
        <v>0</v>
      </c>
      <c r="Q9" s="9"/>
      <c r="R9" s="35">
        <f t="shared" si="5"/>
        <v>0</v>
      </c>
      <c r="S9" s="35">
        <f t="shared" si="4"/>
        <v>0</v>
      </c>
      <c r="T9" t="s">
        <v>53</v>
      </c>
      <c r="V9">
        <f t="shared" si="6"/>
        <v>0</v>
      </c>
      <c r="W9">
        <f t="shared" si="2"/>
        <v>0</v>
      </c>
      <c r="X9">
        <f t="shared" si="2"/>
        <v>0</v>
      </c>
      <c r="Y9">
        <f t="shared" si="2"/>
        <v>0</v>
      </c>
      <c r="Z9">
        <f t="shared" si="2"/>
        <v>0</v>
      </c>
      <c r="AC9">
        <f t="shared" si="7"/>
        <v>0</v>
      </c>
      <c r="AD9">
        <f t="shared" si="3"/>
        <v>0</v>
      </c>
      <c r="AE9">
        <f t="shared" si="3"/>
        <v>0</v>
      </c>
      <c r="AF9">
        <f t="shared" si="3"/>
        <v>0</v>
      </c>
      <c r="AG9">
        <f t="shared" si="3"/>
        <v>0</v>
      </c>
    </row>
    <row r="10" spans="1:40" x14ac:dyDescent="0.35">
      <c r="U10" s="11" t="s">
        <v>54</v>
      </c>
      <c r="V10" s="11">
        <f>SQRT(V3^2+V4^2+V5^2+V6^2+V7^2+V8^2+V9^2)</f>
        <v>0</v>
      </c>
      <c r="W10" s="11">
        <f>SQRT(W3^2+W4^2+W5^2+W6^2+W7^2+W8^2+W9^2)</f>
        <v>0</v>
      </c>
      <c r="X10" s="11">
        <f>SQRT(X3^2+X4^2+X5^2+X6^2+X7^2+X8^2+X9^2)</f>
        <v>0</v>
      </c>
      <c r="Y10" s="11">
        <f>SQRT(Y3^2+Y4^2+Y5^2+Y6^2+Y7^2+Y8^2+Y9^2)</f>
        <v>0</v>
      </c>
      <c r="Z10" s="11">
        <f>SQRT(Z3^2+Z4^2+Z5^2+Z6^2+Z7^2+Z8^2+Z9^2)</f>
        <v>0</v>
      </c>
      <c r="AA10" s="11"/>
      <c r="AB10" s="11" t="s">
        <v>55</v>
      </c>
      <c r="AC10" s="11">
        <f>SQRT(AC3^2+AC4^2+AC5^2+AC6^2+AC7^2+AC8^2+AC9^2)</f>
        <v>0</v>
      </c>
      <c r="AD10" s="11">
        <f>SQRT(AD3^2+AD4^2+AD5^2+AD6^2+AD7^2+AD8^2+AD9^2)</f>
        <v>0</v>
      </c>
      <c r="AE10" s="11">
        <f>SQRT(AE3^2+AE4^2+AE5^2+AE6^2+AE7^2+AE8^2+AE9^2)</f>
        <v>0</v>
      </c>
      <c r="AF10" s="11">
        <f>SQRT(AF3^2+AF4^2+AF5^2+AF6^2+AF7^2+AF8^2+AF9^2)</f>
        <v>0</v>
      </c>
      <c r="AG10" s="11">
        <f>SQRT(AG3^2+AG4^2+AG5^2+AG6^2+AG7^2+AG8^2+AG9^2)</f>
        <v>0</v>
      </c>
      <c r="AI10" t="s">
        <v>56</v>
      </c>
      <c r="AJ10" s="11" t="e">
        <f>AC10/(AC10+V10)</f>
        <v>#DIV/0!</v>
      </c>
      <c r="AK10" s="11" t="e">
        <f t="shared" ref="AK10:AN10" si="8">AD10/(AD10+W10)</f>
        <v>#DIV/0!</v>
      </c>
      <c r="AL10" s="11" t="e">
        <f t="shared" si="8"/>
        <v>#DIV/0!</v>
      </c>
      <c r="AM10" s="11" t="e">
        <f t="shared" si="8"/>
        <v>#DIV/0!</v>
      </c>
      <c r="AN10" s="11" t="e">
        <f t="shared" si="8"/>
        <v>#DIV/0!</v>
      </c>
    </row>
    <row r="11" spans="1:40" x14ac:dyDescent="0.35">
      <c r="D11" t="s">
        <v>57</v>
      </c>
      <c r="AI11" s="11" t="s">
        <v>58</v>
      </c>
      <c r="AJ11" s="11">
        <v>2</v>
      </c>
      <c r="AK11" s="11">
        <v>4</v>
      </c>
      <c r="AL11" s="11">
        <v>5</v>
      </c>
      <c r="AM11" s="11">
        <v>1</v>
      </c>
      <c r="AN11" s="11">
        <v>3</v>
      </c>
    </row>
    <row r="12" spans="1:40" ht="15" thickBot="1" x14ac:dyDescent="0.4">
      <c r="AJ12" s="11"/>
      <c r="AK12" s="11"/>
      <c r="AL12" s="11"/>
      <c r="AM12" s="11"/>
      <c r="AN12" s="11"/>
    </row>
    <row r="13" spans="1:40" ht="42.5" thickBot="1" x14ac:dyDescent="0.4">
      <c r="A13" t="s">
        <v>59</v>
      </c>
      <c r="C13" t="s">
        <v>60</v>
      </c>
      <c r="D13" t="s">
        <v>72</v>
      </c>
      <c r="J13" t="s">
        <v>64</v>
      </c>
      <c r="K13" s="3" t="s">
        <v>43</v>
      </c>
      <c r="L13" s="4" t="s">
        <v>44</v>
      </c>
      <c r="M13" s="3" t="s">
        <v>45</v>
      </c>
      <c r="N13" s="7" t="s">
        <v>46</v>
      </c>
      <c r="O13" s="7" t="s">
        <v>47</v>
      </c>
      <c r="P13" s="7" t="s">
        <v>13</v>
      </c>
      <c r="Q13" s="8"/>
      <c r="R13" s="8" t="s">
        <v>50</v>
      </c>
      <c r="S13" s="8" t="s">
        <v>51</v>
      </c>
      <c r="U13" s="8" t="s">
        <v>50</v>
      </c>
      <c r="V13" s="4" t="s">
        <v>44</v>
      </c>
      <c r="W13" s="3" t="s">
        <v>45</v>
      </c>
      <c r="X13" s="7" t="s">
        <v>46</v>
      </c>
      <c r="Y13" s="7" t="s">
        <v>47</v>
      </c>
      <c r="Z13" s="7" t="s">
        <v>13</v>
      </c>
      <c r="AB13" s="8" t="s">
        <v>51</v>
      </c>
      <c r="AC13" s="4" t="s">
        <v>44</v>
      </c>
      <c r="AD13" s="3" t="s">
        <v>45</v>
      </c>
      <c r="AE13" s="7" t="s">
        <v>46</v>
      </c>
      <c r="AF13" s="7" t="s">
        <v>47</v>
      </c>
      <c r="AG13" s="7" t="s">
        <v>13</v>
      </c>
      <c r="AI13" s="10" t="s">
        <v>56</v>
      </c>
      <c r="AJ13" s="4" t="s">
        <v>44</v>
      </c>
      <c r="AK13" s="3" t="s">
        <v>45</v>
      </c>
      <c r="AL13" s="7" t="s">
        <v>46</v>
      </c>
      <c r="AM13" s="7" t="s">
        <v>47</v>
      </c>
      <c r="AN13" s="7" t="s">
        <v>13</v>
      </c>
    </row>
    <row r="14" spans="1:40" ht="15" thickBot="1" x14ac:dyDescent="0.4">
      <c r="A14" s="5" t="s">
        <v>28</v>
      </c>
      <c r="B14" s="47"/>
      <c r="C14" s="47">
        <v>5.6971404067630474E-2</v>
      </c>
      <c r="K14" s="5" t="s">
        <v>28</v>
      </c>
      <c r="L14" s="6">
        <f t="shared" ref="L14:P20" si="9">B3/$H3*$C14</f>
        <v>3.1542561022756453E-2</v>
      </c>
      <c r="M14" s="6">
        <f t="shared" si="9"/>
        <v>1.1356688186320001E-3</v>
      </c>
      <c r="N14" s="6">
        <f t="shared" si="9"/>
        <v>-4.4760721408037177E-2</v>
      </c>
      <c r="O14" s="6">
        <f t="shared" si="9"/>
        <v>4.7646857202756094E-3</v>
      </c>
      <c r="P14" s="6">
        <f t="shared" si="9"/>
        <v>1.4943010771473687E-2</v>
      </c>
      <c r="Q14" s="9"/>
      <c r="R14" s="12">
        <f>M14</f>
        <v>1.1356688186320001E-3</v>
      </c>
      <c r="S14" s="12">
        <f>N14*-1</f>
        <v>4.4760721408037177E-2</v>
      </c>
      <c r="T14" t="s">
        <v>52</v>
      </c>
      <c r="V14">
        <f>L14-$R14</f>
        <v>3.0406892204124451E-2</v>
      </c>
      <c r="W14">
        <f t="shared" ref="W14:Z20" si="10">M14-$R14</f>
        <v>0</v>
      </c>
      <c r="X14">
        <f t="shared" si="10"/>
        <v>-4.5896390226669179E-2</v>
      </c>
      <c r="Y14">
        <f t="shared" si="10"/>
        <v>3.6290169016436093E-3</v>
      </c>
      <c r="Z14">
        <f t="shared" si="10"/>
        <v>1.3807341952841687E-2</v>
      </c>
      <c r="AC14">
        <f>L14-$S14</f>
        <v>-1.3218160385280724E-2</v>
      </c>
      <c r="AD14">
        <f t="shared" ref="AD14:AE20" si="11">M14-$S14</f>
        <v>-4.3625052589405175E-2</v>
      </c>
      <c r="AE14" s="12">
        <f>S14+N14</f>
        <v>0</v>
      </c>
      <c r="AF14">
        <f t="shared" ref="AF14:AG20" si="12">O14-$S14</f>
        <v>-3.9996035687761569E-2</v>
      </c>
      <c r="AG14">
        <f t="shared" si="12"/>
        <v>-2.981771063656349E-2</v>
      </c>
    </row>
    <row r="15" spans="1:40" ht="15" thickBot="1" x14ac:dyDescent="0.4">
      <c r="A15" s="5" t="s">
        <v>29</v>
      </c>
      <c r="B15" s="47"/>
      <c r="C15" s="47">
        <v>0.2757</v>
      </c>
      <c r="K15" s="5" t="s">
        <v>29</v>
      </c>
      <c r="L15" s="6">
        <f t="shared" si="9"/>
        <v>0.10830782722506976</v>
      </c>
      <c r="M15" s="6">
        <f t="shared" si="9"/>
        <v>0.15987483852922851</v>
      </c>
      <c r="N15" s="6">
        <f t="shared" si="9"/>
        <v>0.13885180324077243</v>
      </c>
      <c r="O15" s="6">
        <f t="shared" si="9"/>
        <v>4.7390910057028161E-2</v>
      </c>
      <c r="P15" s="6">
        <f t="shared" si="9"/>
        <v>0.13112672857884483</v>
      </c>
      <c r="Q15" s="9"/>
      <c r="R15">
        <f t="shared" ref="R15:S20" si="13">MIN(L15:P15)</f>
        <v>4.7390910057028161E-2</v>
      </c>
      <c r="S15">
        <f t="shared" ref="R15:S20" si="14">MAX(L15:P15)</f>
        <v>0.15987483852922851</v>
      </c>
      <c r="V15">
        <f t="shared" ref="V15:V20" si="15">L15-$R15</f>
        <v>6.0916917168041602E-2</v>
      </c>
      <c r="W15">
        <f t="shared" si="10"/>
        <v>0.11248392847220035</v>
      </c>
      <c r="X15">
        <f t="shared" si="10"/>
        <v>9.1460893183744257E-2</v>
      </c>
      <c r="Y15">
        <f t="shared" si="10"/>
        <v>0</v>
      </c>
      <c r="Z15">
        <f t="shared" si="10"/>
        <v>8.3735818521816663E-2</v>
      </c>
      <c r="AC15">
        <f t="shared" ref="AC15:AC20" si="16">L15-$S15</f>
        <v>-5.156701130415875E-2</v>
      </c>
      <c r="AD15">
        <f t="shared" si="11"/>
        <v>0</v>
      </c>
      <c r="AE15">
        <f t="shared" si="11"/>
        <v>-2.1023035288456088E-2</v>
      </c>
      <c r="AF15">
        <f t="shared" si="12"/>
        <v>-0.11248392847220035</v>
      </c>
      <c r="AG15">
        <f t="shared" si="12"/>
        <v>-2.8748109950383682E-2</v>
      </c>
    </row>
    <row r="16" spans="1:40" ht="15" thickBot="1" x14ac:dyDescent="0.4">
      <c r="A16" s="5" t="s">
        <v>30</v>
      </c>
      <c r="B16" s="47"/>
      <c r="C16" s="47">
        <v>0.13124720656701788</v>
      </c>
      <c r="K16" s="5" t="s">
        <v>30</v>
      </c>
      <c r="L16" s="6">
        <f t="shared" si="9"/>
        <v>4.6483887303380253E-2</v>
      </c>
      <c r="M16" s="6">
        <f t="shared" si="9"/>
        <v>6.5156815986689931E-2</v>
      </c>
      <c r="N16" s="6">
        <f t="shared" si="9"/>
        <v>8.6376738170790029E-2</v>
      </c>
      <c r="O16" s="6">
        <f t="shared" si="9"/>
        <v>2.1526365189126165E-2</v>
      </c>
      <c r="P16" s="6">
        <f t="shared" si="9"/>
        <v>5.3808377489085256E-2</v>
      </c>
      <c r="Q16" s="9"/>
      <c r="R16">
        <f t="shared" si="13"/>
        <v>2.1526365189126165E-2</v>
      </c>
      <c r="S16">
        <f t="shared" si="14"/>
        <v>8.6376738170790029E-2</v>
      </c>
      <c r="V16">
        <f t="shared" si="15"/>
        <v>2.4957522114254088E-2</v>
      </c>
      <c r="W16">
        <f t="shared" si="10"/>
        <v>4.3630450797563766E-2</v>
      </c>
      <c r="X16">
        <f t="shared" si="10"/>
        <v>6.4850372981663865E-2</v>
      </c>
      <c r="Y16">
        <f t="shared" si="10"/>
        <v>0</v>
      </c>
      <c r="Z16">
        <f t="shared" si="10"/>
        <v>3.2282012299959091E-2</v>
      </c>
      <c r="AC16">
        <f t="shared" si="16"/>
        <v>-3.9892850867409776E-2</v>
      </c>
      <c r="AD16">
        <f t="shared" si="11"/>
        <v>-2.1219922184100098E-2</v>
      </c>
      <c r="AE16">
        <f t="shared" si="11"/>
        <v>0</v>
      </c>
      <c r="AF16">
        <f t="shared" si="12"/>
        <v>-6.4850372981663865E-2</v>
      </c>
      <c r="AG16">
        <f t="shared" si="12"/>
        <v>-3.2568360681704774E-2</v>
      </c>
    </row>
    <row r="17" spans="1:40" ht="15" thickBot="1" x14ac:dyDescent="0.4">
      <c r="A17" s="5" t="s">
        <v>31</v>
      </c>
      <c r="B17" s="47"/>
      <c r="C17" s="47">
        <v>0.15210122518990443</v>
      </c>
      <c r="K17" s="5" t="s">
        <v>31</v>
      </c>
      <c r="L17" s="6">
        <f t="shared" si="9"/>
        <v>9.9697774973763059E-2</v>
      </c>
      <c r="M17" s="6">
        <f t="shared" si="9"/>
        <v>1.5549194261963046E-2</v>
      </c>
      <c r="N17" s="6">
        <f t="shared" si="9"/>
        <v>-0.10030754729776162</v>
      </c>
      <c r="O17" s="6">
        <f t="shared" si="9"/>
        <v>1.4329649613965944E-2</v>
      </c>
      <c r="P17" s="6">
        <f t="shared" si="9"/>
        <v>5.1830647539876824E-2</v>
      </c>
      <c r="Q17" s="9"/>
      <c r="R17" s="12">
        <f>O17</f>
        <v>1.4329649613965944E-2</v>
      </c>
      <c r="S17" s="12">
        <f>-N17</f>
        <v>0.10030754729776162</v>
      </c>
      <c r="T17" t="s">
        <v>52</v>
      </c>
      <c r="V17">
        <f t="shared" si="15"/>
        <v>8.5368125359797112E-2</v>
      </c>
      <c r="W17">
        <f t="shared" si="10"/>
        <v>1.2195446479971016E-3</v>
      </c>
      <c r="X17">
        <f t="shared" si="10"/>
        <v>-0.11463719691172757</v>
      </c>
      <c r="Y17">
        <f t="shared" si="10"/>
        <v>0</v>
      </c>
      <c r="Z17">
        <f t="shared" si="10"/>
        <v>3.7500997925910884E-2</v>
      </c>
      <c r="AC17">
        <f>L17-$S17</f>
        <v>-6.0977232399855863E-4</v>
      </c>
      <c r="AD17">
        <f>M17-$S17</f>
        <v>-8.4758353035798567E-2</v>
      </c>
      <c r="AE17" s="12">
        <f>S17+N17</f>
        <v>0</v>
      </c>
      <c r="AF17">
        <f t="shared" si="12"/>
        <v>-8.597789768379567E-2</v>
      </c>
      <c r="AG17">
        <f t="shared" si="12"/>
        <v>-4.8476899757884793E-2</v>
      </c>
    </row>
    <row r="18" spans="1:40" ht="15" thickBot="1" x14ac:dyDescent="0.4">
      <c r="A18" s="5" t="s">
        <v>32</v>
      </c>
      <c r="B18" s="47"/>
      <c r="C18" s="47">
        <v>0.10560120068610634</v>
      </c>
      <c r="K18" s="5" t="s">
        <v>32</v>
      </c>
      <c r="L18" s="6">
        <f t="shared" si="9"/>
        <v>4.1849666170730396E-2</v>
      </c>
      <c r="M18" s="6">
        <f t="shared" si="9"/>
        <v>5.5457924966382868E-2</v>
      </c>
      <c r="N18" s="6">
        <f t="shared" si="9"/>
        <v>6.2973783380718115E-2</v>
      </c>
      <c r="O18" s="6">
        <f t="shared" si="9"/>
        <v>1.7309249681499373E-2</v>
      </c>
      <c r="P18" s="6">
        <f t="shared" si="9"/>
        <v>4.5379842092615134E-2</v>
      </c>
      <c r="Q18" s="9"/>
      <c r="R18">
        <f t="shared" si="13"/>
        <v>1.7309249681499373E-2</v>
      </c>
      <c r="S18">
        <f t="shared" si="14"/>
        <v>6.2973783380718115E-2</v>
      </c>
      <c r="V18">
        <f t="shared" si="15"/>
        <v>2.4540416489231023E-2</v>
      </c>
      <c r="W18">
        <f t="shared" si="10"/>
        <v>3.8148675284883499E-2</v>
      </c>
      <c r="X18">
        <f t="shared" si="10"/>
        <v>4.5664533699218746E-2</v>
      </c>
      <c r="Y18">
        <f t="shared" si="10"/>
        <v>0</v>
      </c>
      <c r="Z18">
        <f t="shared" si="10"/>
        <v>2.8070592411115761E-2</v>
      </c>
      <c r="AC18">
        <f t="shared" si="16"/>
        <v>-2.1124117209987719E-2</v>
      </c>
      <c r="AD18">
        <f t="shared" si="11"/>
        <v>-7.5158584143352469E-3</v>
      </c>
      <c r="AE18">
        <f t="shared" si="11"/>
        <v>0</v>
      </c>
      <c r="AF18">
        <f t="shared" si="12"/>
        <v>-4.5664533699218746E-2</v>
      </c>
      <c r="AG18">
        <f t="shared" si="12"/>
        <v>-1.7593941288102981E-2</v>
      </c>
    </row>
    <row r="19" spans="1:40" ht="15" thickBot="1" x14ac:dyDescent="0.4">
      <c r="A19" s="5" t="s">
        <v>33</v>
      </c>
      <c r="B19" s="47"/>
      <c r="C19" s="47">
        <v>0.16372623131585395</v>
      </c>
      <c r="K19" s="5" t="s">
        <v>33</v>
      </c>
      <c r="L19" s="6">
        <f t="shared" si="9"/>
        <v>6.7763067147909625E-2</v>
      </c>
      <c r="M19" s="6">
        <f t="shared" si="9"/>
        <v>9.6017217982937678E-2</v>
      </c>
      <c r="N19" s="6">
        <f t="shared" si="9"/>
        <v>7.8079935502608666E-2</v>
      </c>
      <c r="O19" s="6">
        <f t="shared" si="9"/>
        <v>2.7667965133056523E-2</v>
      </c>
      <c r="P19" s="6">
        <f t="shared" si="9"/>
        <v>7.8314409783397279E-2</v>
      </c>
      <c r="Q19" s="9"/>
      <c r="R19">
        <f t="shared" si="13"/>
        <v>2.7667965133056523E-2</v>
      </c>
      <c r="S19">
        <f t="shared" si="14"/>
        <v>9.6017217982937678E-2</v>
      </c>
      <c r="V19">
        <f t="shared" si="15"/>
        <v>4.0095102014853098E-2</v>
      </c>
      <c r="W19">
        <f t="shared" si="10"/>
        <v>6.8349252849881151E-2</v>
      </c>
      <c r="X19">
        <f t="shared" si="10"/>
        <v>5.0411970369552139E-2</v>
      </c>
      <c r="Y19">
        <f t="shared" si="10"/>
        <v>0</v>
      </c>
      <c r="Z19">
        <f t="shared" si="10"/>
        <v>5.0646444650340752E-2</v>
      </c>
      <c r="AC19">
        <f t="shared" si="16"/>
        <v>-2.8254150835028052E-2</v>
      </c>
      <c r="AD19">
        <f>M19-$S19</f>
        <v>0</v>
      </c>
      <c r="AE19">
        <f t="shared" si="11"/>
        <v>-1.7937282480329012E-2</v>
      </c>
      <c r="AF19">
        <f t="shared" si="12"/>
        <v>-6.8349252849881151E-2</v>
      </c>
      <c r="AG19">
        <f t="shared" si="12"/>
        <v>-1.7702808199540399E-2</v>
      </c>
    </row>
    <row r="20" spans="1:40" ht="15" thickBot="1" x14ac:dyDescent="0.4">
      <c r="A20" s="5" t="s">
        <v>34</v>
      </c>
      <c r="B20" s="47"/>
      <c r="C20" s="47">
        <v>0.1146527321734869</v>
      </c>
      <c r="K20" s="5" t="s">
        <v>34</v>
      </c>
      <c r="L20" s="6">
        <f t="shared" si="9"/>
        <v>5.4913032951705409E-2</v>
      </c>
      <c r="M20" s="6">
        <f t="shared" si="9"/>
        <v>2.1605127718703765E-2</v>
      </c>
      <c r="N20" s="6">
        <f t="shared" si="9"/>
        <v>-3.0607264268163674E-2</v>
      </c>
      <c r="O20" s="6">
        <f t="shared" si="9"/>
        <v>8.2819656255031113E-2</v>
      </c>
      <c r="P20" s="6">
        <f t="shared" si="9"/>
        <v>4.321025543740753E-2</v>
      </c>
      <c r="Q20" s="9"/>
      <c r="R20" s="12">
        <f t="shared" si="14"/>
        <v>8.2819656255031113E-2</v>
      </c>
      <c r="S20" s="12">
        <f t="shared" si="13"/>
        <v>-3.0607264268163674E-2</v>
      </c>
      <c r="T20" t="s">
        <v>53</v>
      </c>
      <c r="V20">
        <f t="shared" si="15"/>
        <v>-2.7906623303325703E-2</v>
      </c>
      <c r="W20">
        <f t="shared" si="10"/>
        <v>-6.1214528536327348E-2</v>
      </c>
      <c r="X20">
        <f t="shared" si="10"/>
        <v>-0.11342692052319478</v>
      </c>
      <c r="Y20">
        <f t="shared" si="10"/>
        <v>0</v>
      </c>
      <c r="Z20">
        <f t="shared" si="10"/>
        <v>-3.9609400817623583E-2</v>
      </c>
      <c r="AC20">
        <f t="shared" si="16"/>
        <v>8.552029721986909E-2</v>
      </c>
      <c r="AD20">
        <f t="shared" si="11"/>
        <v>5.2212391986867439E-2</v>
      </c>
      <c r="AE20">
        <f t="shared" si="11"/>
        <v>0</v>
      </c>
      <c r="AF20">
        <f t="shared" si="12"/>
        <v>0.11342692052319478</v>
      </c>
      <c r="AG20">
        <f t="shared" si="12"/>
        <v>7.3817519705571211E-2</v>
      </c>
    </row>
    <row r="21" spans="1:40" x14ac:dyDescent="0.35">
      <c r="U21" s="11" t="s">
        <v>54</v>
      </c>
      <c r="V21" s="11">
        <f>SQRT(V14^2+V15^2+V16^2+V17^2+V18^2+V19^2+V20^2)</f>
        <v>0.12463817031528071</v>
      </c>
      <c r="W21" s="11">
        <f>SQRT(W14^2+W15^2+W16^2+W17^2+W18^2+W19^2+W20^2)</f>
        <v>0.15630706313388235</v>
      </c>
      <c r="X21" s="11">
        <f>SQRT(X14^2+X15^2+X16^2+X17^2+X18^2+X19^2+X20^2)</f>
        <v>0.21286407424299886</v>
      </c>
      <c r="Y21" s="11">
        <f>SQRT(Y14^2+Y15^2+Y16^2+Y17^2+Y18^2+Y19^2+Y20^2)</f>
        <v>3.6290169016436093E-3</v>
      </c>
      <c r="Z21" s="11">
        <f>SQRT(Z14^2+Z15^2+Z16^2+Z17^2+Z18^2+Z19^2+Z20^2)</f>
        <v>0.12071747307683912</v>
      </c>
      <c r="AA21" s="11"/>
      <c r="AB21" s="11" t="s">
        <v>55</v>
      </c>
      <c r="AC21" s="11">
        <f>SQRT(AC14^2+AC15^2+AC16^2+AC17^2+AC18^2+AC19^2+AC20^2)</f>
        <v>0.11394706839280824</v>
      </c>
      <c r="AD21" s="11">
        <f>SQRT(AD14^2+AD15^2+AD16^2+AD17^2+AD18^2+AD19^2+AD20^2)</f>
        <v>0.11099563381035908</v>
      </c>
      <c r="AE21" s="11">
        <f>SQRT(AE14^2+AE15^2+AE16^2+AE17^2+AE18^2+AE19^2+AE20^2)</f>
        <v>2.7635377969530073E-2</v>
      </c>
      <c r="AF21" s="11">
        <f>SQRT(AF14^2+AF15^2+AF16^2+AF17^2+AF18^2+AF19^2+AF20^2)</f>
        <v>0.21324310798649779</v>
      </c>
      <c r="AG21" s="11">
        <f>SQRT(AG14^2+AG15^2+AG16^2+AG17^2+AG18^2+AG19^2+AG20^2)</f>
        <v>0.10582164251530085</v>
      </c>
      <c r="AI21" t="s">
        <v>56</v>
      </c>
      <c r="AJ21" s="11">
        <f>AC21/(AC21+V21)</f>
        <v>0.47759479593045334</v>
      </c>
      <c r="AK21" s="11">
        <f t="shared" ref="AK21:AN21" si="17">AD21/(AD21+W21)</f>
        <v>0.41524322455120033</v>
      </c>
      <c r="AL21" s="11">
        <f t="shared" si="17"/>
        <v>0.11490827823220462</v>
      </c>
      <c r="AM21" s="11">
        <f t="shared" si="17"/>
        <v>0.98326655902174898</v>
      </c>
      <c r="AN21" s="11">
        <f t="shared" si="17"/>
        <v>0.46712304953914308</v>
      </c>
    </row>
    <row r="22" spans="1:40" ht="42.5" thickBot="1" x14ac:dyDescent="0.4">
      <c r="A22" s="45" t="s">
        <v>73</v>
      </c>
      <c r="B22" s="5" t="s">
        <v>28</v>
      </c>
      <c r="C22" s="54">
        <f>C31-D31</f>
        <v>5.6971404067630474E-2</v>
      </c>
      <c r="AI22" s="11" t="s">
        <v>58</v>
      </c>
      <c r="AJ22" s="11">
        <v>2</v>
      </c>
      <c r="AK22" s="11">
        <v>4</v>
      </c>
      <c r="AL22" s="11">
        <v>5</v>
      </c>
      <c r="AM22" s="11">
        <v>1</v>
      </c>
      <c r="AN22" s="11">
        <v>3</v>
      </c>
    </row>
    <row r="23" spans="1:40" ht="15" thickBot="1" x14ac:dyDescent="0.4">
      <c r="A23" s="47">
        <v>1.5</v>
      </c>
      <c r="B23" s="5" t="s">
        <v>29</v>
      </c>
      <c r="C23">
        <v>0.2757</v>
      </c>
      <c r="D23" s="54"/>
    </row>
    <row r="24" spans="1:40" ht="15" thickBot="1" x14ac:dyDescent="0.4">
      <c r="B24" s="5" t="s">
        <v>30</v>
      </c>
      <c r="C24" s="54">
        <f t="shared" ref="C24:C28" si="18">C33-D33</f>
        <v>0.13124720656701788</v>
      </c>
    </row>
    <row r="25" spans="1:40" ht="15" thickBot="1" x14ac:dyDescent="0.4">
      <c r="B25" s="5" t="s">
        <v>31</v>
      </c>
      <c r="C25" s="54">
        <f t="shared" si="18"/>
        <v>0.15210122518990443</v>
      </c>
    </row>
    <row r="26" spans="1:40" ht="15" thickBot="1" x14ac:dyDescent="0.4">
      <c r="B26" s="5" t="s">
        <v>32</v>
      </c>
      <c r="C26" s="54">
        <f t="shared" si="18"/>
        <v>0.10560120068610634</v>
      </c>
    </row>
    <row r="27" spans="1:40" ht="15" thickBot="1" x14ac:dyDescent="0.4">
      <c r="B27" s="5" t="s">
        <v>33</v>
      </c>
      <c r="C27" s="54">
        <f t="shared" si="18"/>
        <v>0.16372623131585395</v>
      </c>
    </row>
    <row r="28" spans="1:40" ht="15" thickBot="1" x14ac:dyDescent="0.4">
      <c r="B28" s="5" t="s">
        <v>34</v>
      </c>
      <c r="C28" s="54">
        <f t="shared" si="18"/>
        <v>0.1146527321734869</v>
      </c>
      <c r="U28" s="8"/>
      <c r="V28" s="4"/>
      <c r="W28" s="3"/>
      <c r="X28" s="7"/>
      <c r="Y28" s="7"/>
      <c r="Z28" s="7"/>
      <c r="AB28" s="8"/>
      <c r="AC28" s="4"/>
      <c r="AD28" s="3"/>
      <c r="AE28" s="7"/>
      <c r="AF28" s="7"/>
      <c r="AG28" s="7"/>
    </row>
    <row r="29" spans="1:40" x14ac:dyDescent="0.35">
      <c r="B29" s="53" t="s">
        <v>74</v>
      </c>
      <c r="C29" s="54">
        <f>SUM(C22:C28)</f>
        <v>1</v>
      </c>
    </row>
    <row r="31" spans="1:40" ht="15" thickBot="1" x14ac:dyDescent="0.4">
      <c r="A31" t="s">
        <v>75</v>
      </c>
      <c r="C31">
        <v>6.4199999999999993E-2</v>
      </c>
      <c r="D31" s="54">
        <f>C31*$E$31/SUM($C$31,$C$33:$C$37)</f>
        <v>7.2285959323695175E-3</v>
      </c>
      <c r="E31" s="56">
        <f>C23-C32</f>
        <v>9.1900000000000009E-2</v>
      </c>
    </row>
    <row r="32" spans="1:40" ht="15" thickBot="1" x14ac:dyDescent="0.4">
      <c r="C32">
        <v>0.18379999999999999</v>
      </c>
      <c r="D32" s="54"/>
      <c r="T32" s="4"/>
      <c r="U32" s="3"/>
      <c r="V32" s="7"/>
      <c r="W32" s="7"/>
      <c r="X32" s="7"/>
    </row>
    <row r="33" spans="3:33" ht="15" thickBot="1" x14ac:dyDescent="0.4">
      <c r="C33">
        <v>0.1479</v>
      </c>
      <c r="D33" s="54">
        <f t="shared" ref="D33:D37" si="19">C33*$E$31/SUM($C$31,$C$33:$C$37)</f>
        <v>1.6652793432982115E-2</v>
      </c>
      <c r="F33" s="22"/>
      <c r="G33" s="23"/>
      <c r="H33" s="23"/>
      <c r="I33" s="23"/>
      <c r="J33" s="23"/>
      <c r="K33" s="23"/>
      <c r="M33" s="22"/>
      <c r="N33" s="24"/>
      <c r="O33" s="24"/>
      <c r="P33" s="24"/>
      <c r="Q33" s="27"/>
      <c r="S33" s="24"/>
      <c r="T33" s="11"/>
    </row>
    <row r="34" spans="3:33" ht="15" thickBot="1" x14ac:dyDescent="0.4">
      <c r="C34">
        <v>0.1714</v>
      </c>
      <c r="D34" s="54">
        <f t="shared" si="19"/>
        <v>1.9298774810095568E-2</v>
      </c>
      <c r="F34" s="24"/>
      <c r="G34" s="25"/>
      <c r="H34" s="26"/>
      <c r="I34" s="25"/>
      <c r="J34" s="26"/>
      <c r="K34" s="25"/>
      <c r="L34" s="29"/>
      <c r="M34" s="23"/>
      <c r="N34" s="34"/>
      <c r="O34" s="34"/>
      <c r="P34" s="34"/>
      <c r="Q34" s="28"/>
      <c r="S34" s="24"/>
      <c r="T34" s="11"/>
      <c r="U34" s="11"/>
      <c r="V34" s="11"/>
      <c r="W34" s="11"/>
      <c r="X34" s="11"/>
    </row>
    <row r="35" spans="3:33" ht="15" thickBot="1" x14ac:dyDescent="0.4">
      <c r="C35">
        <v>0.11899999999999999</v>
      </c>
      <c r="D35" s="54">
        <f t="shared" si="19"/>
        <v>1.3398799313893655E-2</v>
      </c>
      <c r="F35" s="24"/>
      <c r="G35" s="26"/>
      <c r="H35" s="26"/>
      <c r="I35" s="26"/>
      <c r="J35" s="26"/>
      <c r="K35" s="26"/>
      <c r="L35" s="30"/>
      <c r="M35" s="23"/>
      <c r="N35" s="33"/>
      <c r="O35" s="34"/>
      <c r="P35" s="33"/>
      <c r="Q35" s="28"/>
      <c r="S35" s="24"/>
      <c r="T35" s="11"/>
    </row>
    <row r="36" spans="3:33" ht="15" thickBot="1" x14ac:dyDescent="0.4">
      <c r="C36">
        <v>0.1845</v>
      </c>
      <c r="D36" s="54">
        <f t="shared" si="19"/>
        <v>2.0773768684146043E-2</v>
      </c>
      <c r="F36" s="24"/>
      <c r="G36" s="25"/>
      <c r="H36" s="26"/>
      <c r="I36" s="25"/>
      <c r="J36" s="26"/>
      <c r="K36" s="25"/>
      <c r="L36" s="30"/>
      <c r="M36" s="23"/>
      <c r="N36" s="33"/>
      <c r="O36" s="34"/>
      <c r="P36" s="33"/>
      <c r="Q36" s="28"/>
      <c r="S36" s="27"/>
      <c r="T36" s="11"/>
      <c r="AB36" s="11"/>
      <c r="AC36" s="11"/>
      <c r="AD36" s="11"/>
      <c r="AE36" s="11"/>
      <c r="AF36" s="11"/>
      <c r="AG36" s="11"/>
    </row>
    <row r="37" spans="3:33" ht="15" thickBot="1" x14ac:dyDescent="0.4">
      <c r="C37">
        <v>0.12920000000000001</v>
      </c>
      <c r="D37" s="54">
        <f t="shared" si="19"/>
        <v>1.4547267826513114E-2</v>
      </c>
      <c r="F37" s="27"/>
      <c r="G37" s="28"/>
      <c r="H37" s="28"/>
      <c r="I37" s="28"/>
      <c r="J37" s="28"/>
      <c r="K37" s="28"/>
      <c r="L37" s="30"/>
      <c r="M37" s="23"/>
      <c r="N37" s="34"/>
      <c r="O37" s="34"/>
      <c r="P37" s="34"/>
      <c r="Q37" s="28"/>
      <c r="T37" s="11"/>
    </row>
    <row r="38" spans="3:33" ht="15" thickBot="1" x14ac:dyDescent="0.4">
      <c r="L38" s="30"/>
      <c r="M38" s="23"/>
      <c r="N38" s="33"/>
      <c r="O38" s="34"/>
      <c r="P38" s="33"/>
      <c r="Q38" s="28"/>
    </row>
    <row r="39" spans="3:33" ht="15" thickBot="1" x14ac:dyDescent="0.4">
      <c r="L39" s="30"/>
      <c r="M39" s="32"/>
      <c r="N39" s="32"/>
      <c r="O39" s="32"/>
      <c r="P39" s="31"/>
      <c r="T39" s="24"/>
      <c r="U39" s="24"/>
      <c r="V39" s="24"/>
      <c r="W39" s="27"/>
    </row>
    <row r="40" spans="3:33" ht="15" thickBot="1" x14ac:dyDescent="0.4">
      <c r="I40">
        <f>0.1*25</f>
        <v>2.5</v>
      </c>
      <c r="J40">
        <f>100-I40</f>
        <v>97.5</v>
      </c>
      <c r="S40" s="38"/>
      <c r="T40" s="39"/>
      <c r="U40" s="40"/>
      <c r="V40" s="39"/>
      <c r="W40" s="41"/>
    </row>
    <row r="41" spans="3:33" ht="15" thickBot="1" x14ac:dyDescent="0.4">
      <c r="J41">
        <f>25*30/50</f>
        <v>15</v>
      </c>
      <c r="S41" s="42"/>
      <c r="T41" s="40"/>
      <c r="U41" s="40"/>
      <c r="V41" s="40"/>
      <c r="W41" s="43"/>
    </row>
    <row r="42" spans="3:33" ht="15" thickBot="1" x14ac:dyDescent="0.4">
      <c r="S42" s="44"/>
      <c r="T42" s="39"/>
      <c r="U42" s="40"/>
      <c r="V42" s="39"/>
      <c r="W42" s="41"/>
    </row>
    <row r="43" spans="3:33" ht="15" thickBot="1" x14ac:dyDescent="0.4">
      <c r="S43" s="42"/>
      <c r="T43" s="39"/>
      <c r="U43" s="40"/>
      <c r="V43" s="39"/>
      <c r="W43" s="41"/>
    </row>
    <row r="44" spans="3:33" ht="15" thickBot="1" x14ac:dyDescent="0.4">
      <c r="S44" s="44"/>
      <c r="T44" s="39"/>
      <c r="U44" s="40"/>
      <c r="V44" s="39"/>
      <c r="W44" s="41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N44"/>
  <sheetViews>
    <sheetView zoomScale="39" workbookViewId="0">
      <selection sqref="A1:XFD1"/>
    </sheetView>
  </sheetViews>
  <sheetFormatPr defaultColWidth="8.81640625" defaultRowHeight="14.5" x14ac:dyDescent="0.35"/>
  <cols>
    <col min="12" max="12" width="10.81640625" bestFit="1" customWidth="1"/>
    <col min="17" max="17" width="3.1796875" customWidth="1"/>
    <col min="18" max="18" width="13.7265625" bestFit="1" customWidth="1"/>
    <col min="19" max="19" width="14.1796875" bestFit="1" customWidth="1"/>
  </cols>
  <sheetData>
    <row r="1" spans="1:40" ht="15" thickBot="1" x14ac:dyDescent="0.4">
      <c r="A1" s="78" t="s">
        <v>94</v>
      </c>
    </row>
    <row r="2" spans="1:40" ht="42.5" thickBot="1" x14ac:dyDescent="0.4">
      <c r="A2" s="3" t="s">
        <v>43</v>
      </c>
      <c r="B2" s="4" t="s">
        <v>44</v>
      </c>
      <c r="C2" s="3" t="s">
        <v>45</v>
      </c>
      <c r="D2" s="7" t="s">
        <v>46</v>
      </c>
      <c r="E2" s="7" t="s">
        <v>47</v>
      </c>
      <c r="F2" s="7" t="s">
        <v>13</v>
      </c>
      <c r="H2" s="10" t="s">
        <v>48</v>
      </c>
      <c r="J2" t="s">
        <v>49</v>
      </c>
      <c r="K2" s="3" t="s">
        <v>43</v>
      </c>
      <c r="L2" s="4" t="s">
        <v>44</v>
      </c>
      <c r="M2" s="3" t="s">
        <v>45</v>
      </c>
      <c r="N2" s="7" t="s">
        <v>46</v>
      </c>
      <c r="O2" s="7" t="s">
        <v>47</v>
      </c>
      <c r="P2" s="7" t="s">
        <v>13</v>
      </c>
      <c r="Q2" s="8"/>
      <c r="R2" s="8" t="s">
        <v>50</v>
      </c>
      <c r="S2" s="8" t="s">
        <v>51</v>
      </c>
      <c r="U2" s="8" t="s">
        <v>50</v>
      </c>
      <c r="V2" s="4" t="s">
        <v>44</v>
      </c>
      <c r="W2" s="3" t="s">
        <v>45</v>
      </c>
      <c r="X2" s="7" t="s">
        <v>46</v>
      </c>
      <c r="Y2" s="7" t="s">
        <v>47</v>
      </c>
      <c r="Z2" s="7" t="s">
        <v>13</v>
      </c>
      <c r="AB2" s="8" t="s">
        <v>51</v>
      </c>
      <c r="AC2" s="4" t="s">
        <v>44</v>
      </c>
      <c r="AD2" s="3" t="s">
        <v>45</v>
      </c>
      <c r="AE2" s="7" t="s">
        <v>46</v>
      </c>
      <c r="AF2" s="7" t="s">
        <v>47</v>
      </c>
      <c r="AG2" s="7" t="s">
        <v>13</v>
      </c>
      <c r="AJ2" s="4" t="s">
        <v>44</v>
      </c>
      <c r="AK2" s="3" t="s">
        <v>45</v>
      </c>
      <c r="AL2" s="7" t="s">
        <v>46</v>
      </c>
      <c r="AM2" s="7" t="s">
        <v>47</v>
      </c>
      <c r="AN2" s="7" t="s">
        <v>13</v>
      </c>
    </row>
    <row r="3" spans="1:40" ht="15" thickBot="1" x14ac:dyDescent="0.4">
      <c r="A3" s="5" t="s">
        <v>28</v>
      </c>
      <c r="B3" s="13">
        <v>36.94</v>
      </c>
      <c r="C3" s="14">
        <v>1.33</v>
      </c>
      <c r="D3" s="21">
        <f>(-52.42)</f>
        <v>-52.42</v>
      </c>
      <c r="E3" s="15">
        <v>5.58</v>
      </c>
      <c r="F3" s="15">
        <v>17.5</v>
      </c>
      <c r="H3">
        <f t="shared" ref="H3:H9" si="0">SQRT(B3^2+C3^2+F3^2+D3^2+E3^2)</f>
        <v>66.72012664856085</v>
      </c>
      <c r="K3" s="5" t="s">
        <v>28</v>
      </c>
      <c r="L3" s="6">
        <f t="shared" ref="L3:P9" si="1">B3/$H3*$B14</f>
        <v>0</v>
      </c>
      <c r="M3" s="6">
        <f t="shared" si="1"/>
        <v>0</v>
      </c>
      <c r="N3" s="6">
        <f t="shared" si="1"/>
        <v>0</v>
      </c>
      <c r="O3" s="6">
        <f t="shared" si="1"/>
        <v>0</v>
      </c>
      <c r="P3" s="6">
        <f t="shared" si="1"/>
        <v>0</v>
      </c>
      <c r="Q3" s="9"/>
      <c r="R3" s="35">
        <f>M3</f>
        <v>0</v>
      </c>
      <c r="S3" s="35">
        <f>-N3</f>
        <v>0</v>
      </c>
      <c r="T3" t="s">
        <v>52</v>
      </c>
      <c r="V3">
        <f>L3-$R3</f>
        <v>0</v>
      </c>
      <c r="W3">
        <f t="shared" ref="W3:Z9" si="2">M3-$R3</f>
        <v>0</v>
      </c>
      <c r="X3">
        <f t="shared" si="2"/>
        <v>0</v>
      </c>
      <c r="Y3">
        <f t="shared" si="2"/>
        <v>0</v>
      </c>
      <c r="Z3">
        <f t="shared" si="2"/>
        <v>0</v>
      </c>
      <c r="AC3">
        <f>L3-$S3</f>
        <v>0</v>
      </c>
      <c r="AD3">
        <f t="shared" ref="AD3:AG9" si="3">M3-$S3</f>
        <v>0</v>
      </c>
      <c r="AE3" s="12">
        <f>N3+$S3</f>
        <v>0</v>
      </c>
      <c r="AF3">
        <f t="shared" si="3"/>
        <v>0</v>
      </c>
      <c r="AG3">
        <f t="shared" si="3"/>
        <v>0</v>
      </c>
    </row>
    <row r="4" spans="1:40" ht="15" thickBot="1" x14ac:dyDescent="0.4">
      <c r="A4" s="5" t="s">
        <v>29</v>
      </c>
      <c r="B4" s="13">
        <v>75.989999999999995</v>
      </c>
      <c r="C4" s="14">
        <v>112.17</v>
      </c>
      <c r="D4" s="14">
        <v>97.42</v>
      </c>
      <c r="E4" s="15">
        <v>33.25</v>
      </c>
      <c r="F4" s="15">
        <v>92</v>
      </c>
      <c r="H4">
        <f t="shared" si="0"/>
        <v>193.43424696780039</v>
      </c>
      <c r="K4" s="5" t="s">
        <v>29</v>
      </c>
      <c r="L4" s="6">
        <f t="shared" si="1"/>
        <v>0</v>
      </c>
      <c r="M4" s="6">
        <f t="shared" si="1"/>
        <v>0</v>
      </c>
      <c r="N4" s="6">
        <f t="shared" si="1"/>
        <v>0</v>
      </c>
      <c r="O4" s="6">
        <f t="shared" si="1"/>
        <v>0</v>
      </c>
      <c r="P4" s="6">
        <f t="shared" si="1"/>
        <v>0</v>
      </c>
      <c r="Q4" s="9"/>
      <c r="R4" s="36">
        <f t="shared" ref="R4:S9" si="4">MIN(L4:P4)</f>
        <v>0</v>
      </c>
      <c r="S4" s="36">
        <f t="shared" ref="R4:S9" si="5">MAX(L4:P4)</f>
        <v>0</v>
      </c>
      <c r="V4">
        <f t="shared" ref="V4:V9" si="6">L4-$R4</f>
        <v>0</v>
      </c>
      <c r="W4">
        <f t="shared" si="2"/>
        <v>0</v>
      </c>
      <c r="X4">
        <f t="shared" si="2"/>
        <v>0</v>
      </c>
      <c r="Y4">
        <f t="shared" si="2"/>
        <v>0</v>
      </c>
      <c r="Z4">
        <f t="shared" si="2"/>
        <v>0</v>
      </c>
      <c r="AC4">
        <f t="shared" ref="AC4:AC9" si="7">L4-$S4</f>
        <v>0</v>
      </c>
      <c r="AD4">
        <f t="shared" si="3"/>
        <v>0</v>
      </c>
      <c r="AE4">
        <f t="shared" si="3"/>
        <v>0</v>
      </c>
      <c r="AF4">
        <f t="shared" si="3"/>
        <v>0</v>
      </c>
      <c r="AG4">
        <f t="shared" si="3"/>
        <v>0</v>
      </c>
    </row>
    <row r="5" spans="1:40" ht="15" thickBot="1" x14ac:dyDescent="0.4">
      <c r="A5" s="5" t="s">
        <v>30</v>
      </c>
      <c r="B5" s="13">
        <v>92.53</v>
      </c>
      <c r="C5" s="14">
        <v>129.69999999999999</v>
      </c>
      <c r="D5" s="14">
        <v>171.94</v>
      </c>
      <c r="E5" s="15">
        <v>42.85</v>
      </c>
      <c r="F5" s="15">
        <v>107.11</v>
      </c>
      <c r="H5">
        <f t="shared" si="0"/>
        <v>261.25835699552272</v>
      </c>
      <c r="K5" s="5" t="s">
        <v>30</v>
      </c>
      <c r="L5" s="6">
        <f t="shared" si="1"/>
        <v>0</v>
      </c>
      <c r="M5" s="6">
        <f t="shared" si="1"/>
        <v>0</v>
      </c>
      <c r="N5" s="6">
        <f t="shared" si="1"/>
        <v>0</v>
      </c>
      <c r="O5" s="6">
        <f t="shared" si="1"/>
        <v>0</v>
      </c>
      <c r="P5" s="6">
        <f t="shared" si="1"/>
        <v>0</v>
      </c>
      <c r="Q5" s="9"/>
      <c r="R5" s="36">
        <f t="shared" si="4"/>
        <v>0</v>
      </c>
      <c r="S5" s="36">
        <f t="shared" si="5"/>
        <v>0</v>
      </c>
      <c r="V5">
        <f t="shared" si="6"/>
        <v>0</v>
      </c>
      <c r="W5">
        <f t="shared" si="2"/>
        <v>0</v>
      </c>
      <c r="X5">
        <f t="shared" si="2"/>
        <v>0</v>
      </c>
      <c r="Y5">
        <f t="shared" si="2"/>
        <v>0</v>
      </c>
      <c r="Z5">
        <f t="shared" si="2"/>
        <v>0</v>
      </c>
      <c r="AC5">
        <f t="shared" si="7"/>
        <v>0</v>
      </c>
      <c r="AD5">
        <f t="shared" si="3"/>
        <v>0</v>
      </c>
      <c r="AE5">
        <f t="shared" si="3"/>
        <v>0</v>
      </c>
      <c r="AF5">
        <f t="shared" si="3"/>
        <v>0</v>
      </c>
      <c r="AG5">
        <f t="shared" si="3"/>
        <v>0</v>
      </c>
    </row>
    <row r="6" spans="1:40" ht="15" thickBot="1" x14ac:dyDescent="0.4">
      <c r="A6" s="5" t="s">
        <v>31</v>
      </c>
      <c r="B6" s="16">
        <v>3.27</v>
      </c>
      <c r="C6" s="16">
        <v>0.51</v>
      </c>
      <c r="D6" s="20">
        <f>(-3.29)</f>
        <v>-3.29</v>
      </c>
      <c r="E6" s="16">
        <v>0.47</v>
      </c>
      <c r="F6" s="16">
        <v>1.7</v>
      </c>
      <c r="H6">
        <f t="shared" si="0"/>
        <v>4.9887874278225164</v>
      </c>
      <c r="K6" s="5" t="s">
        <v>31</v>
      </c>
      <c r="L6" s="6">
        <f t="shared" si="1"/>
        <v>0</v>
      </c>
      <c r="M6" s="6">
        <f t="shared" si="1"/>
        <v>0</v>
      </c>
      <c r="N6" s="6">
        <f t="shared" si="1"/>
        <v>0</v>
      </c>
      <c r="O6" s="6">
        <f t="shared" si="1"/>
        <v>0</v>
      </c>
      <c r="P6" s="6">
        <f t="shared" si="1"/>
        <v>0</v>
      </c>
      <c r="Q6" s="9"/>
      <c r="R6" s="35">
        <f>O6</f>
        <v>0</v>
      </c>
      <c r="S6" s="35">
        <f>-N6</f>
        <v>0</v>
      </c>
      <c r="T6" t="s">
        <v>52</v>
      </c>
      <c r="V6">
        <f t="shared" si="6"/>
        <v>0</v>
      </c>
      <c r="W6">
        <f t="shared" si="2"/>
        <v>0</v>
      </c>
      <c r="X6">
        <f t="shared" si="2"/>
        <v>0</v>
      </c>
      <c r="Y6">
        <f t="shared" si="2"/>
        <v>0</v>
      </c>
      <c r="Z6">
        <f t="shared" si="2"/>
        <v>0</v>
      </c>
      <c r="AC6">
        <f t="shared" si="7"/>
        <v>0</v>
      </c>
      <c r="AD6">
        <f t="shared" si="3"/>
        <v>0</v>
      </c>
      <c r="AE6" s="12">
        <f>N6+$S6</f>
        <v>0</v>
      </c>
      <c r="AF6">
        <f t="shared" si="3"/>
        <v>0</v>
      </c>
      <c r="AG6">
        <f t="shared" si="3"/>
        <v>0</v>
      </c>
    </row>
    <row r="7" spans="1:40" ht="15" thickBot="1" x14ac:dyDescent="0.4">
      <c r="A7" s="5" t="s">
        <v>32</v>
      </c>
      <c r="B7" s="16">
        <v>7.35</v>
      </c>
      <c r="C7" s="16">
        <v>9.74</v>
      </c>
      <c r="D7" s="16">
        <v>11.06</v>
      </c>
      <c r="E7" s="16">
        <v>3.04</v>
      </c>
      <c r="F7" s="16">
        <v>7.97</v>
      </c>
      <c r="H7">
        <f t="shared" si="0"/>
        <v>18.546595374892934</v>
      </c>
      <c r="K7" s="5" t="s">
        <v>32</v>
      </c>
      <c r="L7" s="6">
        <f t="shared" si="1"/>
        <v>0</v>
      </c>
      <c r="M7" s="6">
        <f t="shared" si="1"/>
        <v>0</v>
      </c>
      <c r="N7" s="6">
        <f t="shared" si="1"/>
        <v>0</v>
      </c>
      <c r="O7" s="6">
        <f t="shared" si="1"/>
        <v>0</v>
      </c>
      <c r="P7" s="6">
        <f t="shared" si="1"/>
        <v>0</v>
      </c>
      <c r="Q7" s="9"/>
      <c r="R7" s="36">
        <f t="shared" si="4"/>
        <v>0</v>
      </c>
      <c r="S7" s="36">
        <f t="shared" si="5"/>
        <v>0</v>
      </c>
      <c r="V7">
        <f t="shared" si="6"/>
        <v>0</v>
      </c>
      <c r="W7">
        <f t="shared" si="2"/>
        <v>0</v>
      </c>
      <c r="X7">
        <f t="shared" si="2"/>
        <v>0</v>
      </c>
      <c r="Y7">
        <f t="shared" si="2"/>
        <v>0</v>
      </c>
      <c r="Z7">
        <f t="shared" si="2"/>
        <v>0</v>
      </c>
      <c r="AC7">
        <f t="shared" si="7"/>
        <v>0</v>
      </c>
      <c r="AD7">
        <f t="shared" si="3"/>
        <v>0</v>
      </c>
      <c r="AE7">
        <f t="shared" si="3"/>
        <v>0</v>
      </c>
      <c r="AF7">
        <f t="shared" si="3"/>
        <v>0</v>
      </c>
      <c r="AG7">
        <f t="shared" si="3"/>
        <v>0</v>
      </c>
    </row>
    <row r="8" spans="1:40" ht="15" thickBot="1" x14ac:dyDescent="0.4">
      <c r="A8" s="5" t="s">
        <v>33</v>
      </c>
      <c r="B8" s="16">
        <v>5.78</v>
      </c>
      <c r="C8" s="16">
        <v>8.19</v>
      </c>
      <c r="D8" s="16">
        <v>6.66</v>
      </c>
      <c r="E8" s="16">
        <v>2.36</v>
      </c>
      <c r="F8" s="16">
        <v>6.68</v>
      </c>
      <c r="H8">
        <f t="shared" si="0"/>
        <v>13.965389360844902</v>
      </c>
      <c r="K8" s="5" t="s">
        <v>33</v>
      </c>
      <c r="L8" s="6">
        <f t="shared" si="1"/>
        <v>0</v>
      </c>
      <c r="M8" s="6">
        <f t="shared" si="1"/>
        <v>0</v>
      </c>
      <c r="N8" s="6">
        <f t="shared" si="1"/>
        <v>0</v>
      </c>
      <c r="O8" s="6">
        <f t="shared" si="1"/>
        <v>0</v>
      </c>
      <c r="P8" s="6">
        <f t="shared" si="1"/>
        <v>0</v>
      </c>
      <c r="Q8" s="9"/>
      <c r="R8" s="36">
        <f t="shared" si="4"/>
        <v>0</v>
      </c>
      <c r="S8" s="36">
        <f t="shared" si="5"/>
        <v>0</v>
      </c>
      <c r="V8">
        <f t="shared" si="6"/>
        <v>0</v>
      </c>
      <c r="W8">
        <f t="shared" si="2"/>
        <v>0</v>
      </c>
      <c r="X8">
        <f t="shared" si="2"/>
        <v>0</v>
      </c>
      <c r="Y8">
        <f t="shared" si="2"/>
        <v>0</v>
      </c>
      <c r="Z8">
        <f t="shared" si="2"/>
        <v>0</v>
      </c>
      <c r="AC8">
        <f t="shared" si="7"/>
        <v>0</v>
      </c>
      <c r="AD8">
        <f t="shared" si="3"/>
        <v>0</v>
      </c>
      <c r="AE8">
        <f t="shared" si="3"/>
        <v>0</v>
      </c>
      <c r="AF8">
        <f t="shared" si="3"/>
        <v>0</v>
      </c>
      <c r="AG8">
        <f t="shared" si="3"/>
        <v>0</v>
      </c>
    </row>
    <row r="9" spans="1:40" ht="15" thickBot="1" x14ac:dyDescent="0.4">
      <c r="A9" s="5" t="s">
        <v>34</v>
      </c>
      <c r="B9" s="17">
        <v>0.61</v>
      </c>
      <c r="C9" s="18">
        <v>0.24</v>
      </c>
      <c r="D9" s="18">
        <v>-0.34</v>
      </c>
      <c r="E9" s="19">
        <v>0.92</v>
      </c>
      <c r="F9" s="19">
        <v>0.48</v>
      </c>
      <c r="H9">
        <f t="shared" si="0"/>
        <v>1.2736168968728392</v>
      </c>
      <c r="K9" s="5" t="s">
        <v>34</v>
      </c>
      <c r="L9" s="6">
        <f t="shared" si="1"/>
        <v>0</v>
      </c>
      <c r="M9" s="6">
        <f t="shared" si="1"/>
        <v>0</v>
      </c>
      <c r="N9" s="6">
        <f t="shared" si="1"/>
        <v>0</v>
      </c>
      <c r="O9" s="6">
        <f t="shared" si="1"/>
        <v>0</v>
      </c>
      <c r="P9" s="6">
        <f t="shared" si="1"/>
        <v>0</v>
      </c>
      <c r="Q9" s="9"/>
      <c r="R9" s="35">
        <f t="shared" si="5"/>
        <v>0</v>
      </c>
      <c r="S9" s="35">
        <f t="shared" si="4"/>
        <v>0</v>
      </c>
      <c r="T9" t="s">
        <v>53</v>
      </c>
      <c r="V9">
        <f t="shared" si="6"/>
        <v>0</v>
      </c>
      <c r="W9">
        <f t="shared" si="2"/>
        <v>0</v>
      </c>
      <c r="X9">
        <f t="shared" si="2"/>
        <v>0</v>
      </c>
      <c r="Y9">
        <f t="shared" si="2"/>
        <v>0</v>
      </c>
      <c r="Z9">
        <f t="shared" si="2"/>
        <v>0</v>
      </c>
      <c r="AC9">
        <f t="shared" si="7"/>
        <v>0</v>
      </c>
      <c r="AD9">
        <f t="shared" si="3"/>
        <v>0</v>
      </c>
      <c r="AE9">
        <f t="shared" si="3"/>
        <v>0</v>
      </c>
      <c r="AF9">
        <f t="shared" si="3"/>
        <v>0</v>
      </c>
      <c r="AG9">
        <f t="shared" si="3"/>
        <v>0</v>
      </c>
    </row>
    <row r="10" spans="1:40" x14ac:dyDescent="0.35">
      <c r="U10" s="11" t="s">
        <v>54</v>
      </c>
      <c r="V10" s="11">
        <f>SQRT(V3^2+V4^2+V5^2+V6^2+V7^2+V8^2+V9^2)</f>
        <v>0</v>
      </c>
      <c r="W10" s="11">
        <f>SQRT(W3^2+W4^2+W5^2+W6^2+W7^2+W8^2+W9^2)</f>
        <v>0</v>
      </c>
      <c r="X10" s="11">
        <f>SQRT(X3^2+X4^2+X5^2+X6^2+X7^2+X8^2+X9^2)</f>
        <v>0</v>
      </c>
      <c r="Y10" s="11">
        <f>SQRT(Y3^2+Y4^2+Y5^2+Y6^2+Y7^2+Y8^2+Y9^2)</f>
        <v>0</v>
      </c>
      <c r="Z10" s="11">
        <f>SQRT(Z3^2+Z4^2+Z5^2+Z6^2+Z7^2+Z8^2+Z9^2)</f>
        <v>0</v>
      </c>
      <c r="AA10" s="11"/>
      <c r="AB10" s="11" t="s">
        <v>55</v>
      </c>
      <c r="AC10" s="11">
        <f>SQRT(AC3^2+AC4^2+AC5^2+AC6^2+AC7^2+AC8^2+AC9^2)</f>
        <v>0</v>
      </c>
      <c r="AD10" s="11">
        <f>SQRT(AD3^2+AD4^2+AD5^2+AD6^2+AD7^2+AD8^2+AD9^2)</f>
        <v>0</v>
      </c>
      <c r="AE10" s="11">
        <f>SQRT(AE3^2+AE4^2+AE5^2+AE6^2+AE7^2+AE8^2+AE9^2)</f>
        <v>0</v>
      </c>
      <c r="AF10" s="11">
        <f>SQRT(AF3^2+AF4^2+AF5^2+AF6^2+AF7^2+AF8^2+AF9^2)</f>
        <v>0</v>
      </c>
      <c r="AG10" s="11">
        <f>SQRT(AG3^2+AG4^2+AG5^2+AG6^2+AG7^2+AG8^2+AG9^2)</f>
        <v>0</v>
      </c>
      <c r="AI10" t="s">
        <v>56</v>
      </c>
      <c r="AJ10" s="11" t="e">
        <f>AC10/(AC10+V10)</f>
        <v>#DIV/0!</v>
      </c>
      <c r="AK10" s="11" t="e">
        <f t="shared" ref="AK10:AN10" si="8">AD10/(AD10+W10)</f>
        <v>#DIV/0!</v>
      </c>
      <c r="AL10" s="11" t="e">
        <f t="shared" si="8"/>
        <v>#DIV/0!</v>
      </c>
      <c r="AM10" s="11" t="e">
        <f t="shared" si="8"/>
        <v>#DIV/0!</v>
      </c>
      <c r="AN10" s="11" t="e">
        <f t="shared" si="8"/>
        <v>#DIV/0!</v>
      </c>
    </row>
    <row r="11" spans="1:40" x14ac:dyDescent="0.35">
      <c r="D11" t="s">
        <v>57</v>
      </c>
      <c r="AI11" s="11" t="s">
        <v>58</v>
      </c>
      <c r="AJ11" s="11">
        <v>2</v>
      </c>
      <c r="AK11" s="11">
        <v>4</v>
      </c>
      <c r="AL11" s="11">
        <v>5</v>
      </c>
      <c r="AM11" s="11">
        <v>1</v>
      </c>
      <c r="AN11" s="11">
        <v>3</v>
      </c>
    </row>
    <row r="12" spans="1:40" ht="15" thickBot="1" x14ac:dyDescent="0.4">
      <c r="AJ12" s="11"/>
      <c r="AK12" s="11"/>
      <c r="AL12" s="11"/>
      <c r="AM12" s="11"/>
      <c r="AN12" s="11"/>
    </row>
    <row r="13" spans="1:40" ht="42.5" thickBot="1" x14ac:dyDescent="0.4">
      <c r="A13" t="s">
        <v>59</v>
      </c>
      <c r="C13" t="s">
        <v>60</v>
      </c>
      <c r="D13" t="s">
        <v>72</v>
      </c>
      <c r="J13" t="s">
        <v>64</v>
      </c>
      <c r="K13" s="3" t="s">
        <v>43</v>
      </c>
      <c r="L13" s="4" t="s">
        <v>44</v>
      </c>
      <c r="M13" s="3" t="s">
        <v>45</v>
      </c>
      <c r="N13" s="7" t="s">
        <v>46</v>
      </c>
      <c r="O13" s="7" t="s">
        <v>47</v>
      </c>
      <c r="P13" s="7" t="s">
        <v>13</v>
      </c>
      <c r="Q13" s="8"/>
      <c r="R13" s="8" t="s">
        <v>50</v>
      </c>
      <c r="S13" s="8" t="s">
        <v>51</v>
      </c>
      <c r="U13" s="8" t="s">
        <v>50</v>
      </c>
      <c r="V13" s="4" t="s">
        <v>44</v>
      </c>
      <c r="W13" s="3" t="s">
        <v>45</v>
      </c>
      <c r="X13" s="7" t="s">
        <v>46</v>
      </c>
      <c r="Y13" s="7" t="s">
        <v>47</v>
      </c>
      <c r="Z13" s="7" t="s">
        <v>13</v>
      </c>
      <c r="AB13" s="8" t="s">
        <v>51</v>
      </c>
      <c r="AC13" s="4" t="s">
        <v>44</v>
      </c>
      <c r="AD13" s="3" t="s">
        <v>45</v>
      </c>
      <c r="AE13" s="7" t="s">
        <v>46</v>
      </c>
      <c r="AF13" s="7" t="s">
        <v>47</v>
      </c>
      <c r="AG13" s="7" t="s">
        <v>13</v>
      </c>
      <c r="AI13" s="10" t="s">
        <v>56</v>
      </c>
      <c r="AJ13" s="4" t="s">
        <v>44</v>
      </c>
      <c r="AK13" s="3" t="s">
        <v>45</v>
      </c>
      <c r="AL13" s="7" t="s">
        <v>46</v>
      </c>
      <c r="AM13" s="7" t="s">
        <v>47</v>
      </c>
      <c r="AN13" s="7" t="s">
        <v>13</v>
      </c>
    </row>
    <row r="14" spans="1:40" ht="15" thickBot="1" x14ac:dyDescent="0.4">
      <c r="A14" s="5" t="s">
        <v>28</v>
      </c>
      <c r="B14" s="47"/>
      <c r="C14" s="47">
        <v>5.8628365215350309E-2</v>
      </c>
      <c r="K14" s="5" t="s">
        <v>28</v>
      </c>
      <c r="L14" s="6">
        <f t="shared" ref="L14:P20" si="9">B3/$H3*$C14</f>
        <v>3.2459947542706813E-2</v>
      </c>
      <c r="M14" s="6">
        <f t="shared" si="9"/>
        <v>1.1686987068706028E-3</v>
      </c>
      <c r="N14" s="6">
        <f t="shared" si="9"/>
        <v>-4.6062546025681952E-2</v>
      </c>
      <c r="O14" s="6">
        <f t="shared" si="9"/>
        <v>4.9032622438631305E-3</v>
      </c>
      <c r="P14" s="6">
        <f t="shared" si="9"/>
        <v>1.5377614564086881E-2</v>
      </c>
      <c r="Q14" s="9"/>
      <c r="R14" s="12">
        <f>M14</f>
        <v>1.1686987068706028E-3</v>
      </c>
      <c r="S14" s="12">
        <f>N14*-1</f>
        <v>4.6062546025681952E-2</v>
      </c>
      <c r="T14" t="s">
        <v>52</v>
      </c>
      <c r="V14">
        <f>L14-$R14</f>
        <v>3.1291248835836213E-2</v>
      </c>
      <c r="W14">
        <f t="shared" ref="W14:Z20" si="10">M14-$R14</f>
        <v>0</v>
      </c>
      <c r="X14">
        <f t="shared" si="10"/>
        <v>-4.7231244732552552E-2</v>
      </c>
      <c r="Y14">
        <f t="shared" si="10"/>
        <v>3.7345635369925275E-3</v>
      </c>
      <c r="Z14">
        <f t="shared" si="10"/>
        <v>1.4208915857216278E-2</v>
      </c>
      <c r="AC14">
        <f>L14-$S14</f>
        <v>-1.360259848297514E-2</v>
      </c>
      <c r="AD14">
        <f t="shared" ref="AD14:AE20" si="11">M14-$S14</f>
        <v>-4.4893847318811353E-2</v>
      </c>
      <c r="AE14" s="12">
        <f>S14+N14</f>
        <v>0</v>
      </c>
      <c r="AF14">
        <f t="shared" ref="AF14:AG20" si="12">O14-$S14</f>
        <v>-4.1159283781818823E-2</v>
      </c>
      <c r="AG14">
        <f t="shared" si="12"/>
        <v>-3.0684931461595073E-2</v>
      </c>
    </row>
    <row r="15" spans="1:40" ht="15" thickBot="1" x14ac:dyDescent="0.4">
      <c r="A15" s="5" t="s">
        <v>29</v>
      </c>
      <c r="B15" s="47"/>
      <c r="C15" s="47">
        <v>0.16784880882525524</v>
      </c>
      <c r="K15" s="5" t="s">
        <v>29</v>
      </c>
      <c r="L15" s="6">
        <f t="shared" si="9"/>
        <v>6.5938845796806339E-2</v>
      </c>
      <c r="M15" s="6">
        <f t="shared" si="9"/>
        <v>9.7333337715854298E-2</v>
      </c>
      <c r="N15" s="6">
        <f t="shared" si="9"/>
        <v>8.4534311850570795E-2</v>
      </c>
      <c r="O15" s="6">
        <f t="shared" si="9"/>
        <v>2.8852041357334008E-2</v>
      </c>
      <c r="P15" s="6">
        <f t="shared" si="9"/>
        <v>7.9831212176683569E-2</v>
      </c>
      <c r="Q15" s="9"/>
      <c r="R15">
        <f t="shared" ref="R15:S20" si="13">MIN(L15:P15)</f>
        <v>2.8852041357334008E-2</v>
      </c>
      <c r="S15">
        <f t="shared" ref="R15:S20" si="14">MAX(L15:P15)</f>
        <v>9.7333337715854298E-2</v>
      </c>
      <c r="V15">
        <f t="shared" ref="V15:V20" si="15">L15-$R15</f>
        <v>3.7086804439472335E-2</v>
      </c>
      <c r="W15">
        <f t="shared" si="10"/>
        <v>6.8481296358520294E-2</v>
      </c>
      <c r="X15">
        <f t="shared" si="10"/>
        <v>5.5682270493236791E-2</v>
      </c>
      <c r="Y15">
        <f t="shared" si="10"/>
        <v>0</v>
      </c>
      <c r="Z15">
        <f t="shared" si="10"/>
        <v>5.0979170819349565E-2</v>
      </c>
      <c r="AC15">
        <f t="shared" ref="AC15:AC20" si="16">L15-$S15</f>
        <v>-3.1394491919047959E-2</v>
      </c>
      <c r="AD15">
        <f t="shared" si="11"/>
        <v>0</v>
      </c>
      <c r="AE15">
        <f t="shared" si="11"/>
        <v>-1.2799025865283503E-2</v>
      </c>
      <c r="AF15">
        <f t="shared" si="12"/>
        <v>-6.8481296358520294E-2</v>
      </c>
      <c r="AG15">
        <f t="shared" si="12"/>
        <v>-1.7502125539170729E-2</v>
      </c>
    </row>
    <row r="16" spans="1:40" ht="15" thickBot="1" x14ac:dyDescent="0.4">
      <c r="A16" s="5" t="s">
        <v>30</v>
      </c>
      <c r="B16" s="47"/>
      <c r="C16" s="47">
        <v>0.22184999999999999</v>
      </c>
      <c r="K16" s="5" t="s">
        <v>30</v>
      </c>
      <c r="L16" s="6">
        <f t="shared" si="9"/>
        <v>7.8572722940119355E-2</v>
      </c>
      <c r="M16" s="6">
        <f t="shared" si="9"/>
        <v>0.11013597930761353</v>
      </c>
      <c r="N16" s="6">
        <f t="shared" si="9"/>
        <v>0.14600447403354719</v>
      </c>
      <c r="O16" s="6">
        <f t="shared" si="9"/>
        <v>3.6386481984049653E-2</v>
      </c>
      <c r="P16" s="6">
        <f t="shared" si="9"/>
        <v>9.0953467568531107E-2</v>
      </c>
      <c r="Q16" s="9"/>
      <c r="R16">
        <f t="shared" si="13"/>
        <v>3.6386481984049653E-2</v>
      </c>
      <c r="S16">
        <f t="shared" si="14"/>
        <v>0.14600447403354719</v>
      </c>
      <c r="V16">
        <f t="shared" si="15"/>
        <v>4.2186240956069702E-2</v>
      </c>
      <c r="W16">
        <f t="shared" si="10"/>
        <v>7.3749497323563867E-2</v>
      </c>
      <c r="X16">
        <f t="shared" si="10"/>
        <v>0.10961799204949754</v>
      </c>
      <c r="Y16">
        <f t="shared" si="10"/>
        <v>0</v>
      </c>
      <c r="Z16">
        <f t="shared" si="10"/>
        <v>5.4566985584481455E-2</v>
      </c>
      <c r="AC16">
        <f t="shared" si="16"/>
        <v>-6.7431751093427833E-2</v>
      </c>
      <c r="AD16">
        <f t="shared" si="11"/>
        <v>-3.5868494725933661E-2</v>
      </c>
      <c r="AE16">
        <f t="shared" si="11"/>
        <v>0</v>
      </c>
      <c r="AF16">
        <f t="shared" si="12"/>
        <v>-0.10961799204949754</v>
      </c>
      <c r="AG16">
        <f t="shared" si="12"/>
        <v>-5.5051006465016081E-2</v>
      </c>
    </row>
    <row r="17" spans="1:40" ht="15" thickBot="1" x14ac:dyDescent="0.4">
      <c r="A17" s="5" t="s">
        <v>31</v>
      </c>
      <c r="B17" s="47"/>
      <c r="C17" s="47">
        <v>0.15652495012322498</v>
      </c>
      <c r="K17" s="5" t="s">
        <v>31</v>
      </c>
      <c r="L17" s="6">
        <f t="shared" si="9"/>
        <v>0.10259739351659444</v>
      </c>
      <c r="M17" s="6">
        <f t="shared" si="9"/>
        <v>1.6001428346624821E-2</v>
      </c>
      <c r="N17" s="6">
        <f t="shared" si="9"/>
        <v>-0.10322490051057973</v>
      </c>
      <c r="O17" s="6">
        <f t="shared" si="9"/>
        <v>1.4746414358654245E-2</v>
      </c>
      <c r="P17" s="6">
        <f t="shared" si="9"/>
        <v>5.3338094488749405E-2</v>
      </c>
      <c r="Q17" s="9"/>
      <c r="R17" s="12">
        <f>O17</f>
        <v>1.4746414358654245E-2</v>
      </c>
      <c r="S17" s="12">
        <f>-N17</f>
        <v>0.10322490051057973</v>
      </c>
      <c r="T17" t="s">
        <v>52</v>
      </c>
      <c r="V17">
        <f t="shared" si="15"/>
        <v>8.7850979157940198E-2</v>
      </c>
      <c r="W17">
        <f t="shared" si="10"/>
        <v>1.2550139879705761E-3</v>
      </c>
      <c r="X17">
        <f t="shared" si="10"/>
        <v>-0.11797131486923397</v>
      </c>
      <c r="Y17">
        <f t="shared" si="10"/>
        <v>0</v>
      </c>
      <c r="Z17">
        <f t="shared" si="10"/>
        <v>3.859168013009516E-2</v>
      </c>
      <c r="AC17">
        <f>L17-$S17</f>
        <v>-6.2750699398528287E-4</v>
      </c>
      <c r="AD17">
        <f>M17-$S17</f>
        <v>-8.7223472163954902E-2</v>
      </c>
      <c r="AE17" s="12">
        <f>S17+N17</f>
        <v>0</v>
      </c>
      <c r="AF17">
        <f t="shared" si="12"/>
        <v>-8.8478486151925481E-2</v>
      </c>
      <c r="AG17">
        <f t="shared" si="12"/>
        <v>-4.9886806021830321E-2</v>
      </c>
    </row>
    <row r="18" spans="1:40" ht="15" thickBot="1" x14ac:dyDescent="0.4">
      <c r="A18" s="5" t="s">
        <v>32</v>
      </c>
      <c r="B18" s="47"/>
      <c r="C18" s="47">
        <v>0.1086725149630325</v>
      </c>
      <c r="K18" s="5" t="s">
        <v>32</v>
      </c>
      <c r="L18" s="6">
        <f t="shared" si="9"/>
        <v>4.3066825410963051E-2</v>
      </c>
      <c r="M18" s="6">
        <f t="shared" si="9"/>
        <v>5.7070867959561927E-2</v>
      </c>
      <c r="N18" s="6">
        <f t="shared" si="9"/>
        <v>6.4805318237449172E-2</v>
      </c>
      <c r="O18" s="6">
        <f t="shared" si="9"/>
        <v>1.7812673367255467E-2</v>
      </c>
      <c r="P18" s="6">
        <f t="shared" si="9"/>
        <v>4.6699673268758575E-2</v>
      </c>
      <c r="Q18" s="9"/>
      <c r="R18">
        <f t="shared" si="13"/>
        <v>1.7812673367255467E-2</v>
      </c>
      <c r="S18">
        <f t="shared" si="14"/>
        <v>6.4805318237449172E-2</v>
      </c>
      <c r="V18">
        <f t="shared" si="15"/>
        <v>2.5254152043707585E-2</v>
      </c>
      <c r="W18">
        <f t="shared" si="10"/>
        <v>3.9258194592306464E-2</v>
      </c>
      <c r="X18">
        <f t="shared" si="10"/>
        <v>4.6992644870193709E-2</v>
      </c>
      <c r="Y18">
        <f t="shared" si="10"/>
        <v>0</v>
      </c>
      <c r="Z18">
        <f t="shared" si="10"/>
        <v>2.8886999901503108E-2</v>
      </c>
      <c r="AC18">
        <f t="shared" si="16"/>
        <v>-2.1738492826486121E-2</v>
      </c>
      <c r="AD18">
        <f t="shared" si="11"/>
        <v>-7.7344502778872448E-3</v>
      </c>
      <c r="AE18">
        <f t="shared" si="11"/>
        <v>0</v>
      </c>
      <c r="AF18">
        <f t="shared" si="12"/>
        <v>-4.6992644870193709E-2</v>
      </c>
      <c r="AG18">
        <f t="shared" si="12"/>
        <v>-1.8105644968690597E-2</v>
      </c>
    </row>
    <row r="19" spans="1:40" ht="15" thickBot="1" x14ac:dyDescent="0.4">
      <c r="A19" s="5" t="s">
        <v>33</v>
      </c>
      <c r="B19" s="47"/>
      <c r="C19" s="47">
        <v>0.16848805891327309</v>
      </c>
      <c r="K19" s="5" t="s">
        <v>33</v>
      </c>
      <c r="L19" s="6">
        <f t="shared" si="9"/>
        <v>6.9733893939910904E-2</v>
      </c>
      <c r="M19" s="6">
        <f t="shared" si="9"/>
        <v>9.8809790894095195E-2</v>
      </c>
      <c r="N19" s="6">
        <f t="shared" si="9"/>
        <v>8.0350818968824664E-2</v>
      </c>
      <c r="O19" s="6">
        <f t="shared" si="9"/>
        <v>2.8472662577541472E-2</v>
      </c>
      <c r="P19" s="6">
        <f t="shared" si="9"/>
        <v>8.0592112719481801E-2</v>
      </c>
      <c r="Q19" s="9"/>
      <c r="R19">
        <f t="shared" si="13"/>
        <v>2.8472662577541472E-2</v>
      </c>
      <c r="S19">
        <f t="shared" si="14"/>
        <v>9.8809790894095195E-2</v>
      </c>
      <c r="V19">
        <f t="shared" si="15"/>
        <v>4.1261231362369435E-2</v>
      </c>
      <c r="W19">
        <f t="shared" si="10"/>
        <v>7.0337128316553726E-2</v>
      </c>
      <c r="X19">
        <f t="shared" si="10"/>
        <v>5.1878156391283195E-2</v>
      </c>
      <c r="Y19">
        <f t="shared" si="10"/>
        <v>0</v>
      </c>
      <c r="Z19">
        <f t="shared" si="10"/>
        <v>5.2119450141940332E-2</v>
      </c>
      <c r="AC19">
        <f t="shared" si="16"/>
        <v>-2.9075896954184291E-2</v>
      </c>
      <c r="AD19">
        <f>M19-$S19</f>
        <v>0</v>
      </c>
      <c r="AE19">
        <f t="shared" si="11"/>
        <v>-1.8458971925270531E-2</v>
      </c>
      <c r="AF19">
        <f t="shared" si="12"/>
        <v>-7.0337128316553726E-2</v>
      </c>
      <c r="AG19">
        <f t="shared" si="12"/>
        <v>-1.8217678174613394E-2</v>
      </c>
    </row>
    <row r="20" spans="1:40" ht="15" thickBot="1" x14ac:dyDescent="0.4">
      <c r="A20" s="5" t="s">
        <v>34</v>
      </c>
      <c r="B20" s="47"/>
      <c r="C20" s="47">
        <v>0.11798730195986387</v>
      </c>
      <c r="K20" s="5" t="s">
        <v>34</v>
      </c>
      <c r="L20" s="6">
        <f t="shared" si="9"/>
        <v>5.6510128259316617E-2</v>
      </c>
      <c r="M20" s="6">
        <f t="shared" si="9"/>
        <v>2.2233493085632765E-2</v>
      </c>
      <c r="N20" s="6">
        <f t="shared" si="9"/>
        <v>-3.1497448537979755E-2</v>
      </c>
      <c r="O20" s="6">
        <f t="shared" si="9"/>
        <v>8.5228390161592268E-2</v>
      </c>
      <c r="P20" s="6">
        <f t="shared" si="9"/>
        <v>4.446698617126553E-2</v>
      </c>
      <c r="Q20" s="9"/>
      <c r="R20" s="12">
        <f t="shared" si="14"/>
        <v>8.5228390161592268E-2</v>
      </c>
      <c r="S20" s="12">
        <f t="shared" si="13"/>
        <v>-3.1497448537979755E-2</v>
      </c>
      <c r="T20" t="s">
        <v>53</v>
      </c>
      <c r="V20">
        <f t="shared" si="15"/>
        <v>-2.8718261902275652E-2</v>
      </c>
      <c r="W20">
        <f t="shared" si="10"/>
        <v>-6.2994897075959511E-2</v>
      </c>
      <c r="X20">
        <f t="shared" si="10"/>
        <v>-0.11672583869957202</v>
      </c>
      <c r="Y20">
        <f t="shared" si="10"/>
        <v>0</v>
      </c>
      <c r="Z20">
        <f t="shared" si="10"/>
        <v>-4.0761403990326739E-2</v>
      </c>
      <c r="AC20">
        <f t="shared" si="16"/>
        <v>8.8007576797296372E-2</v>
      </c>
      <c r="AD20">
        <f t="shared" si="11"/>
        <v>5.373094162361252E-2</v>
      </c>
      <c r="AE20">
        <f t="shared" si="11"/>
        <v>0</v>
      </c>
      <c r="AF20">
        <f t="shared" si="12"/>
        <v>0.11672583869957202</v>
      </c>
      <c r="AG20">
        <f t="shared" si="12"/>
        <v>7.5964434709245285E-2</v>
      </c>
    </row>
    <row r="21" spans="1:40" x14ac:dyDescent="0.35">
      <c r="U21" s="11" t="s">
        <v>54</v>
      </c>
      <c r="V21" s="11">
        <f>SQRT(V14^2+V15^2+V16^2+V17^2+V18^2+V19^2+V20^2)</f>
        <v>0.12254406047591078</v>
      </c>
      <c r="W21" s="11">
        <f>SQRT(W14^2+W15^2+W16^2+W17^2+W18^2+W19^2+W20^2)</f>
        <v>0.1434821448355485</v>
      </c>
      <c r="X21" s="11">
        <f>SQRT(X14^2+X15^2+X16^2+X17^2+X18^2+X19^2+X20^2)</f>
        <v>0.22313496866645757</v>
      </c>
      <c r="Y21" s="11">
        <f>SQRT(Y14^2+Y15^2+Y16^2+Y17^2+Y18^2+Y19^2+Y20^2)</f>
        <v>3.7345635369925275E-3</v>
      </c>
      <c r="Z21" s="11">
        <f>SQRT(Z14^2+Z15^2+Z16^2+Z17^2+Z18^2+Z19^2+Z20^2)</f>
        <v>0.11171405793353284</v>
      </c>
      <c r="AA21" s="11"/>
      <c r="AB21" s="11" t="s">
        <v>55</v>
      </c>
      <c r="AC21" s="11">
        <f>SQRT(AC14^2+AC15^2+AC16^2+AC17^2+AC18^2+AC19^2+AC20^2)</f>
        <v>0.12157871136299833</v>
      </c>
      <c r="AD21" s="11">
        <f>SQRT(AD14^2+AD15^2+AD16^2+AD17^2+AD18^2+AD19^2+AD20^2)</f>
        <v>0.11771480937497397</v>
      </c>
      <c r="AE21" s="11">
        <f>SQRT(AE14^2+AE15^2+AE16^2+AE17^2+AE18^2+AE19^2+AE20^2)</f>
        <v>2.2462161686670357E-2</v>
      </c>
      <c r="AF21" s="11">
        <f>SQRT(AF14^2+AF15^2+AF16^2+AF17^2+AF18^2+AF19^2+AF20^2)</f>
        <v>0.21681527390133276</v>
      </c>
      <c r="AG21" s="11">
        <f>SQRT(AG14^2+AG15^2+AG16^2+AG17^2+AG18^2+AG19^2+AG20^2)</f>
        <v>0.11488032757423654</v>
      </c>
      <c r="AI21" t="s">
        <v>56</v>
      </c>
      <c r="AJ21" s="11">
        <f>AC21/(AC21+V21)</f>
        <v>0.49802282043243906</v>
      </c>
      <c r="AK21" s="11">
        <f t="shared" ref="AK21:AN21" si="17">AD21/(AD21+W21)</f>
        <v>0.4506745100867327</v>
      </c>
      <c r="AL21" s="11">
        <f t="shared" si="17"/>
        <v>9.1459381688920774E-2</v>
      </c>
      <c r="AM21" s="11">
        <f t="shared" si="17"/>
        <v>0.98306703110567073</v>
      </c>
      <c r="AN21" s="11">
        <f t="shared" si="17"/>
        <v>0.50698664627900747</v>
      </c>
    </row>
    <row r="22" spans="1:40" ht="42.5" thickBot="1" x14ac:dyDescent="0.4">
      <c r="A22" s="45" t="s">
        <v>73</v>
      </c>
      <c r="B22" s="5" t="s">
        <v>28</v>
      </c>
      <c r="C22" s="54">
        <f>C31-D31</f>
        <v>5.8628365215350309E-2</v>
      </c>
      <c r="AI22" s="11" t="s">
        <v>58</v>
      </c>
      <c r="AJ22" s="11">
        <v>3</v>
      </c>
      <c r="AK22" s="11">
        <v>4</v>
      </c>
      <c r="AL22" s="11">
        <v>5</v>
      </c>
      <c r="AM22" s="11">
        <v>1</v>
      </c>
      <c r="AN22" s="11">
        <v>2</v>
      </c>
    </row>
    <row r="23" spans="1:40" ht="15" thickBot="1" x14ac:dyDescent="0.4">
      <c r="A23" s="47">
        <v>1.5</v>
      </c>
      <c r="B23" s="5" t="s">
        <v>29</v>
      </c>
      <c r="C23" s="54">
        <f>C32-D32</f>
        <v>0.16784880882525524</v>
      </c>
      <c r="D23" s="54"/>
    </row>
    <row r="24" spans="1:40" ht="15" thickBot="1" x14ac:dyDescent="0.4">
      <c r="B24" s="5" t="s">
        <v>30</v>
      </c>
      <c r="C24" s="47">
        <f>1.5*C33</f>
        <v>0.22184999999999999</v>
      </c>
    </row>
    <row r="25" spans="1:40" ht="15" thickBot="1" x14ac:dyDescent="0.4">
      <c r="B25" s="5" t="s">
        <v>31</v>
      </c>
      <c r="C25" s="54">
        <f>C34-D34</f>
        <v>0.15652495012322498</v>
      </c>
    </row>
    <row r="26" spans="1:40" ht="15" thickBot="1" x14ac:dyDescent="0.4">
      <c r="B26" s="5" t="s">
        <v>32</v>
      </c>
      <c r="C26" s="54">
        <f>C35-D35</f>
        <v>0.1086725149630325</v>
      </c>
    </row>
    <row r="27" spans="1:40" ht="15" thickBot="1" x14ac:dyDescent="0.4">
      <c r="B27" s="5" t="s">
        <v>33</v>
      </c>
      <c r="C27" s="54">
        <f>C36-D36</f>
        <v>0.16848805891327309</v>
      </c>
    </row>
    <row r="28" spans="1:40" ht="15" thickBot="1" x14ac:dyDescent="0.4">
      <c r="B28" s="5" t="s">
        <v>34</v>
      </c>
      <c r="C28" s="54">
        <f>C37-D37</f>
        <v>0.11798730195986387</v>
      </c>
      <c r="U28" s="8"/>
      <c r="V28" s="4"/>
      <c r="W28" s="3"/>
      <c r="X28" s="7"/>
      <c r="Y28" s="7"/>
      <c r="Z28" s="7"/>
      <c r="AB28" s="8"/>
      <c r="AC28" s="4"/>
      <c r="AD28" s="3"/>
      <c r="AE28" s="7"/>
      <c r="AF28" s="7"/>
      <c r="AG28" s="7"/>
    </row>
    <row r="29" spans="1:40" x14ac:dyDescent="0.35">
      <c r="B29" s="53" t="s">
        <v>74</v>
      </c>
      <c r="C29" s="54">
        <f>SUM(C22:C28)</f>
        <v>1</v>
      </c>
    </row>
    <row r="31" spans="1:40" ht="15" thickBot="1" x14ac:dyDescent="0.4">
      <c r="A31" t="s">
        <v>75</v>
      </c>
      <c r="C31">
        <v>6.4199999999999993E-2</v>
      </c>
      <c r="D31" s="57">
        <f>$E$31*C31/SUM($C$31:$C$32,$C$34:$C$37)</f>
        <v>5.5716347846496879E-3</v>
      </c>
      <c r="E31" s="56">
        <f>C24-C33</f>
        <v>7.3949999999999988E-2</v>
      </c>
    </row>
    <row r="32" spans="1:40" ht="15" thickBot="1" x14ac:dyDescent="0.4">
      <c r="C32">
        <v>0.18379999999999999</v>
      </c>
      <c r="D32" s="57">
        <f>$E$31*C32/SUM($C$31:$C$32,$C$34:$C$37)</f>
        <v>1.5951191174744743E-2</v>
      </c>
      <c r="T32" s="4"/>
      <c r="U32" s="3"/>
      <c r="V32" s="7"/>
      <c r="W32" s="7"/>
      <c r="X32" s="7"/>
    </row>
    <row r="33" spans="3:33" ht="15" thickBot="1" x14ac:dyDescent="0.4">
      <c r="C33">
        <v>0.1479</v>
      </c>
      <c r="D33" s="57"/>
      <c r="F33" s="22"/>
      <c r="G33" s="23"/>
      <c r="H33" s="23"/>
      <c r="I33" s="23"/>
      <c r="J33" s="23"/>
      <c r="K33" s="23"/>
      <c r="M33" s="22"/>
      <c r="N33" s="24"/>
      <c r="O33" s="24"/>
      <c r="P33" s="24"/>
      <c r="Q33" s="27"/>
      <c r="S33" s="24"/>
      <c r="T33" s="11"/>
    </row>
    <row r="34" spans="3:33" ht="15" thickBot="1" x14ac:dyDescent="0.4">
      <c r="C34">
        <v>0.1714</v>
      </c>
      <c r="D34" s="57">
        <f t="shared" ref="D34:D37" si="18">$E$31*C34/SUM($C$31:$C$32,$C$34:$C$37)</f>
        <v>1.4875049876775024E-2</v>
      </c>
      <c r="F34" s="24"/>
      <c r="G34" s="25"/>
      <c r="H34" s="26"/>
      <c r="I34" s="25"/>
      <c r="J34" s="26"/>
      <c r="K34" s="25"/>
      <c r="L34" s="29"/>
      <c r="M34" s="23"/>
      <c r="N34" s="34"/>
      <c r="O34" s="34"/>
      <c r="P34" s="34"/>
      <c r="Q34" s="28"/>
      <c r="S34" s="24"/>
      <c r="T34" s="11"/>
      <c r="U34" s="11"/>
      <c r="V34" s="11"/>
      <c r="W34" s="11"/>
      <c r="X34" s="11"/>
    </row>
    <row r="35" spans="3:33" ht="15" thickBot="1" x14ac:dyDescent="0.4">
      <c r="C35">
        <v>0.11899999999999999</v>
      </c>
      <c r="D35" s="57">
        <f t="shared" si="18"/>
        <v>1.0327485036967491E-2</v>
      </c>
      <c r="F35" s="24"/>
      <c r="G35" s="26"/>
      <c r="H35" s="26"/>
      <c r="I35" s="26"/>
      <c r="J35" s="26"/>
      <c r="K35" s="26"/>
      <c r="L35" s="30"/>
      <c r="M35" s="23"/>
      <c r="N35" s="33"/>
      <c r="O35" s="34"/>
      <c r="P35" s="33"/>
      <c r="Q35" s="28"/>
      <c r="S35" s="24"/>
      <c r="T35" s="11"/>
    </row>
    <row r="36" spans="3:33" ht="15" thickBot="1" x14ac:dyDescent="0.4">
      <c r="C36">
        <v>0.1845</v>
      </c>
      <c r="D36" s="57">
        <f t="shared" si="18"/>
        <v>1.6011941086726905E-2</v>
      </c>
      <c r="F36" s="24"/>
      <c r="G36" s="25"/>
      <c r="H36" s="26"/>
      <c r="I36" s="25"/>
      <c r="J36" s="26"/>
      <c r="K36" s="25"/>
      <c r="L36" s="30"/>
      <c r="M36" s="23"/>
      <c r="N36" s="33"/>
      <c r="O36" s="34"/>
      <c r="P36" s="33"/>
      <c r="Q36" s="28"/>
      <c r="S36" s="27"/>
      <c r="T36" s="11"/>
      <c r="AB36" s="11"/>
      <c r="AC36" s="11"/>
      <c r="AD36" s="11"/>
      <c r="AE36" s="11"/>
      <c r="AF36" s="11"/>
      <c r="AG36" s="11"/>
    </row>
    <row r="37" spans="3:33" ht="15" thickBot="1" x14ac:dyDescent="0.4">
      <c r="C37">
        <v>0.12920000000000001</v>
      </c>
      <c r="D37" s="57">
        <f t="shared" si="18"/>
        <v>1.1212698040136134E-2</v>
      </c>
      <c r="F37" s="27"/>
      <c r="G37" s="28"/>
      <c r="H37" s="28"/>
      <c r="I37" s="28"/>
      <c r="J37" s="28"/>
      <c r="K37" s="28"/>
      <c r="L37" s="30"/>
      <c r="M37" s="23"/>
      <c r="N37" s="34"/>
      <c r="O37" s="34"/>
      <c r="P37" s="34"/>
      <c r="Q37" s="28"/>
      <c r="T37" s="11"/>
    </row>
    <row r="38" spans="3:33" ht="15" thickBot="1" x14ac:dyDescent="0.4">
      <c r="L38" s="30"/>
      <c r="M38" s="23"/>
      <c r="N38" s="33"/>
      <c r="O38" s="34"/>
      <c r="P38" s="33"/>
      <c r="Q38" s="28"/>
    </row>
    <row r="39" spans="3:33" ht="15" thickBot="1" x14ac:dyDescent="0.4">
      <c r="L39" s="30"/>
      <c r="M39" s="32"/>
      <c r="N39" s="32"/>
      <c r="O39" s="32"/>
      <c r="P39" s="31"/>
      <c r="T39" s="24"/>
      <c r="U39" s="24"/>
      <c r="V39" s="24"/>
      <c r="W39" s="27"/>
    </row>
    <row r="40" spans="3:33" ht="15" thickBot="1" x14ac:dyDescent="0.4">
      <c r="I40">
        <f>0.1*25</f>
        <v>2.5</v>
      </c>
      <c r="J40">
        <f>100-I40</f>
        <v>97.5</v>
      </c>
      <c r="S40" s="38"/>
      <c r="T40" s="39"/>
      <c r="U40" s="40"/>
      <c r="V40" s="39"/>
      <c r="W40" s="41"/>
    </row>
    <row r="41" spans="3:33" ht="15" thickBot="1" x14ac:dyDescent="0.4">
      <c r="J41">
        <f>25*30/50</f>
        <v>15</v>
      </c>
      <c r="S41" s="42"/>
      <c r="T41" s="40"/>
      <c r="U41" s="40"/>
      <c r="V41" s="40"/>
      <c r="W41" s="43"/>
    </row>
    <row r="42" spans="3:33" ht="15" thickBot="1" x14ac:dyDescent="0.4">
      <c r="S42" s="44"/>
      <c r="T42" s="39"/>
      <c r="U42" s="40"/>
      <c r="V42" s="39"/>
      <c r="W42" s="41"/>
    </row>
    <row r="43" spans="3:33" ht="15" thickBot="1" x14ac:dyDescent="0.4">
      <c r="S43" s="42"/>
      <c r="T43" s="39"/>
      <c r="U43" s="40"/>
      <c r="V43" s="39"/>
      <c r="W43" s="41"/>
    </row>
    <row r="44" spans="3:33" ht="15" thickBot="1" x14ac:dyDescent="0.4">
      <c r="S44" s="44"/>
      <c r="T44" s="39"/>
      <c r="U44" s="40"/>
      <c r="V44" s="39"/>
      <c r="W44" s="41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N44"/>
  <sheetViews>
    <sheetView zoomScale="45" workbookViewId="0">
      <selection sqref="A1:XFD1"/>
    </sheetView>
  </sheetViews>
  <sheetFormatPr defaultColWidth="8.81640625" defaultRowHeight="14.5" x14ac:dyDescent="0.35"/>
  <cols>
    <col min="1" max="6" width="8.90625" bestFit="1" customWidth="1"/>
    <col min="8" max="10" width="8.90625" bestFit="1" customWidth="1"/>
    <col min="12" max="13" width="14" bestFit="1" customWidth="1"/>
    <col min="14" max="14" width="15" bestFit="1" customWidth="1"/>
    <col min="15" max="16" width="14" bestFit="1" customWidth="1"/>
    <col min="17" max="17" width="3.1796875" customWidth="1"/>
    <col min="18" max="18" width="13.81640625" bestFit="1" customWidth="1"/>
    <col min="19" max="19" width="14.26953125" bestFit="1" customWidth="1"/>
    <col min="22" max="26" width="8.90625" bestFit="1" customWidth="1"/>
    <col min="29" max="33" width="8.90625" bestFit="1" customWidth="1"/>
    <col min="36" max="40" width="10" bestFit="1" customWidth="1"/>
  </cols>
  <sheetData>
    <row r="1" spans="1:40" ht="15" thickBot="1" x14ac:dyDescent="0.4">
      <c r="A1" s="78" t="s">
        <v>95</v>
      </c>
    </row>
    <row r="2" spans="1:40" ht="42.5" thickBot="1" x14ac:dyDescent="0.4">
      <c r="A2" s="3" t="s">
        <v>43</v>
      </c>
      <c r="B2" s="4" t="s">
        <v>44</v>
      </c>
      <c r="C2" s="3" t="s">
        <v>45</v>
      </c>
      <c r="D2" s="7" t="s">
        <v>46</v>
      </c>
      <c r="E2" s="7" t="s">
        <v>47</v>
      </c>
      <c r="F2" s="7" t="s">
        <v>13</v>
      </c>
      <c r="H2" s="10" t="s">
        <v>48</v>
      </c>
      <c r="J2" t="s">
        <v>49</v>
      </c>
      <c r="K2" s="3" t="s">
        <v>43</v>
      </c>
      <c r="L2" s="4" t="s">
        <v>44</v>
      </c>
      <c r="M2" s="3" t="s">
        <v>45</v>
      </c>
      <c r="N2" s="7" t="s">
        <v>46</v>
      </c>
      <c r="O2" s="7" t="s">
        <v>47</v>
      </c>
      <c r="P2" s="7" t="s">
        <v>13</v>
      </c>
      <c r="Q2" s="8"/>
      <c r="R2" s="8" t="s">
        <v>50</v>
      </c>
      <c r="S2" s="8" t="s">
        <v>51</v>
      </c>
      <c r="U2" s="8" t="s">
        <v>50</v>
      </c>
      <c r="V2" s="4" t="s">
        <v>44</v>
      </c>
      <c r="W2" s="3" t="s">
        <v>45</v>
      </c>
      <c r="X2" s="7" t="s">
        <v>46</v>
      </c>
      <c r="Y2" s="7" t="s">
        <v>47</v>
      </c>
      <c r="Z2" s="7" t="s">
        <v>13</v>
      </c>
      <c r="AB2" s="8" t="s">
        <v>51</v>
      </c>
      <c r="AC2" s="4" t="s">
        <v>44</v>
      </c>
      <c r="AD2" s="3" t="s">
        <v>45</v>
      </c>
      <c r="AE2" s="7" t="s">
        <v>46</v>
      </c>
      <c r="AF2" s="7" t="s">
        <v>47</v>
      </c>
      <c r="AG2" s="7" t="s">
        <v>13</v>
      </c>
      <c r="AJ2" s="4" t="s">
        <v>44</v>
      </c>
      <c r="AK2" s="3" t="s">
        <v>45</v>
      </c>
      <c r="AL2" s="7" t="s">
        <v>46</v>
      </c>
      <c r="AM2" s="7" t="s">
        <v>47</v>
      </c>
      <c r="AN2" s="7" t="s">
        <v>13</v>
      </c>
    </row>
    <row r="3" spans="1:40" ht="15" thickBot="1" x14ac:dyDescent="0.4">
      <c r="A3" s="5" t="s">
        <v>28</v>
      </c>
      <c r="B3" s="13">
        <v>36.94</v>
      </c>
      <c r="C3" s="14">
        <v>1.33</v>
      </c>
      <c r="D3" s="21">
        <f>(-52.42)</f>
        <v>-52.42</v>
      </c>
      <c r="E3" s="15">
        <v>5.58</v>
      </c>
      <c r="F3" s="15">
        <v>17.5</v>
      </c>
      <c r="H3">
        <f t="shared" ref="H3:H9" si="0">SQRT(B3^2+C3^2+F3^2+D3^2+E3^2)</f>
        <v>66.72012664856085</v>
      </c>
      <c r="K3" s="5" t="s">
        <v>28</v>
      </c>
      <c r="L3" s="6">
        <f t="shared" ref="L3:P9" si="1">B3/$H3*$B14</f>
        <v>0</v>
      </c>
      <c r="M3" s="6">
        <f t="shared" si="1"/>
        <v>0</v>
      </c>
      <c r="N3" s="6">
        <f t="shared" si="1"/>
        <v>0</v>
      </c>
      <c r="O3" s="6">
        <f t="shared" si="1"/>
        <v>0</v>
      </c>
      <c r="P3" s="6">
        <f t="shared" si="1"/>
        <v>0</v>
      </c>
      <c r="Q3" s="9"/>
      <c r="R3" s="35">
        <f>M3</f>
        <v>0</v>
      </c>
      <c r="S3" s="35">
        <f>-N3</f>
        <v>0</v>
      </c>
      <c r="T3" t="s">
        <v>52</v>
      </c>
      <c r="V3">
        <f>L3-$R3</f>
        <v>0</v>
      </c>
      <c r="W3">
        <f t="shared" ref="W3:Z9" si="2">M3-$R3</f>
        <v>0</v>
      </c>
      <c r="X3">
        <f t="shared" si="2"/>
        <v>0</v>
      </c>
      <c r="Y3">
        <f t="shared" si="2"/>
        <v>0</v>
      </c>
      <c r="Z3">
        <f t="shared" si="2"/>
        <v>0</v>
      </c>
      <c r="AC3">
        <f>L3-$S3</f>
        <v>0</v>
      </c>
      <c r="AD3">
        <f t="shared" ref="AD3:AG9" si="3">M3-$S3</f>
        <v>0</v>
      </c>
      <c r="AE3" s="12">
        <f>N3+$S3</f>
        <v>0</v>
      </c>
      <c r="AF3">
        <f t="shared" si="3"/>
        <v>0</v>
      </c>
      <c r="AG3">
        <f t="shared" si="3"/>
        <v>0</v>
      </c>
    </row>
    <row r="4" spans="1:40" ht="15" thickBot="1" x14ac:dyDescent="0.4">
      <c r="A4" s="5" t="s">
        <v>29</v>
      </c>
      <c r="B4" s="13">
        <v>75.989999999999995</v>
      </c>
      <c r="C4" s="14">
        <v>112.17</v>
      </c>
      <c r="D4" s="14">
        <v>97.42</v>
      </c>
      <c r="E4" s="15">
        <v>33.25</v>
      </c>
      <c r="F4" s="15">
        <v>92</v>
      </c>
      <c r="H4">
        <f t="shared" si="0"/>
        <v>193.43424696780039</v>
      </c>
      <c r="K4" s="5" t="s">
        <v>29</v>
      </c>
      <c r="L4" s="6">
        <f t="shared" si="1"/>
        <v>0</v>
      </c>
      <c r="M4" s="6">
        <f t="shared" si="1"/>
        <v>0</v>
      </c>
      <c r="N4" s="6">
        <f t="shared" si="1"/>
        <v>0</v>
      </c>
      <c r="O4" s="6">
        <f t="shared" si="1"/>
        <v>0</v>
      </c>
      <c r="P4" s="6">
        <f t="shared" si="1"/>
        <v>0</v>
      </c>
      <c r="Q4" s="9"/>
      <c r="R4" s="36">
        <f t="shared" ref="R4:S9" si="4">MIN(L4:P4)</f>
        <v>0</v>
      </c>
      <c r="S4" s="36">
        <f t="shared" ref="R4:S9" si="5">MAX(L4:P4)</f>
        <v>0</v>
      </c>
      <c r="V4">
        <f t="shared" ref="V4:V9" si="6">L4-$R4</f>
        <v>0</v>
      </c>
      <c r="W4">
        <f t="shared" si="2"/>
        <v>0</v>
      </c>
      <c r="X4">
        <f t="shared" si="2"/>
        <v>0</v>
      </c>
      <c r="Y4">
        <f t="shared" si="2"/>
        <v>0</v>
      </c>
      <c r="Z4">
        <f t="shared" si="2"/>
        <v>0</v>
      </c>
      <c r="AC4">
        <f t="shared" ref="AC4:AC9" si="7">L4-$S4</f>
        <v>0</v>
      </c>
      <c r="AD4">
        <f t="shared" si="3"/>
        <v>0</v>
      </c>
      <c r="AE4">
        <f t="shared" si="3"/>
        <v>0</v>
      </c>
      <c r="AF4">
        <f t="shared" si="3"/>
        <v>0</v>
      </c>
      <c r="AG4">
        <f t="shared" si="3"/>
        <v>0</v>
      </c>
    </row>
    <row r="5" spans="1:40" ht="15" thickBot="1" x14ac:dyDescent="0.4">
      <c r="A5" s="5" t="s">
        <v>30</v>
      </c>
      <c r="B5" s="13">
        <v>92.53</v>
      </c>
      <c r="C5" s="14">
        <v>129.69999999999999</v>
      </c>
      <c r="D5" s="14">
        <v>171.94</v>
      </c>
      <c r="E5" s="15">
        <v>42.85</v>
      </c>
      <c r="F5" s="15">
        <v>107.11</v>
      </c>
      <c r="H5">
        <f t="shared" si="0"/>
        <v>261.25835699552272</v>
      </c>
      <c r="K5" s="5" t="s">
        <v>30</v>
      </c>
      <c r="L5" s="6">
        <f t="shared" si="1"/>
        <v>0</v>
      </c>
      <c r="M5" s="6">
        <f t="shared" si="1"/>
        <v>0</v>
      </c>
      <c r="N5" s="6">
        <f t="shared" si="1"/>
        <v>0</v>
      </c>
      <c r="O5" s="6">
        <f t="shared" si="1"/>
        <v>0</v>
      </c>
      <c r="P5" s="6">
        <f t="shared" si="1"/>
        <v>0</v>
      </c>
      <c r="Q5" s="9"/>
      <c r="R5" s="36">
        <f t="shared" si="4"/>
        <v>0</v>
      </c>
      <c r="S5" s="36">
        <f t="shared" si="5"/>
        <v>0</v>
      </c>
      <c r="V5">
        <f t="shared" si="6"/>
        <v>0</v>
      </c>
      <c r="W5">
        <f t="shared" si="2"/>
        <v>0</v>
      </c>
      <c r="X5">
        <f t="shared" si="2"/>
        <v>0</v>
      </c>
      <c r="Y5">
        <f t="shared" si="2"/>
        <v>0</v>
      </c>
      <c r="Z5">
        <f t="shared" si="2"/>
        <v>0</v>
      </c>
      <c r="AC5">
        <f t="shared" si="7"/>
        <v>0</v>
      </c>
      <c r="AD5">
        <f t="shared" si="3"/>
        <v>0</v>
      </c>
      <c r="AE5">
        <f t="shared" si="3"/>
        <v>0</v>
      </c>
      <c r="AF5">
        <f t="shared" si="3"/>
        <v>0</v>
      </c>
      <c r="AG5">
        <f t="shared" si="3"/>
        <v>0</v>
      </c>
    </row>
    <row r="6" spans="1:40" ht="15" thickBot="1" x14ac:dyDescent="0.4">
      <c r="A6" s="5" t="s">
        <v>31</v>
      </c>
      <c r="B6" s="16">
        <v>3.27</v>
      </c>
      <c r="C6" s="16">
        <v>0.51</v>
      </c>
      <c r="D6" s="20">
        <f>(-3.29)</f>
        <v>-3.29</v>
      </c>
      <c r="E6" s="16">
        <v>0.47</v>
      </c>
      <c r="F6" s="16">
        <v>1.7</v>
      </c>
      <c r="H6">
        <f t="shared" si="0"/>
        <v>4.9887874278225164</v>
      </c>
      <c r="K6" s="5" t="s">
        <v>31</v>
      </c>
      <c r="L6" s="6">
        <f t="shared" si="1"/>
        <v>0</v>
      </c>
      <c r="M6" s="6">
        <f t="shared" si="1"/>
        <v>0</v>
      </c>
      <c r="N6" s="6">
        <f t="shared" si="1"/>
        <v>0</v>
      </c>
      <c r="O6" s="6">
        <f t="shared" si="1"/>
        <v>0</v>
      </c>
      <c r="P6" s="6">
        <f t="shared" si="1"/>
        <v>0</v>
      </c>
      <c r="Q6" s="9"/>
      <c r="R6" s="35">
        <f>O6</f>
        <v>0</v>
      </c>
      <c r="S6" s="35">
        <f>-N6</f>
        <v>0</v>
      </c>
      <c r="T6" t="s">
        <v>52</v>
      </c>
      <c r="V6">
        <f t="shared" si="6"/>
        <v>0</v>
      </c>
      <c r="W6">
        <f t="shared" si="2"/>
        <v>0</v>
      </c>
      <c r="X6">
        <f t="shared" si="2"/>
        <v>0</v>
      </c>
      <c r="Y6">
        <f t="shared" si="2"/>
        <v>0</v>
      </c>
      <c r="Z6">
        <f t="shared" si="2"/>
        <v>0</v>
      </c>
      <c r="AC6">
        <f t="shared" si="7"/>
        <v>0</v>
      </c>
      <c r="AD6">
        <f t="shared" si="3"/>
        <v>0</v>
      </c>
      <c r="AE6" s="12">
        <f>N6+$S6</f>
        <v>0</v>
      </c>
      <c r="AF6">
        <f t="shared" si="3"/>
        <v>0</v>
      </c>
      <c r="AG6">
        <f t="shared" si="3"/>
        <v>0</v>
      </c>
    </row>
    <row r="7" spans="1:40" ht="15" thickBot="1" x14ac:dyDescent="0.4">
      <c r="A7" s="5" t="s">
        <v>32</v>
      </c>
      <c r="B7" s="16">
        <v>7.35</v>
      </c>
      <c r="C7" s="16">
        <v>9.74</v>
      </c>
      <c r="D7" s="16">
        <v>11.06</v>
      </c>
      <c r="E7" s="16">
        <v>3.04</v>
      </c>
      <c r="F7" s="16">
        <v>7.97</v>
      </c>
      <c r="H7">
        <f t="shared" si="0"/>
        <v>18.546595374892934</v>
      </c>
      <c r="K7" s="5" t="s">
        <v>32</v>
      </c>
      <c r="L7" s="6">
        <f t="shared" si="1"/>
        <v>0</v>
      </c>
      <c r="M7" s="6">
        <f t="shared" si="1"/>
        <v>0</v>
      </c>
      <c r="N7" s="6">
        <f t="shared" si="1"/>
        <v>0</v>
      </c>
      <c r="O7" s="6">
        <f t="shared" si="1"/>
        <v>0</v>
      </c>
      <c r="P7" s="6">
        <f t="shared" si="1"/>
        <v>0</v>
      </c>
      <c r="Q7" s="9"/>
      <c r="R7" s="36">
        <f t="shared" si="4"/>
        <v>0</v>
      </c>
      <c r="S7" s="36">
        <f t="shared" si="5"/>
        <v>0</v>
      </c>
      <c r="V7">
        <f t="shared" si="6"/>
        <v>0</v>
      </c>
      <c r="W7">
        <f t="shared" si="2"/>
        <v>0</v>
      </c>
      <c r="X7">
        <f t="shared" si="2"/>
        <v>0</v>
      </c>
      <c r="Y7">
        <f t="shared" si="2"/>
        <v>0</v>
      </c>
      <c r="Z7">
        <f t="shared" si="2"/>
        <v>0</v>
      </c>
      <c r="AC7">
        <f t="shared" si="7"/>
        <v>0</v>
      </c>
      <c r="AD7">
        <f t="shared" si="3"/>
        <v>0</v>
      </c>
      <c r="AE7">
        <f t="shared" si="3"/>
        <v>0</v>
      </c>
      <c r="AF7">
        <f t="shared" si="3"/>
        <v>0</v>
      </c>
      <c r="AG7">
        <f t="shared" si="3"/>
        <v>0</v>
      </c>
    </row>
    <row r="8" spans="1:40" ht="15" thickBot="1" x14ac:dyDescent="0.4">
      <c r="A8" s="5" t="s">
        <v>33</v>
      </c>
      <c r="B8" s="16">
        <v>5.78</v>
      </c>
      <c r="C8" s="16">
        <v>8.19</v>
      </c>
      <c r="D8" s="16">
        <v>6.66</v>
      </c>
      <c r="E8" s="16">
        <v>2.36</v>
      </c>
      <c r="F8" s="16">
        <v>6.68</v>
      </c>
      <c r="H8">
        <f t="shared" si="0"/>
        <v>13.965389360844902</v>
      </c>
      <c r="K8" s="5" t="s">
        <v>33</v>
      </c>
      <c r="L8" s="6">
        <f t="shared" si="1"/>
        <v>0</v>
      </c>
      <c r="M8" s="6">
        <f t="shared" si="1"/>
        <v>0</v>
      </c>
      <c r="N8" s="6">
        <f t="shared" si="1"/>
        <v>0</v>
      </c>
      <c r="O8" s="6">
        <f t="shared" si="1"/>
        <v>0</v>
      </c>
      <c r="P8" s="6">
        <f t="shared" si="1"/>
        <v>0</v>
      </c>
      <c r="Q8" s="9"/>
      <c r="R8" s="36">
        <f t="shared" si="4"/>
        <v>0</v>
      </c>
      <c r="S8" s="36">
        <f t="shared" si="5"/>
        <v>0</v>
      </c>
      <c r="V8">
        <f t="shared" si="6"/>
        <v>0</v>
      </c>
      <c r="W8">
        <f t="shared" si="2"/>
        <v>0</v>
      </c>
      <c r="X8">
        <f t="shared" si="2"/>
        <v>0</v>
      </c>
      <c r="Y8">
        <f t="shared" si="2"/>
        <v>0</v>
      </c>
      <c r="Z8">
        <f t="shared" si="2"/>
        <v>0</v>
      </c>
      <c r="AC8">
        <f t="shared" si="7"/>
        <v>0</v>
      </c>
      <c r="AD8">
        <f t="shared" si="3"/>
        <v>0</v>
      </c>
      <c r="AE8">
        <f t="shared" si="3"/>
        <v>0</v>
      </c>
      <c r="AF8">
        <f t="shared" si="3"/>
        <v>0</v>
      </c>
      <c r="AG8">
        <f t="shared" si="3"/>
        <v>0</v>
      </c>
    </row>
    <row r="9" spans="1:40" ht="15" thickBot="1" x14ac:dyDescent="0.4">
      <c r="A9" s="5" t="s">
        <v>34</v>
      </c>
      <c r="B9" s="17">
        <v>0.61</v>
      </c>
      <c r="C9" s="18">
        <v>0.24</v>
      </c>
      <c r="D9" s="18">
        <v>-0.34</v>
      </c>
      <c r="E9" s="19">
        <v>0.92</v>
      </c>
      <c r="F9" s="19">
        <v>0.48</v>
      </c>
      <c r="H9">
        <f t="shared" si="0"/>
        <v>1.2736168968728392</v>
      </c>
      <c r="K9" s="5" t="s">
        <v>34</v>
      </c>
      <c r="L9" s="6">
        <f t="shared" si="1"/>
        <v>0</v>
      </c>
      <c r="M9" s="6">
        <f t="shared" si="1"/>
        <v>0</v>
      </c>
      <c r="N9" s="6">
        <f t="shared" si="1"/>
        <v>0</v>
      </c>
      <c r="O9" s="6">
        <f t="shared" si="1"/>
        <v>0</v>
      </c>
      <c r="P9" s="6">
        <f t="shared" si="1"/>
        <v>0</v>
      </c>
      <c r="Q9" s="9"/>
      <c r="R9" s="35">
        <f t="shared" si="5"/>
        <v>0</v>
      </c>
      <c r="S9" s="35">
        <f t="shared" si="4"/>
        <v>0</v>
      </c>
      <c r="T9" t="s">
        <v>53</v>
      </c>
      <c r="V9">
        <f t="shared" si="6"/>
        <v>0</v>
      </c>
      <c r="W9">
        <f t="shared" si="2"/>
        <v>0</v>
      </c>
      <c r="X9">
        <f t="shared" si="2"/>
        <v>0</v>
      </c>
      <c r="Y9">
        <f t="shared" si="2"/>
        <v>0</v>
      </c>
      <c r="Z9">
        <f t="shared" si="2"/>
        <v>0</v>
      </c>
      <c r="AC9">
        <f t="shared" si="7"/>
        <v>0</v>
      </c>
      <c r="AD9">
        <f t="shared" si="3"/>
        <v>0</v>
      </c>
      <c r="AE9">
        <f t="shared" si="3"/>
        <v>0</v>
      </c>
      <c r="AF9">
        <f t="shared" si="3"/>
        <v>0</v>
      </c>
      <c r="AG9">
        <f t="shared" si="3"/>
        <v>0</v>
      </c>
    </row>
    <row r="10" spans="1:40" x14ac:dyDescent="0.35">
      <c r="U10" s="11" t="s">
        <v>54</v>
      </c>
      <c r="V10" s="11">
        <f>SQRT(V3^2+V4^2+V5^2+V6^2+V7^2+V8^2+V9^2)</f>
        <v>0</v>
      </c>
      <c r="W10" s="11">
        <f>SQRT(W3^2+W4^2+W5^2+W6^2+W7^2+W8^2+W9^2)</f>
        <v>0</v>
      </c>
      <c r="X10" s="11">
        <f>SQRT(X3^2+X4^2+X5^2+X6^2+X7^2+X8^2+X9^2)</f>
        <v>0</v>
      </c>
      <c r="Y10" s="11">
        <f>SQRT(Y3^2+Y4^2+Y5^2+Y6^2+Y7^2+Y8^2+Y9^2)</f>
        <v>0</v>
      </c>
      <c r="Z10" s="11">
        <f>SQRT(Z3^2+Z4^2+Z5^2+Z6^2+Z7^2+Z8^2+Z9^2)</f>
        <v>0</v>
      </c>
      <c r="AA10" s="11"/>
      <c r="AB10" s="11" t="s">
        <v>55</v>
      </c>
      <c r="AC10" s="11">
        <f>SQRT(AC3^2+AC4^2+AC5^2+AC6^2+AC7^2+AC8^2+AC9^2)</f>
        <v>0</v>
      </c>
      <c r="AD10" s="11">
        <f>SQRT(AD3^2+AD4^2+AD5^2+AD6^2+AD7^2+AD8^2+AD9^2)</f>
        <v>0</v>
      </c>
      <c r="AE10" s="11">
        <f>SQRT(AE3^2+AE4^2+AE5^2+AE6^2+AE7^2+AE8^2+AE9^2)</f>
        <v>0</v>
      </c>
      <c r="AF10" s="11">
        <f>SQRT(AF3^2+AF4^2+AF5^2+AF6^2+AF7^2+AF8^2+AF9^2)</f>
        <v>0</v>
      </c>
      <c r="AG10" s="11">
        <f>SQRT(AG3^2+AG4^2+AG5^2+AG6^2+AG7^2+AG8^2+AG9^2)</f>
        <v>0</v>
      </c>
      <c r="AI10" t="s">
        <v>56</v>
      </c>
      <c r="AJ10" s="11" t="e">
        <f>AC10/(AC10+V10)</f>
        <v>#DIV/0!</v>
      </c>
      <c r="AK10" s="11" t="e">
        <f t="shared" ref="AK10:AN10" si="8">AD10/(AD10+W10)</f>
        <v>#DIV/0!</v>
      </c>
      <c r="AL10" s="11" t="e">
        <f t="shared" si="8"/>
        <v>#DIV/0!</v>
      </c>
      <c r="AM10" s="11" t="e">
        <f t="shared" si="8"/>
        <v>#DIV/0!</v>
      </c>
      <c r="AN10" s="11" t="e">
        <f t="shared" si="8"/>
        <v>#DIV/0!</v>
      </c>
    </row>
    <row r="11" spans="1:40" x14ac:dyDescent="0.35">
      <c r="D11" t="s">
        <v>57</v>
      </c>
      <c r="AI11" s="11" t="s">
        <v>58</v>
      </c>
      <c r="AJ11" s="11">
        <v>2</v>
      </c>
      <c r="AK11" s="11">
        <v>4</v>
      </c>
      <c r="AL11" s="11">
        <v>5</v>
      </c>
      <c r="AM11" s="11">
        <v>1</v>
      </c>
      <c r="AN11" s="11">
        <v>3</v>
      </c>
    </row>
    <row r="12" spans="1:40" ht="15" thickBot="1" x14ac:dyDescent="0.4">
      <c r="AJ12" s="11"/>
      <c r="AK12" s="11"/>
      <c r="AL12" s="11"/>
      <c r="AM12" s="11"/>
      <c r="AN12" s="11"/>
    </row>
    <row r="13" spans="1:40" ht="42.5" thickBot="1" x14ac:dyDescent="0.4">
      <c r="A13" t="s">
        <v>59</v>
      </c>
      <c r="C13" t="s">
        <v>60</v>
      </c>
      <c r="D13" t="s">
        <v>72</v>
      </c>
      <c r="J13" t="s">
        <v>64</v>
      </c>
      <c r="K13" s="3" t="s">
        <v>43</v>
      </c>
      <c r="L13" s="4" t="s">
        <v>44</v>
      </c>
      <c r="M13" s="3" t="s">
        <v>45</v>
      </c>
      <c r="N13" s="7" t="s">
        <v>46</v>
      </c>
      <c r="O13" s="7" t="s">
        <v>47</v>
      </c>
      <c r="P13" s="7" t="s">
        <v>13</v>
      </c>
      <c r="Q13" s="8"/>
      <c r="R13" s="8" t="s">
        <v>50</v>
      </c>
      <c r="S13" s="8" t="s">
        <v>51</v>
      </c>
      <c r="U13" s="8" t="s">
        <v>50</v>
      </c>
      <c r="V13" s="4" t="s">
        <v>44</v>
      </c>
      <c r="W13" s="3" t="s">
        <v>45</v>
      </c>
      <c r="X13" s="7" t="s">
        <v>46</v>
      </c>
      <c r="Y13" s="7" t="s">
        <v>47</v>
      </c>
      <c r="Z13" s="7" t="s">
        <v>13</v>
      </c>
      <c r="AB13" s="8" t="s">
        <v>51</v>
      </c>
      <c r="AC13" s="4" t="s">
        <v>44</v>
      </c>
      <c r="AD13" s="3" t="s">
        <v>45</v>
      </c>
      <c r="AE13" s="7" t="s">
        <v>46</v>
      </c>
      <c r="AF13" s="7" t="s">
        <v>47</v>
      </c>
      <c r="AG13" s="7" t="s">
        <v>13</v>
      </c>
      <c r="AI13" s="10" t="s">
        <v>56</v>
      </c>
      <c r="AJ13" s="4" t="s">
        <v>44</v>
      </c>
      <c r="AK13" s="3" t="s">
        <v>45</v>
      </c>
      <c r="AL13" s="7" t="s">
        <v>46</v>
      </c>
      <c r="AM13" s="7" t="s">
        <v>47</v>
      </c>
      <c r="AN13" s="7" t="s">
        <v>13</v>
      </c>
    </row>
    <row r="14" spans="1:40" ht="15" thickBot="1" x14ac:dyDescent="0.4">
      <c r="A14" s="5" t="s">
        <v>28</v>
      </c>
      <c r="B14" s="47"/>
      <c r="C14" s="47">
        <v>5.7559956553222297E-2</v>
      </c>
      <c r="K14" s="5" t="s">
        <v>28</v>
      </c>
      <c r="L14" s="6">
        <f t="shared" ref="L14:P20" si="9">B3/$H3*$C14</f>
        <v>3.1868416651482705E-2</v>
      </c>
      <c r="M14" s="6">
        <f t="shared" si="9"/>
        <v>1.1474010326603141E-3</v>
      </c>
      <c r="N14" s="6">
        <f t="shared" si="9"/>
        <v>-4.5223129422596736E-2</v>
      </c>
      <c r="O14" s="6">
        <f t="shared" si="9"/>
        <v>4.8139080919131971E-3</v>
      </c>
      <c r="P14" s="6">
        <f t="shared" si="9"/>
        <v>1.5097382008688343E-2</v>
      </c>
      <c r="Q14" s="9"/>
      <c r="R14" s="12">
        <f>M14</f>
        <v>1.1474010326603141E-3</v>
      </c>
      <c r="S14" s="12">
        <f>N14*-1</f>
        <v>4.5223129422596736E-2</v>
      </c>
      <c r="T14" t="s">
        <v>52</v>
      </c>
      <c r="V14">
        <f>L14-$R14</f>
        <v>3.072101561882239E-2</v>
      </c>
      <c r="W14">
        <f t="shared" ref="W14:Z20" si="10">M14-$R14</f>
        <v>0</v>
      </c>
      <c r="X14">
        <f t="shared" si="10"/>
        <v>-4.6370530455257047E-2</v>
      </c>
      <c r="Y14">
        <f t="shared" si="10"/>
        <v>3.6665070592528833E-3</v>
      </c>
      <c r="Z14">
        <f t="shared" si="10"/>
        <v>1.3949980976028028E-2</v>
      </c>
      <c r="AC14">
        <f>L14-$S14</f>
        <v>-1.3354712771114031E-2</v>
      </c>
      <c r="AD14">
        <f t="shared" ref="AD14:AE20" si="11">M14-$S14</f>
        <v>-4.4075728389936425E-2</v>
      </c>
      <c r="AE14" s="12">
        <f>S14+N14</f>
        <v>0</v>
      </c>
      <c r="AF14">
        <f t="shared" ref="AF14:AG20" si="12">O14-$S14</f>
        <v>-4.0409221330683538E-2</v>
      </c>
      <c r="AG14">
        <f t="shared" si="12"/>
        <v>-3.0125747413908395E-2</v>
      </c>
    </row>
    <row r="15" spans="1:40" ht="15" thickBot="1" x14ac:dyDescent="0.4">
      <c r="A15" s="5" t="s">
        <v>29</v>
      </c>
      <c r="B15" s="47"/>
      <c r="C15" s="47">
        <v>0.16479003137822834</v>
      </c>
      <c r="K15" s="5" t="s">
        <v>29</v>
      </c>
      <c r="L15" s="6">
        <f t="shared" si="9"/>
        <v>6.4737215259075012E-2</v>
      </c>
      <c r="M15" s="6">
        <f t="shared" si="9"/>
        <v>9.5559592520205863E-2</v>
      </c>
      <c r="N15" s="6">
        <f t="shared" si="9"/>
        <v>8.2993808534532018E-2</v>
      </c>
      <c r="O15" s="6">
        <f t="shared" si="9"/>
        <v>2.8326258815163104E-2</v>
      </c>
      <c r="P15" s="6">
        <f t="shared" si="9"/>
        <v>7.8376415368270835E-2</v>
      </c>
      <c r="Q15" s="9"/>
      <c r="R15">
        <f t="shared" ref="R15:S20" si="13">MIN(L15:P15)</f>
        <v>2.8326258815163104E-2</v>
      </c>
      <c r="S15">
        <f t="shared" ref="R15:S20" si="14">MAX(L15:P15)</f>
        <v>9.5559592520205863E-2</v>
      </c>
      <c r="V15">
        <f t="shared" ref="V15:V20" si="15">L15-$R15</f>
        <v>3.6410956443911908E-2</v>
      </c>
      <c r="W15">
        <f t="shared" si="10"/>
        <v>6.7233333705042753E-2</v>
      </c>
      <c r="X15">
        <f t="shared" si="10"/>
        <v>5.4667549719368914E-2</v>
      </c>
      <c r="Y15">
        <f t="shared" si="10"/>
        <v>0</v>
      </c>
      <c r="Z15">
        <f t="shared" si="10"/>
        <v>5.0050156553107732E-2</v>
      </c>
      <c r="AC15">
        <f t="shared" ref="AC15:AC20" si="16">L15-$S15</f>
        <v>-3.0822377261130851E-2</v>
      </c>
      <c r="AD15">
        <f t="shared" si="11"/>
        <v>0</v>
      </c>
      <c r="AE15">
        <f t="shared" si="11"/>
        <v>-1.2565783985673845E-2</v>
      </c>
      <c r="AF15">
        <f t="shared" si="12"/>
        <v>-6.7233333705042753E-2</v>
      </c>
      <c r="AG15">
        <f t="shared" si="12"/>
        <v>-1.7183177151935028E-2</v>
      </c>
    </row>
    <row r="16" spans="1:40" ht="15" thickBot="1" x14ac:dyDescent="0.4">
      <c r="A16" s="5" t="s">
        <v>30</v>
      </c>
      <c r="B16" s="47"/>
      <c r="C16" s="47">
        <v>0.1326030774800869</v>
      </c>
      <c r="K16" s="5" t="s">
        <v>30</v>
      </c>
      <c r="L16" s="6">
        <f t="shared" si="9"/>
        <v>4.6964096767410625E-2</v>
      </c>
      <c r="M16" s="6">
        <f t="shared" si="9"/>
        <v>6.5829929220070874E-2</v>
      </c>
      <c r="N16" s="6">
        <f t="shared" si="9"/>
        <v>8.726906730993822E-2</v>
      </c>
      <c r="O16" s="6">
        <f t="shared" si="9"/>
        <v>2.1748746854896202E-2</v>
      </c>
      <c r="P16" s="6">
        <f t="shared" si="9"/>
        <v>5.4364253806952909E-2</v>
      </c>
      <c r="Q16" s="9"/>
      <c r="R16">
        <f t="shared" si="13"/>
        <v>2.1748746854896202E-2</v>
      </c>
      <c r="S16">
        <f t="shared" si="14"/>
        <v>8.726906730993822E-2</v>
      </c>
      <c r="V16">
        <f t="shared" si="15"/>
        <v>2.5215349912514423E-2</v>
      </c>
      <c r="W16">
        <f t="shared" si="10"/>
        <v>4.4081182365174672E-2</v>
      </c>
      <c r="X16">
        <f t="shared" si="10"/>
        <v>6.5520320455042025E-2</v>
      </c>
      <c r="Y16">
        <f t="shared" si="10"/>
        <v>0</v>
      </c>
      <c r="Z16">
        <f t="shared" si="10"/>
        <v>3.2615506952056707E-2</v>
      </c>
      <c r="AC16">
        <f t="shared" si="16"/>
        <v>-4.0304970542527595E-2</v>
      </c>
      <c r="AD16">
        <f t="shared" si="11"/>
        <v>-2.1439138089867346E-2</v>
      </c>
      <c r="AE16">
        <f t="shared" si="11"/>
        <v>0</v>
      </c>
      <c r="AF16">
        <f t="shared" si="12"/>
        <v>-6.5520320455042025E-2</v>
      </c>
      <c r="AG16">
        <f t="shared" si="12"/>
        <v>-3.2904813502985311E-2</v>
      </c>
    </row>
    <row r="17" spans="1:40" ht="15" thickBot="1" x14ac:dyDescent="0.4">
      <c r="A17" s="5" t="s">
        <v>31</v>
      </c>
      <c r="B17" s="47"/>
      <c r="C17" s="47">
        <v>0.2571</v>
      </c>
      <c r="K17" s="5" t="s">
        <v>31</v>
      </c>
      <c r="L17" s="6">
        <f t="shared" si="9"/>
        <v>0.16852131147366853</v>
      </c>
      <c r="M17" s="6">
        <f t="shared" si="9"/>
        <v>2.6283140321581331E-2</v>
      </c>
      <c r="N17" s="6">
        <f t="shared" si="9"/>
        <v>-0.16955202285882859</v>
      </c>
      <c r="O17" s="6">
        <f t="shared" si="9"/>
        <v>2.4221717551261224E-2</v>
      </c>
      <c r="P17" s="6">
        <f t="shared" si="9"/>
        <v>8.7610467738604439E-2</v>
      </c>
      <c r="Q17" s="9"/>
      <c r="R17" s="12">
        <f>O17</f>
        <v>2.4221717551261224E-2</v>
      </c>
      <c r="S17" s="12">
        <f>-N17</f>
        <v>0.16955202285882859</v>
      </c>
      <c r="T17" t="s">
        <v>52</v>
      </c>
      <c r="V17">
        <f t="shared" si="15"/>
        <v>0.14429959392240729</v>
      </c>
      <c r="W17">
        <f t="shared" si="10"/>
        <v>2.0614227703201066E-3</v>
      </c>
      <c r="X17">
        <f t="shared" si="10"/>
        <v>-0.19377374041008982</v>
      </c>
      <c r="Y17">
        <f t="shared" si="10"/>
        <v>0</v>
      </c>
      <c r="Z17">
        <f t="shared" si="10"/>
        <v>6.3388750187343218E-2</v>
      </c>
      <c r="AC17">
        <f>L17-$S17</f>
        <v>-1.0307113851600602E-3</v>
      </c>
      <c r="AD17">
        <f>M17-$S17</f>
        <v>-0.14326888253724726</v>
      </c>
      <c r="AE17" s="12">
        <f>S17+N17</f>
        <v>0</v>
      </c>
      <c r="AF17">
        <f t="shared" si="12"/>
        <v>-0.14533030530756735</v>
      </c>
      <c r="AG17">
        <f t="shared" si="12"/>
        <v>-8.1941555120224149E-2</v>
      </c>
    </row>
    <row r="18" spans="1:40" ht="15" thickBot="1" x14ac:dyDescent="0.4">
      <c r="A18" s="5" t="s">
        <v>32</v>
      </c>
      <c r="B18" s="47"/>
      <c r="C18" s="47">
        <v>0.10669213130581703</v>
      </c>
      <c r="K18" s="5" t="s">
        <v>32</v>
      </c>
      <c r="L18" s="6">
        <f t="shared" si="9"/>
        <v>4.2282001049062198E-2</v>
      </c>
      <c r="M18" s="6">
        <f t="shared" si="9"/>
        <v>5.603084220651236E-2</v>
      </c>
      <c r="N18" s="6">
        <f t="shared" si="9"/>
        <v>6.36243444357317E-2</v>
      </c>
      <c r="O18" s="6">
        <f t="shared" si="9"/>
        <v>1.7488065740020285E-2</v>
      </c>
      <c r="P18" s="6">
        <f t="shared" si="9"/>
        <v>4.5848646035513703E-2</v>
      </c>
      <c r="Q18" s="9"/>
      <c r="R18">
        <f t="shared" si="13"/>
        <v>1.7488065740020285E-2</v>
      </c>
      <c r="S18">
        <f t="shared" si="14"/>
        <v>6.36243444357317E-2</v>
      </c>
      <c r="V18">
        <f t="shared" si="15"/>
        <v>2.4793935309041913E-2</v>
      </c>
      <c r="W18">
        <f t="shared" si="10"/>
        <v>3.8542776466492075E-2</v>
      </c>
      <c r="X18">
        <f t="shared" si="10"/>
        <v>4.6136278695711415E-2</v>
      </c>
      <c r="Y18">
        <f t="shared" si="10"/>
        <v>0</v>
      </c>
      <c r="Z18">
        <f t="shared" si="10"/>
        <v>2.8360580295493418E-2</v>
      </c>
      <c r="AC18">
        <f t="shared" si="16"/>
        <v>-2.1342343386669502E-2</v>
      </c>
      <c r="AD18">
        <f t="shared" si="11"/>
        <v>-7.5935022292193399E-3</v>
      </c>
      <c r="AE18">
        <f t="shared" si="11"/>
        <v>0</v>
      </c>
      <c r="AF18">
        <f t="shared" si="12"/>
        <v>-4.6136278695711415E-2</v>
      </c>
      <c r="AG18">
        <f t="shared" si="12"/>
        <v>-1.7775698400217997E-2</v>
      </c>
    </row>
    <row r="19" spans="1:40" ht="15" thickBot="1" x14ac:dyDescent="0.4">
      <c r="A19" s="5" t="s">
        <v>33</v>
      </c>
      <c r="B19" s="47"/>
      <c r="C19" s="47">
        <v>0.1654176321506155</v>
      </c>
      <c r="K19" s="5" t="s">
        <v>33</v>
      </c>
      <c r="L19" s="6">
        <f t="shared" si="9"/>
        <v>6.8463104688741241E-2</v>
      </c>
      <c r="M19" s="6">
        <f t="shared" si="9"/>
        <v>9.7009139688718105E-2</v>
      </c>
      <c r="N19" s="6">
        <f t="shared" si="9"/>
        <v>7.8886553153463088E-2</v>
      </c>
      <c r="O19" s="6">
        <f t="shared" si="9"/>
        <v>2.7953793609935867E-2</v>
      </c>
      <c r="P19" s="6">
        <f t="shared" si="9"/>
        <v>7.9123449709479488E-2</v>
      </c>
      <c r="Q19" s="9"/>
      <c r="R19">
        <f t="shared" si="13"/>
        <v>2.7953793609935867E-2</v>
      </c>
      <c r="S19">
        <f t="shared" si="14"/>
        <v>9.7009139688718105E-2</v>
      </c>
      <c r="V19">
        <f t="shared" si="15"/>
        <v>4.0509311078805371E-2</v>
      </c>
      <c r="W19">
        <f t="shared" si="10"/>
        <v>6.9055346078782234E-2</v>
      </c>
      <c r="X19">
        <f t="shared" si="10"/>
        <v>5.0932759543527217E-2</v>
      </c>
      <c r="Y19">
        <f t="shared" si="10"/>
        <v>0</v>
      </c>
      <c r="Z19">
        <f t="shared" si="10"/>
        <v>5.1169656099543617E-2</v>
      </c>
      <c r="AC19">
        <f t="shared" si="16"/>
        <v>-2.8546034999976863E-2</v>
      </c>
      <c r="AD19">
        <f>M19-$S19</f>
        <v>0</v>
      </c>
      <c r="AE19">
        <f t="shared" si="11"/>
        <v>-1.8122586535255017E-2</v>
      </c>
      <c r="AF19">
        <f t="shared" si="12"/>
        <v>-6.9055346078782234E-2</v>
      </c>
      <c r="AG19">
        <f t="shared" si="12"/>
        <v>-1.7885689979238617E-2</v>
      </c>
    </row>
    <row r="20" spans="1:40" ht="15" thickBot="1" x14ac:dyDescent="0.4">
      <c r="A20" s="5" t="s">
        <v>34</v>
      </c>
      <c r="B20" s="47"/>
      <c r="C20" s="47">
        <v>0.11583717113202993</v>
      </c>
      <c r="K20" s="5" t="s">
        <v>34</v>
      </c>
      <c r="L20" s="6">
        <f t="shared" si="9"/>
        <v>5.5480321095012282E-2</v>
      </c>
      <c r="M20" s="6">
        <f t="shared" si="9"/>
        <v>2.1828323053775321E-2</v>
      </c>
      <c r="N20" s="6">
        <f t="shared" si="9"/>
        <v>-3.0923457659515045E-2</v>
      </c>
      <c r="O20" s="6">
        <f t="shared" si="9"/>
        <v>8.3675238372805411E-2</v>
      </c>
      <c r="P20" s="6">
        <f t="shared" si="9"/>
        <v>4.3656646107550642E-2</v>
      </c>
      <c r="Q20" s="9"/>
      <c r="R20" s="12">
        <f t="shared" si="14"/>
        <v>8.3675238372805411E-2</v>
      </c>
      <c r="S20" s="12">
        <f t="shared" si="13"/>
        <v>-3.0923457659515045E-2</v>
      </c>
      <c r="T20" t="s">
        <v>53</v>
      </c>
      <c r="V20">
        <f t="shared" si="15"/>
        <v>-2.8194917277793129E-2</v>
      </c>
      <c r="W20">
        <f t="shared" si="10"/>
        <v>-6.1846915319030089E-2</v>
      </c>
      <c r="X20">
        <f t="shared" si="10"/>
        <v>-0.11459869603232045</v>
      </c>
      <c r="Y20">
        <f t="shared" si="10"/>
        <v>0</v>
      </c>
      <c r="Z20">
        <f t="shared" si="10"/>
        <v>-4.0018592265254768E-2</v>
      </c>
      <c r="AC20">
        <f t="shared" si="16"/>
        <v>8.640377875452733E-2</v>
      </c>
      <c r="AD20">
        <f t="shared" si="11"/>
        <v>5.2751780713290369E-2</v>
      </c>
      <c r="AE20">
        <f t="shared" si="11"/>
        <v>0</v>
      </c>
      <c r="AF20">
        <f t="shared" si="12"/>
        <v>0.11459869603232045</v>
      </c>
      <c r="AG20">
        <f t="shared" si="12"/>
        <v>7.4580103767065684E-2</v>
      </c>
    </row>
    <row r="21" spans="1:40" x14ac:dyDescent="0.35">
      <c r="U21" s="11" t="s">
        <v>54</v>
      </c>
      <c r="V21" s="11">
        <f>SQRT(V14^2+V15^2+V16^2+V17^2+V18^2+V19^2+V20^2)</f>
        <v>0.16364113816422979</v>
      </c>
      <c r="W21" s="11">
        <f>SQRT(W14^2+W15^2+W16^2+W17^2+W18^2+W19^2+W20^2)</f>
        <v>0.12863494330052413</v>
      </c>
      <c r="X21" s="11">
        <f>SQRT(X14^2+X15^2+X16^2+X17^2+X18^2+X19^2+X20^2)</f>
        <v>0.25462817065475135</v>
      </c>
      <c r="Y21" s="11">
        <f>SQRT(Y14^2+Y15^2+Y16^2+Y17^2+Y18^2+Y19^2+Y20^2)</f>
        <v>3.6665070592528833E-3</v>
      </c>
      <c r="Z21" s="11">
        <f>SQRT(Z14^2+Z15^2+Z16^2+Z17^2+Z18^2+Z19^2+Z20^2)</f>
        <v>0.11316213603149511</v>
      </c>
      <c r="AA21" s="11"/>
      <c r="AB21" s="11" t="s">
        <v>55</v>
      </c>
      <c r="AC21" s="11">
        <f>SQRT(AC14^2+AC15^2+AC16^2+AC17^2+AC18^2+AC19^2+AC20^2)</f>
        <v>0.10719097456472572</v>
      </c>
      <c r="AD21" s="11">
        <f>SQRT(AD14^2+AD15^2+AD16^2+AD17^2+AD18^2+AD19^2+AD20^2)</f>
        <v>0.16052629324549805</v>
      </c>
      <c r="AE21" s="11">
        <f>SQRT(AE14^2+AE15^2+AE16^2+AE17^2+AE18^2+AE19^2+AE20^2)</f>
        <v>2.2052824533433889E-2</v>
      </c>
      <c r="AF21" s="11">
        <f>SQRT(AF14^2+AF15^2+AF16^2+AF17^2+AF18^2+AF19^2+AF20^2)</f>
        <v>0.22714993843103912</v>
      </c>
      <c r="AG21" s="11">
        <f>SQRT(AG14^2+AG15^2+AG16^2+AG17^2+AG18^2+AG19^2+AG20^2)</f>
        <v>0.1232803012610839</v>
      </c>
      <c r="AI21" t="s">
        <v>56</v>
      </c>
      <c r="AJ21" s="11">
        <f>AC21/(AC21+V21)</f>
        <v>0.39578384366849712</v>
      </c>
      <c r="AK21" s="11">
        <f t="shared" ref="AK21:AN21" si="17">AD21/(AD21+W21)</f>
        <v>0.55514458010677747</v>
      </c>
      <c r="AL21" s="11">
        <f t="shared" si="17"/>
        <v>7.9704876435168992E-2</v>
      </c>
      <c r="AM21" s="11">
        <f t="shared" si="17"/>
        <v>0.98411505275776767</v>
      </c>
      <c r="AN21" s="11">
        <f t="shared" si="17"/>
        <v>0.52139667765534903</v>
      </c>
    </row>
    <row r="22" spans="1:40" ht="42.5" thickBot="1" x14ac:dyDescent="0.4">
      <c r="A22" s="45" t="s">
        <v>73</v>
      </c>
      <c r="B22" s="5" t="s">
        <v>28</v>
      </c>
      <c r="C22" s="54">
        <f>C31-D31</f>
        <v>5.7559956553222297E-2</v>
      </c>
      <c r="AI22" s="11" t="s">
        <v>58</v>
      </c>
      <c r="AJ22" s="11">
        <v>4</v>
      </c>
      <c r="AK22" s="11">
        <v>2</v>
      </c>
      <c r="AL22" s="11">
        <v>5</v>
      </c>
      <c r="AM22" s="11">
        <v>1</v>
      </c>
      <c r="AN22" s="11">
        <v>3</v>
      </c>
    </row>
    <row r="23" spans="1:40" ht="15" thickBot="1" x14ac:dyDescent="0.4">
      <c r="A23" s="47">
        <v>1.5</v>
      </c>
      <c r="B23" s="5" t="s">
        <v>29</v>
      </c>
      <c r="C23" s="54">
        <f t="shared" ref="C23:C28" si="18">C32-D32</f>
        <v>0.16479003137822834</v>
      </c>
      <c r="D23" s="54"/>
    </row>
    <row r="24" spans="1:40" ht="15" thickBot="1" x14ac:dyDescent="0.4">
      <c r="B24" s="5" t="s">
        <v>30</v>
      </c>
      <c r="C24" s="54">
        <f t="shared" si="18"/>
        <v>0.1326030774800869</v>
      </c>
    </row>
    <row r="25" spans="1:40" ht="15" thickBot="1" x14ac:dyDescent="0.4">
      <c r="B25" s="5" t="s">
        <v>31</v>
      </c>
      <c r="C25">
        <v>0.2571</v>
      </c>
    </row>
    <row r="26" spans="1:40" ht="15" thickBot="1" x14ac:dyDescent="0.4">
      <c r="B26" s="5" t="s">
        <v>32</v>
      </c>
      <c r="C26" s="54">
        <f t="shared" si="18"/>
        <v>0.10669213130581703</v>
      </c>
    </row>
    <row r="27" spans="1:40" ht="15" thickBot="1" x14ac:dyDescent="0.4">
      <c r="B27" s="5" t="s">
        <v>33</v>
      </c>
      <c r="C27" s="54">
        <f t="shared" si="18"/>
        <v>0.1654176321506155</v>
      </c>
    </row>
    <row r="28" spans="1:40" ht="15" thickBot="1" x14ac:dyDescent="0.4">
      <c r="B28" s="5" t="s">
        <v>34</v>
      </c>
      <c r="C28" s="54">
        <f t="shared" si="18"/>
        <v>0.11583717113202993</v>
      </c>
      <c r="U28" s="8"/>
      <c r="V28" s="4"/>
      <c r="W28" s="3"/>
      <c r="X28" s="7"/>
      <c r="Y28" s="7"/>
      <c r="Z28" s="7"/>
      <c r="AB28" s="8"/>
      <c r="AC28" s="4"/>
      <c r="AD28" s="3"/>
      <c r="AE28" s="7"/>
      <c r="AF28" s="7"/>
      <c r="AG28" s="7"/>
    </row>
    <row r="29" spans="1:40" x14ac:dyDescent="0.35">
      <c r="B29" s="53" t="s">
        <v>74</v>
      </c>
      <c r="C29" s="54">
        <f>SUM(C22:C28)</f>
        <v>0.99999999999999989</v>
      </c>
    </row>
    <row r="31" spans="1:40" ht="15" thickBot="1" x14ac:dyDescent="0.4">
      <c r="A31" t="s">
        <v>75</v>
      </c>
      <c r="C31">
        <v>6.4199999999999993E-2</v>
      </c>
      <c r="D31" s="57">
        <f>$E$31*C31/SUM($C$31:$C$33,$C$35:$C$37)</f>
        <v>6.6400434467776964E-3</v>
      </c>
      <c r="E31" s="56">
        <f>C25-C34</f>
        <v>8.5699999999999998E-2</v>
      </c>
    </row>
    <row r="32" spans="1:40" ht="15" thickBot="1" x14ac:dyDescent="0.4">
      <c r="C32">
        <v>0.18379999999999999</v>
      </c>
      <c r="D32" s="57">
        <f t="shared" ref="D32:D37" si="19">$E$31*C32/SUM($C$31:$C$33,$C$35:$C$37)</f>
        <v>1.9009968621771664E-2</v>
      </c>
      <c r="T32" s="4"/>
      <c r="U32" s="3"/>
      <c r="V32" s="7"/>
      <c r="W32" s="7"/>
      <c r="X32" s="7"/>
    </row>
    <row r="33" spans="3:33" ht="15" thickBot="1" x14ac:dyDescent="0.4">
      <c r="C33">
        <v>0.1479</v>
      </c>
      <c r="D33" s="57">
        <f t="shared" si="19"/>
        <v>1.5296922519913107E-2</v>
      </c>
      <c r="F33" s="22"/>
      <c r="G33" s="23"/>
      <c r="H33" s="23"/>
      <c r="I33" s="23"/>
      <c r="J33" s="23"/>
      <c r="K33" s="23"/>
      <c r="M33" s="22"/>
      <c r="N33" s="24"/>
      <c r="O33" s="24"/>
      <c r="P33" s="24"/>
      <c r="Q33" s="27"/>
      <c r="S33" s="24"/>
      <c r="T33" s="11"/>
    </row>
    <row r="34" spans="3:33" ht="15" thickBot="1" x14ac:dyDescent="0.4">
      <c r="C34">
        <v>0.1714</v>
      </c>
      <c r="D34" s="57"/>
      <c r="F34" s="24"/>
      <c r="G34" s="25"/>
      <c r="H34" s="26"/>
      <c r="I34" s="25"/>
      <c r="J34" s="26"/>
      <c r="K34" s="25"/>
      <c r="L34" s="29"/>
      <c r="M34" s="23"/>
      <c r="N34" s="34"/>
      <c r="O34" s="34"/>
      <c r="P34" s="34"/>
      <c r="Q34" s="28"/>
      <c r="S34" s="24"/>
      <c r="T34" s="11"/>
      <c r="U34" s="11"/>
      <c r="V34" s="11"/>
      <c r="W34" s="11"/>
      <c r="X34" s="11"/>
    </row>
    <row r="35" spans="3:33" ht="15" thickBot="1" x14ac:dyDescent="0.4">
      <c r="C35">
        <v>0.11899999999999999</v>
      </c>
      <c r="D35" s="57">
        <f t="shared" si="19"/>
        <v>1.2307868694182957E-2</v>
      </c>
      <c r="F35" s="24"/>
      <c r="G35" s="26"/>
      <c r="H35" s="26"/>
      <c r="I35" s="26"/>
      <c r="J35" s="26"/>
      <c r="K35" s="26"/>
      <c r="L35" s="30"/>
      <c r="M35" s="23"/>
      <c r="N35" s="33"/>
      <c r="O35" s="34"/>
      <c r="P35" s="33"/>
      <c r="Q35" s="28"/>
      <c r="S35" s="24"/>
      <c r="T35" s="11"/>
    </row>
    <row r="36" spans="3:33" ht="15" thickBot="1" x14ac:dyDescent="0.4">
      <c r="C36">
        <v>0.1845</v>
      </c>
      <c r="D36" s="57">
        <f t="shared" si="19"/>
        <v>1.9082367849384503E-2</v>
      </c>
      <c r="F36" s="24"/>
      <c r="G36" s="25"/>
      <c r="H36" s="26"/>
      <c r="I36" s="25"/>
      <c r="J36" s="26"/>
      <c r="K36" s="25"/>
      <c r="L36" s="30"/>
      <c r="M36" s="23"/>
      <c r="N36" s="33"/>
      <c r="O36" s="34"/>
      <c r="P36" s="33"/>
      <c r="Q36" s="28"/>
      <c r="S36" s="27"/>
      <c r="T36" s="11"/>
      <c r="AB36" s="11"/>
      <c r="AC36" s="11"/>
      <c r="AD36" s="11"/>
      <c r="AE36" s="11"/>
      <c r="AF36" s="11"/>
      <c r="AG36" s="11"/>
    </row>
    <row r="37" spans="3:33" ht="15" thickBot="1" x14ac:dyDescent="0.4">
      <c r="C37">
        <v>0.12920000000000001</v>
      </c>
      <c r="D37" s="57">
        <f t="shared" si="19"/>
        <v>1.3362828867970071E-2</v>
      </c>
      <c r="F37" s="27"/>
      <c r="G37" s="28"/>
      <c r="H37" s="28"/>
      <c r="I37" s="28"/>
      <c r="J37" s="28"/>
      <c r="K37" s="28"/>
      <c r="L37" s="30"/>
      <c r="M37" s="23"/>
      <c r="N37" s="34"/>
      <c r="O37" s="34"/>
      <c r="P37" s="34"/>
      <c r="Q37" s="28"/>
      <c r="T37" s="11"/>
    </row>
    <row r="38" spans="3:33" ht="15" thickBot="1" x14ac:dyDescent="0.4">
      <c r="L38" s="30"/>
      <c r="M38" s="23"/>
      <c r="N38" s="33"/>
      <c r="O38" s="34"/>
      <c r="P38" s="33"/>
      <c r="Q38" s="28"/>
    </row>
    <row r="39" spans="3:33" ht="15" thickBot="1" x14ac:dyDescent="0.4">
      <c r="L39" s="30"/>
      <c r="M39" s="32"/>
      <c r="N39" s="32"/>
      <c r="O39" s="32"/>
      <c r="P39" s="31"/>
      <c r="T39" s="24"/>
      <c r="U39" s="24"/>
      <c r="V39" s="24"/>
      <c r="W39" s="27"/>
    </row>
    <row r="40" spans="3:33" ht="15" thickBot="1" x14ac:dyDescent="0.4">
      <c r="I40">
        <f>0.1*25</f>
        <v>2.5</v>
      </c>
      <c r="J40">
        <f>100-I40</f>
        <v>97.5</v>
      </c>
      <c r="S40" s="38"/>
      <c r="T40" s="39"/>
      <c r="U40" s="40"/>
      <c r="V40" s="39"/>
      <c r="W40" s="41"/>
    </row>
    <row r="41" spans="3:33" ht="15" thickBot="1" x14ac:dyDescent="0.4">
      <c r="J41">
        <f>25*30/50</f>
        <v>15</v>
      </c>
      <c r="S41" s="42"/>
      <c r="T41" s="40"/>
      <c r="U41" s="40"/>
      <c r="V41" s="40"/>
      <c r="W41" s="43"/>
    </row>
    <row r="42" spans="3:33" ht="15" thickBot="1" x14ac:dyDescent="0.4">
      <c r="S42" s="44"/>
      <c r="T42" s="39"/>
      <c r="U42" s="40"/>
      <c r="V42" s="39"/>
      <c r="W42" s="41"/>
    </row>
    <row r="43" spans="3:33" ht="15" thickBot="1" x14ac:dyDescent="0.4">
      <c r="S43" s="42"/>
      <c r="T43" s="39"/>
      <c r="U43" s="40"/>
      <c r="V43" s="39"/>
      <c r="W43" s="41"/>
    </row>
    <row r="44" spans="3:33" ht="15" thickBot="1" x14ac:dyDescent="0.4">
      <c r="S44" s="44"/>
      <c r="T44" s="39"/>
      <c r="U44" s="40"/>
      <c r="V44" s="39"/>
      <c r="W44" s="4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KPI Calc Sheet</vt:lpstr>
      <vt:lpstr>Raw Data - historical sales</vt:lpstr>
      <vt:lpstr>without outlier</vt:lpstr>
      <vt:lpstr>Prioritisation matrix</vt:lpstr>
      <vt:lpstr>ANP-TOPSIS Calculation sheet</vt:lpstr>
      <vt:lpstr>sensitivity analysis ME</vt:lpstr>
      <vt:lpstr>sensitivity analysis MAE</vt:lpstr>
      <vt:lpstr>sensitivity analysis RMSE</vt:lpstr>
      <vt:lpstr>sensitivity analysis MPE</vt:lpstr>
      <vt:lpstr>sensitivity analysis RMSPE</vt:lpstr>
      <vt:lpstr>sensitivity analysis MAPE</vt:lpstr>
      <vt:lpstr>sensitivity analysis R2</vt:lpstr>
      <vt:lpstr>Summary sensitivity analysis</vt:lpstr>
    </vt:vector>
  </TitlesOfParts>
  <Manager/>
  <Company>Haute école de gestion de Genève // HES-SO Genève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Badulescu Yvonne (HES)</dc:creator>
  <cp:keywords/>
  <dc:description/>
  <cp:lastModifiedBy>Yvonne</cp:lastModifiedBy>
  <cp:revision/>
  <dcterms:created xsi:type="dcterms:W3CDTF">2018-05-31T10:10:06Z</dcterms:created>
  <dcterms:modified xsi:type="dcterms:W3CDTF">2021-01-14T16:04:21Z</dcterms:modified>
  <cp:category/>
  <cp:contentStatus/>
</cp:coreProperties>
</file>